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300" windowWidth="20730" windowHeight="11460" tabRatio="930" firstSheet="25"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容积率设定" sheetId="87" r:id="rId11"/>
    <sheet name="土地级别" sheetId="80" r:id="rId12"/>
    <sheet name="项目基本情况" sheetId="4" r:id="rId13"/>
    <sheet name="抵押物清单（分楼）" sheetId="42" state="hidden" r:id="rId14"/>
    <sheet name="数据-基础表" sheetId="3" state="hidden" r:id="rId15"/>
    <sheet name="数据-汇总表" sheetId="6" state="hidden" r:id="rId16"/>
    <sheet name="结果汇总表-分租" sheetId="92" state="hidden" r:id="rId17"/>
    <sheet name="数据-取费表" sheetId="1" r:id="rId18"/>
    <sheet name="面积总表2020-11-12" sheetId="95" r:id="rId19"/>
    <sheet name="Sheet2" sheetId="94" state="hidden" r:id="rId20"/>
    <sheet name="结果表-分业态" sheetId="96" r:id="rId21"/>
    <sheet name="结果汇总表-整租" sheetId="83" state="hidden" r:id="rId22"/>
    <sheet name="地上商业测绘面积表" sheetId="77" state="hidden" r:id="rId23"/>
    <sheet name="地下商业面积依据" sheetId="78" state="hidden" r:id="rId24"/>
    <sheet name="估价对象房地状况" sheetId="20" state="hidden" r:id="rId25"/>
    <sheet name="收益法倒推租金" sheetId="79" r:id="rId26"/>
    <sheet name="结果表" sheetId="9" r:id="rId27"/>
    <sheet name="比较法-商业" sheetId="33" r:id="rId28"/>
    <sheet name="商业出售案例" sheetId="88" r:id="rId29"/>
    <sheet name="成本法" sheetId="68" r:id="rId30"/>
    <sheet name="成本法 (元)" sheetId="69" state="hidden" r:id="rId31"/>
    <sheet name="假设开发法" sheetId="12" state="hidden" r:id="rId32"/>
    <sheet name="基准地价修正" sheetId="43" r:id="rId33"/>
    <sheet name="收益法" sheetId="15" state="hidden" r:id="rId34"/>
    <sheet name="收益法 (元)" sheetId="67" state="hidden" r:id="rId35"/>
    <sheet name="收益法（汇总）" sheetId="70" state="hidden" r:id="rId36"/>
    <sheet name="酒店收入计算" sheetId="66" state="hidden" r:id="rId37"/>
    <sheet name="比较法-住宅" sheetId="21"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修正" sheetId="45" state="hidden" r:id="rId45"/>
    <sheet name="容积率修正" sheetId="46" state="hidden" r:id="rId46"/>
    <sheet name="基准地价（汇总）" sheetId="76" state="hidden" r:id="rId47"/>
    <sheet name="地价" sheetId="71"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系统读取表" sheetId="74" r:id="rId55"/>
    <sheet name="委托人提供的面积表" sheetId="84" r:id="rId56"/>
    <sheet name="面积汇总表2020-6-30" sheetId="85" r:id="rId57"/>
    <sheet name="商业面积汇总表2020-7-13" sheetId="89" r:id="rId58"/>
    <sheet name="面积汇总表2020-11-12" sheetId="93" r:id="rId59"/>
    <sheet name="面积明细表2020-11-12" sheetId="90" r:id="rId60"/>
  </sheets>
  <externalReferences>
    <externalReference r:id="rId61"/>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7" hidden="1">'比较法-商业'!$A$1:$L$49</definedName>
    <definedName name="_xlnm._FilterDatabase" localSheetId="37" hidden="1">'比较法-住宅'!$A$1:$L$49</definedName>
    <definedName name="_xlnm._FilterDatabase" localSheetId="14"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2" hidden="1">项目基本情况!$A$42:$N$42</definedName>
    <definedName name="_xlnm.Print_Area" localSheetId="8">估价师及机构信息!$A$1:$F$29</definedName>
    <definedName name="_xlnm.Print_Area" localSheetId="33">收益法!$A$1:$AK$69</definedName>
    <definedName name="_xlnm.Print_Area" localSheetId="34">'收益法 (元)'!$A$1:$AK$69</definedName>
    <definedName name="_xlnm.Print_Area" localSheetId="25">收益法倒推租金!$A$1:$I$53</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C19" i="9" l="1"/>
  <c r="D4" i="73"/>
  <c r="E20" i="43"/>
  <c r="M28" i="43"/>
  <c r="G20" i="43"/>
  <c r="C20" i="43"/>
  <c r="C29" i="43"/>
  <c r="E29" i="43"/>
  <c r="C33" i="43"/>
  <c r="E33" i="43"/>
  <c r="C34" i="43"/>
  <c r="E34" i="43"/>
  <c r="C35" i="43"/>
  <c r="E35" i="43"/>
  <c r="C36" i="43"/>
  <c r="E36" i="43"/>
  <c r="C37" i="43"/>
  <c r="E37" i="43"/>
  <c r="E41" i="43"/>
  <c r="C41" i="43"/>
  <c r="C38" i="43"/>
  <c r="E38" i="43"/>
  <c r="C39" i="43"/>
  <c r="E39" i="43"/>
  <c r="C26" i="43"/>
  <c r="B2" i="43"/>
  <c r="C6" i="68"/>
  <c r="C7" i="68"/>
  <c r="D9" i="68"/>
  <c r="C9" i="68"/>
  <c r="D10" i="68"/>
  <c r="C10" i="68"/>
  <c r="C8" i="68"/>
  <c r="C5" i="68"/>
  <c r="D19" i="68"/>
  <c r="C19" i="68"/>
  <c r="C20" i="68"/>
  <c r="D5"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D19" i="9"/>
  <c r="G19" i="9"/>
  <c r="C32" i="9"/>
  <c r="H118" i="9"/>
  <c r="D14" i="74"/>
  <c r="B10" i="74"/>
  <c r="F37" i="33"/>
  <c r="AA37" i="33"/>
  <c r="R48" i="33"/>
  <c r="H37" i="33"/>
  <c r="AB37" i="33"/>
  <c r="T48" i="33"/>
  <c r="J37" i="33"/>
  <c r="AC37" i="33"/>
  <c r="V48" i="33"/>
  <c r="R49" i="33"/>
  <c r="C49" i="33"/>
  <c r="B3" i="33"/>
  <c r="C20" i="9"/>
  <c r="B3" i="68"/>
  <c r="D20" i="9"/>
  <c r="G20" i="9"/>
  <c r="F46" i="79"/>
  <c r="C3" i="79"/>
  <c r="C4" i="79"/>
  <c r="C30" i="79"/>
  <c r="C31" i="79"/>
  <c r="G8" i="96"/>
  <c r="G22" i="96"/>
  <c r="J153" i="95"/>
  <c r="K153" i="95"/>
  <c r="J154" i="95"/>
  <c r="K154" i="95"/>
  <c r="J155" i="95"/>
  <c r="K155" i="95"/>
  <c r="J156" i="95"/>
  <c r="K156" i="95"/>
  <c r="J157" i="95"/>
  <c r="K157" i="95"/>
  <c r="J158" i="95"/>
  <c r="K158" i="95"/>
  <c r="J159" i="95"/>
  <c r="K159" i="95"/>
  <c r="J160" i="95"/>
  <c r="K160" i="95"/>
  <c r="J161" i="95"/>
  <c r="K161" i="95"/>
  <c r="J162" i="95"/>
  <c r="K162" i="95"/>
  <c r="J163" i="95"/>
  <c r="K163" i="95"/>
  <c r="J164" i="95"/>
  <c r="K164" i="95"/>
  <c r="J165" i="95"/>
  <c r="K165" i="95"/>
  <c r="J166" i="95"/>
  <c r="K166" i="95"/>
  <c r="J167" i="95"/>
  <c r="K167" i="95"/>
  <c r="J168" i="95"/>
  <c r="K168" i="95"/>
  <c r="J169" i="95"/>
  <c r="K169" i="95"/>
  <c r="J170" i="95"/>
  <c r="K170" i="95"/>
  <c r="J171" i="95"/>
  <c r="K171" i="95"/>
  <c r="J172" i="95"/>
  <c r="K172" i="95"/>
  <c r="J173" i="95"/>
  <c r="K173" i="95"/>
  <c r="J174" i="95"/>
  <c r="K174" i="95"/>
  <c r="J175" i="95"/>
  <c r="K175" i="95"/>
  <c r="J176" i="95"/>
  <c r="K176" i="95"/>
  <c r="J177" i="95"/>
  <c r="K177" i="95"/>
  <c r="J178" i="95"/>
  <c r="K178" i="95"/>
  <c r="J179" i="95"/>
  <c r="K179" i="95"/>
  <c r="J180" i="95"/>
  <c r="K180" i="95"/>
  <c r="J181" i="95"/>
  <c r="K181" i="95"/>
  <c r="K182" i="95"/>
  <c r="G25" i="96"/>
  <c r="J183" i="95"/>
  <c r="K183" i="95"/>
  <c r="K184" i="95"/>
  <c r="G28" i="96"/>
  <c r="J185" i="95"/>
  <c r="K185" i="95"/>
  <c r="J186" i="95"/>
  <c r="K186" i="95"/>
  <c r="J187" i="95"/>
  <c r="K187" i="95"/>
  <c r="J188" i="95"/>
  <c r="K188" i="95"/>
  <c r="G29" i="96"/>
  <c r="J189" i="95"/>
  <c r="K189" i="95"/>
  <c r="G30" i="96"/>
  <c r="J190" i="95"/>
  <c r="K190" i="95"/>
  <c r="G31" i="96"/>
  <c r="J191" i="95"/>
  <c r="K191" i="95"/>
  <c r="G32" i="96"/>
  <c r="J192" i="95"/>
  <c r="K192" i="95"/>
  <c r="K193" i="95"/>
  <c r="K194" i="95"/>
  <c r="G2" i="96"/>
  <c r="J4" i="95"/>
  <c r="K4" i="95"/>
  <c r="J5" i="95"/>
  <c r="K5" i="95"/>
  <c r="J6" i="95"/>
  <c r="K6" i="95"/>
  <c r="J7" i="95"/>
  <c r="K7" i="95"/>
  <c r="J8" i="95"/>
  <c r="K8" i="95"/>
  <c r="J9" i="95"/>
  <c r="K9" i="95"/>
  <c r="G3" i="96"/>
  <c r="J10" i="95"/>
  <c r="K10" i="95"/>
  <c r="J11" i="95"/>
  <c r="K11" i="95"/>
  <c r="J12" i="95"/>
  <c r="K12" i="95"/>
  <c r="J13" i="95"/>
  <c r="K13" i="95"/>
  <c r="J14" i="95"/>
  <c r="K14" i="95"/>
  <c r="J15" i="95"/>
  <c r="K15" i="95"/>
  <c r="J16" i="95"/>
  <c r="K16" i="95"/>
  <c r="J17" i="95"/>
  <c r="K17" i="95"/>
  <c r="J18" i="95"/>
  <c r="K18" i="95"/>
  <c r="J19" i="95"/>
  <c r="K19" i="95"/>
  <c r="J20" i="95"/>
  <c r="K20" i="95"/>
  <c r="J21" i="95"/>
  <c r="K21" i="95"/>
  <c r="J22" i="95"/>
  <c r="K22" i="95"/>
  <c r="J23" i="95"/>
  <c r="K23" i="95"/>
  <c r="J24" i="95"/>
  <c r="K24" i="95"/>
  <c r="J25" i="95"/>
  <c r="K25" i="95"/>
  <c r="J26" i="95"/>
  <c r="K26" i="95"/>
  <c r="J27" i="95"/>
  <c r="K27" i="95"/>
  <c r="J28" i="95"/>
  <c r="K28" i="95"/>
  <c r="J29" i="95"/>
  <c r="K29" i="95"/>
  <c r="J30" i="95"/>
  <c r="K30" i="95"/>
  <c r="J31" i="95"/>
  <c r="K31" i="95"/>
  <c r="J32" i="95"/>
  <c r="K32" i="95"/>
  <c r="J33" i="95"/>
  <c r="K33" i="95"/>
  <c r="J34" i="95"/>
  <c r="K34" i="95"/>
  <c r="J35" i="95"/>
  <c r="K35" i="95"/>
  <c r="J36" i="95"/>
  <c r="K36" i="95"/>
  <c r="J37" i="95"/>
  <c r="K37" i="95"/>
  <c r="J38" i="95"/>
  <c r="K38" i="95"/>
  <c r="J39" i="95"/>
  <c r="K39" i="95"/>
  <c r="J40" i="95"/>
  <c r="K40" i="95"/>
  <c r="J41" i="95"/>
  <c r="K41" i="95"/>
  <c r="J42" i="95"/>
  <c r="K42" i="95"/>
  <c r="J43" i="95"/>
  <c r="K43" i="95"/>
  <c r="J44" i="95"/>
  <c r="K44" i="95"/>
  <c r="J45" i="95"/>
  <c r="K45" i="95"/>
  <c r="J46" i="95"/>
  <c r="K46" i="95"/>
  <c r="J47" i="95"/>
  <c r="K47" i="95"/>
  <c r="K48" i="95"/>
  <c r="G5" i="96"/>
  <c r="J49" i="95"/>
  <c r="K49" i="95"/>
  <c r="J50" i="95"/>
  <c r="K50" i="95"/>
  <c r="G6" i="96"/>
  <c r="J51" i="95"/>
  <c r="K51" i="95"/>
  <c r="J52" i="95"/>
  <c r="K52" i="95"/>
  <c r="J53" i="95"/>
  <c r="K53" i="95"/>
  <c r="J54" i="95"/>
  <c r="K54" i="95"/>
  <c r="J55" i="95"/>
  <c r="K55" i="95"/>
  <c r="J56" i="95"/>
  <c r="K56" i="95"/>
  <c r="J57" i="95"/>
  <c r="K57" i="95"/>
  <c r="J58" i="95"/>
  <c r="K58" i="95"/>
  <c r="J59" i="95"/>
  <c r="K59" i="95"/>
  <c r="J60" i="95"/>
  <c r="K60" i="95"/>
  <c r="J61" i="95"/>
  <c r="K61" i="95"/>
  <c r="J62" i="95"/>
  <c r="K62" i="95"/>
  <c r="J63" i="95"/>
  <c r="K63" i="95"/>
  <c r="J64" i="95"/>
  <c r="K64" i="95"/>
  <c r="J65" i="95"/>
  <c r="K65" i="95"/>
  <c r="J66" i="95"/>
  <c r="K66" i="95"/>
  <c r="J67" i="95"/>
  <c r="K67" i="95"/>
  <c r="J68" i="95"/>
  <c r="K68" i="95"/>
  <c r="J69" i="95"/>
  <c r="K69" i="95"/>
  <c r="J70" i="95"/>
  <c r="K70" i="95"/>
  <c r="K71" i="95"/>
  <c r="J72" i="95"/>
  <c r="K72" i="95"/>
  <c r="J73" i="95"/>
  <c r="K73" i="95"/>
  <c r="G9" i="96"/>
  <c r="J74" i="95"/>
  <c r="K74" i="95"/>
  <c r="G10" i="96"/>
  <c r="J75" i="95"/>
  <c r="K75" i="95"/>
  <c r="G11" i="96"/>
  <c r="J76" i="95"/>
  <c r="K76" i="95"/>
  <c r="J77" i="95"/>
  <c r="K77" i="95"/>
  <c r="J78" i="95"/>
  <c r="K78" i="95"/>
  <c r="J79" i="95"/>
  <c r="K79" i="95"/>
  <c r="J80" i="95"/>
  <c r="K80" i="95"/>
  <c r="J81" i="95"/>
  <c r="K81" i="95"/>
  <c r="J82" i="95"/>
  <c r="K82" i="95"/>
  <c r="J83" i="95"/>
  <c r="K83" i="95"/>
  <c r="J84" i="95"/>
  <c r="K84" i="95"/>
  <c r="J85" i="95"/>
  <c r="K85" i="95"/>
  <c r="J86" i="95"/>
  <c r="K86" i="95"/>
  <c r="J87" i="95"/>
  <c r="K87" i="95"/>
  <c r="J88" i="95"/>
  <c r="K88" i="95"/>
  <c r="J89" i="95"/>
  <c r="K89" i="95"/>
  <c r="J90" i="95"/>
  <c r="K90" i="95"/>
  <c r="J91" i="95"/>
  <c r="K91" i="95"/>
  <c r="J92" i="95"/>
  <c r="K92" i="95"/>
  <c r="J93" i="95"/>
  <c r="K93" i="95"/>
  <c r="J94" i="95"/>
  <c r="K94" i="95"/>
  <c r="J95" i="95"/>
  <c r="K95" i="95"/>
  <c r="J96" i="95"/>
  <c r="K96" i="95"/>
  <c r="J97" i="95"/>
  <c r="K97" i="95"/>
  <c r="J98" i="95"/>
  <c r="K98" i="95"/>
  <c r="J99" i="95"/>
  <c r="K99" i="95"/>
  <c r="J100" i="95"/>
  <c r="K100" i="95"/>
  <c r="J101" i="95"/>
  <c r="K101" i="95"/>
  <c r="J102" i="95"/>
  <c r="K102" i="95"/>
  <c r="J103" i="95"/>
  <c r="K103" i="95"/>
  <c r="J104" i="95"/>
  <c r="K104" i="95"/>
  <c r="J105" i="95"/>
  <c r="K105" i="95"/>
  <c r="J106" i="95"/>
  <c r="K106" i="95"/>
  <c r="J107" i="95"/>
  <c r="K107" i="95"/>
  <c r="J108" i="95"/>
  <c r="K108" i="95"/>
  <c r="J109" i="95"/>
  <c r="K109" i="95"/>
  <c r="J110" i="95"/>
  <c r="K110" i="95"/>
  <c r="J111" i="95"/>
  <c r="K111" i="95"/>
  <c r="J112" i="95"/>
  <c r="K112" i="95"/>
  <c r="J113" i="95"/>
  <c r="K113" i="95"/>
  <c r="J114" i="95"/>
  <c r="K114" i="95"/>
  <c r="J115" i="95"/>
  <c r="K115" i="95"/>
  <c r="J116" i="95"/>
  <c r="K116" i="95"/>
  <c r="J117" i="95"/>
  <c r="K117" i="95"/>
  <c r="J118" i="95"/>
  <c r="K118" i="95"/>
  <c r="J119" i="95"/>
  <c r="K119" i="95"/>
  <c r="J120" i="95"/>
  <c r="K120" i="95"/>
  <c r="J121" i="95"/>
  <c r="K121" i="95"/>
  <c r="J122" i="95"/>
  <c r="K122" i="95"/>
  <c r="J123" i="95"/>
  <c r="K123" i="95"/>
  <c r="J124" i="95"/>
  <c r="K124" i="95"/>
  <c r="J125" i="95"/>
  <c r="K125" i="95"/>
  <c r="J126" i="95"/>
  <c r="K126" i="95"/>
  <c r="J127" i="95"/>
  <c r="K127" i="95"/>
  <c r="J128" i="95"/>
  <c r="K128" i="95"/>
  <c r="G12" i="96"/>
  <c r="J129" i="95"/>
  <c r="K129" i="95"/>
  <c r="J130" i="95"/>
  <c r="K130" i="95"/>
  <c r="J131" i="95"/>
  <c r="K131" i="95"/>
  <c r="J132" i="95"/>
  <c r="K132" i="95"/>
  <c r="J133" i="95"/>
  <c r="K133" i="95"/>
  <c r="J134" i="95"/>
  <c r="K134" i="95"/>
  <c r="J135" i="95"/>
  <c r="K135" i="95"/>
  <c r="J136" i="95"/>
  <c r="K136" i="95"/>
  <c r="K137" i="95"/>
  <c r="G19" i="96"/>
  <c r="J138" i="95"/>
  <c r="K138" i="95"/>
  <c r="J139" i="95"/>
  <c r="K139" i="95"/>
  <c r="J140" i="95"/>
  <c r="K140" i="95"/>
  <c r="J141" i="95"/>
  <c r="K141" i="95"/>
  <c r="G18" i="96"/>
  <c r="J142" i="95"/>
  <c r="K142" i="95"/>
  <c r="J143" i="95"/>
  <c r="K143" i="95"/>
  <c r="J144" i="95"/>
  <c r="K144" i="95"/>
  <c r="J145" i="95"/>
  <c r="K145" i="95"/>
  <c r="K146" i="95"/>
  <c r="G14" i="96"/>
  <c r="J147" i="95"/>
  <c r="K147" i="95"/>
  <c r="G15" i="96"/>
  <c r="J148" i="95"/>
  <c r="K148" i="95"/>
  <c r="G16" i="96"/>
  <c r="J149" i="95"/>
  <c r="K149" i="95"/>
  <c r="K150" i="95"/>
  <c r="K151" i="95"/>
  <c r="K195" i="95"/>
  <c r="G195" i="95"/>
  <c r="L195" i="95"/>
  <c r="E2" i="96"/>
  <c r="D2" i="96"/>
  <c r="H2" i="96"/>
  <c r="D3" i="96"/>
  <c r="H3" i="96"/>
  <c r="E5" i="96"/>
  <c r="D5" i="96"/>
  <c r="H5" i="96"/>
  <c r="E6" i="96"/>
  <c r="D6" i="96"/>
  <c r="H6" i="96"/>
  <c r="D8" i="96"/>
  <c r="H8" i="96"/>
  <c r="D9" i="96"/>
  <c r="H9" i="96"/>
  <c r="D10" i="96"/>
  <c r="H10" i="96"/>
  <c r="D11" i="96"/>
  <c r="H11" i="96"/>
  <c r="D12" i="96"/>
  <c r="H12" i="96"/>
  <c r="E14" i="96"/>
  <c r="D14" i="96"/>
  <c r="H14" i="96"/>
  <c r="E15" i="96"/>
  <c r="F15" i="96"/>
  <c r="D15" i="96"/>
  <c r="H15" i="96"/>
  <c r="E16" i="96"/>
  <c r="F16" i="96"/>
  <c r="D16" i="96"/>
  <c r="H16" i="96"/>
  <c r="E18" i="96"/>
  <c r="D18" i="96"/>
  <c r="H18" i="96"/>
  <c r="D19" i="96"/>
  <c r="H19" i="96"/>
  <c r="E22" i="96"/>
  <c r="D22" i="96"/>
  <c r="H22" i="96"/>
  <c r="H23" i="96"/>
  <c r="E25" i="96"/>
  <c r="D25" i="96"/>
  <c r="H25" i="96"/>
  <c r="E26" i="96"/>
  <c r="H26" i="96"/>
  <c r="D28" i="96"/>
  <c r="H28" i="96"/>
  <c r="D29" i="96"/>
  <c r="H29" i="96"/>
  <c r="D30" i="96"/>
  <c r="H30" i="96"/>
  <c r="D31" i="96"/>
  <c r="H31" i="96"/>
  <c r="D32" i="96"/>
  <c r="H32" i="96"/>
  <c r="H35" i="96"/>
  <c r="D4" i="96"/>
  <c r="D7" i="96"/>
  <c r="D13" i="96"/>
  <c r="D17" i="96"/>
  <c r="D20" i="96"/>
  <c r="D21" i="96"/>
  <c r="D24" i="96"/>
  <c r="D27" i="96"/>
  <c r="D33" i="96"/>
  <c r="D34" i="96"/>
  <c r="D35" i="96"/>
  <c r="I35" i="96"/>
  <c r="I3" i="79"/>
  <c r="C8" i="79"/>
  <c r="C9" i="79"/>
  <c r="C10" i="79"/>
  <c r="C11" i="79"/>
  <c r="C12" i="79"/>
  <c r="C13" i="79"/>
  <c r="C14" i="79"/>
  <c r="I17" i="79"/>
  <c r="C17" i="79"/>
  <c r="C20" i="79"/>
  <c r="C18" i="79"/>
  <c r="C21" i="79"/>
  <c r="C22" i="79"/>
  <c r="C23" i="79"/>
  <c r="C27" i="79"/>
  <c r="C7" i="79"/>
  <c r="C28" i="79"/>
  <c r="C24" i="79"/>
  <c r="E24" i="79"/>
  <c r="X190" i="95"/>
  <c r="AA143" i="95"/>
  <c r="Y143" i="95"/>
  <c r="AC95" i="95"/>
  <c r="AF75" i="95"/>
  <c r="AD83" i="95"/>
  <c r="AB83" i="95"/>
  <c r="Z83" i="95"/>
  <c r="X106" i="95"/>
  <c r="Z59" i="95"/>
  <c r="Z54" i="95"/>
  <c r="X68" i="95"/>
  <c r="X27" i="95"/>
  <c r="Z25" i="95"/>
  <c r="X28" i="95"/>
  <c r="F3" i="83"/>
  <c r="F7" i="83"/>
  <c r="F6" i="83"/>
  <c r="F5" i="83"/>
  <c r="F4" i="83"/>
  <c r="F16" i="83"/>
  <c r="H3" i="83"/>
  <c r="H4" i="83"/>
  <c r="H5" i="83"/>
  <c r="H6" i="83"/>
  <c r="H7" i="83"/>
  <c r="F9" i="83"/>
  <c r="H9" i="83"/>
  <c r="F10" i="83"/>
  <c r="H10" i="83"/>
  <c r="F12" i="83"/>
  <c r="H12" i="83"/>
  <c r="F13" i="83"/>
  <c r="H13" i="83"/>
  <c r="F14" i="83"/>
  <c r="H14" i="83"/>
  <c r="H16" i="83"/>
  <c r="F17" i="83"/>
  <c r="H17" i="83"/>
  <c r="H22" i="83"/>
  <c r="I22" i="83"/>
  <c r="F44" i="83"/>
  <c r="F38" i="83"/>
  <c r="F50" i="83"/>
  <c r="F51" i="83"/>
  <c r="H51" i="83"/>
  <c r="F52" i="83"/>
  <c r="H52" i="83"/>
  <c r="F54" i="83"/>
  <c r="H54" i="83"/>
  <c r="F55" i="83"/>
  <c r="H55" i="83"/>
  <c r="H38" i="83"/>
  <c r="F39" i="83"/>
  <c r="H39" i="83"/>
  <c r="H44" i="83"/>
  <c r="F45" i="83"/>
  <c r="H45" i="83"/>
  <c r="F46" i="83"/>
  <c r="H46" i="83"/>
  <c r="F47" i="83"/>
  <c r="H47" i="83"/>
  <c r="F48" i="83"/>
  <c r="H48" i="83"/>
  <c r="H50" i="83"/>
  <c r="H57" i="83"/>
  <c r="F64" i="83"/>
  <c r="F58" i="83"/>
  <c r="H58" i="83"/>
  <c r="F59" i="83"/>
  <c r="H59" i="83"/>
  <c r="H64" i="83"/>
  <c r="F65" i="83"/>
  <c r="H65" i="83"/>
  <c r="F66" i="83"/>
  <c r="H66" i="83"/>
  <c r="F67" i="83"/>
  <c r="H67" i="83"/>
  <c r="F68" i="83"/>
  <c r="H68" i="83"/>
  <c r="H70" i="83"/>
  <c r="D70" i="83"/>
  <c r="D64" i="83"/>
  <c r="D65" i="83"/>
  <c r="D66" i="83"/>
  <c r="D67" i="83"/>
  <c r="D68" i="83"/>
  <c r="D69" i="83"/>
  <c r="E62" i="83"/>
  <c r="E58" i="83"/>
  <c r="E61" i="83"/>
  <c r="D58" i="83"/>
  <c r="D59" i="83"/>
  <c r="D60" i="83"/>
  <c r="E42" i="83"/>
  <c r="E41" i="83"/>
  <c r="D44" i="83"/>
  <c r="D45" i="83"/>
  <c r="D46" i="83"/>
  <c r="D47" i="83"/>
  <c r="D48" i="83"/>
  <c r="D38" i="83"/>
  <c r="D39" i="83"/>
  <c r="D50" i="83"/>
  <c r="D51" i="83"/>
  <c r="E51" i="83"/>
  <c r="G51" i="83"/>
  <c r="D52" i="83"/>
  <c r="E52" i="83"/>
  <c r="G52" i="83"/>
  <c r="D54" i="83"/>
  <c r="E54" i="83"/>
  <c r="D55" i="83"/>
  <c r="D49" i="83"/>
  <c r="D40" i="83"/>
  <c r="D53" i="83"/>
  <c r="D56" i="83"/>
  <c r="D57" i="83"/>
  <c r="E50" i="83"/>
  <c r="E38" i="83"/>
  <c r="G48" i="95"/>
  <c r="G71" i="95"/>
  <c r="G137" i="95"/>
  <c r="G146" i="95"/>
  <c r="G150" i="95"/>
  <c r="D151" i="95"/>
  <c r="G182" i="95"/>
  <c r="G184" i="95"/>
  <c r="G193" i="95"/>
  <c r="G194" i="95"/>
  <c r="G3" i="93"/>
  <c r="G11" i="93"/>
  <c r="F17" i="93"/>
  <c r="G16" i="93"/>
  <c r="F22" i="93"/>
  <c r="G22" i="93"/>
  <c r="F25" i="93"/>
  <c r="G25" i="93"/>
  <c r="G26" i="93"/>
  <c r="G31" i="93"/>
  <c r="F34" i="93"/>
  <c r="F36" i="93"/>
  <c r="L152" i="89"/>
  <c r="L150" i="89"/>
  <c r="L151" i="89"/>
  <c r="L149" i="89"/>
  <c r="G14" i="83"/>
  <c r="G13" i="83"/>
  <c r="H17" i="43"/>
  <c r="I17" i="43"/>
  <c r="J17" i="43"/>
  <c r="K17" i="43"/>
  <c r="L17" i="43"/>
  <c r="M17" i="43"/>
  <c r="N17" i="43"/>
  <c r="O17" i="43"/>
  <c r="G17" i="43"/>
  <c r="C16" i="43"/>
  <c r="C5" i="43"/>
  <c r="D5" i="43"/>
  <c r="E16" i="83"/>
  <c r="E14" i="83"/>
  <c r="E13" i="83"/>
  <c r="D4" i="83"/>
  <c r="D3" i="83"/>
  <c r="D5" i="83"/>
  <c r="D6" i="83"/>
  <c r="D7" i="83"/>
  <c r="D9" i="83"/>
  <c r="D10" i="83"/>
  <c r="D12" i="83"/>
  <c r="D13" i="83"/>
  <c r="D14" i="83"/>
  <c r="D16" i="83"/>
  <c r="D17" i="83"/>
  <c r="D8" i="83"/>
  <c r="D11" i="83"/>
  <c r="D15" i="83"/>
  <c r="D18" i="83"/>
  <c r="D22" i="83"/>
  <c r="AA66" i="90"/>
  <c r="K59" i="90"/>
  <c r="W87" i="90"/>
  <c r="J59" i="90"/>
  <c r="S65" i="90"/>
  <c r="I59" i="90"/>
  <c r="O74" i="90"/>
  <c r="H59" i="90"/>
  <c r="K74" i="90"/>
  <c r="G59" i="90"/>
  <c r="G78" i="90"/>
  <c r="F59" i="90"/>
  <c r="C170" i="90"/>
  <c r="E59" i="90"/>
  <c r="A59" i="90"/>
  <c r="C48" i="90"/>
  <c r="G48" i="90"/>
  <c r="K48" i="90"/>
  <c r="O48" i="90"/>
  <c r="S48" i="90"/>
  <c r="C49" i="90"/>
  <c r="W19" i="90"/>
  <c r="AA19" i="90"/>
  <c r="AI19" i="90"/>
  <c r="W20" i="90"/>
  <c r="P56" i="90"/>
  <c r="L59" i="90"/>
  <c r="B2" i="33"/>
  <c r="L19" i="9"/>
  <c r="G21" i="9"/>
  <c r="C165" i="31"/>
  <c r="E165" i="31"/>
  <c r="G165" i="31"/>
  <c r="I165" i="31"/>
  <c r="K165" i="31"/>
  <c r="M165" i="31"/>
  <c r="O165" i="31"/>
  <c r="Q165" i="31"/>
  <c r="R165" i="31"/>
  <c r="S165" i="31"/>
  <c r="C166" i="31"/>
  <c r="E166" i="31"/>
  <c r="G166" i="31"/>
  <c r="I166" i="31"/>
  <c r="K166" i="31"/>
  <c r="M166" i="31"/>
  <c r="O166" i="31"/>
  <c r="Q166" i="31"/>
  <c r="R166" i="31"/>
  <c r="S166" i="31"/>
  <c r="C167" i="31"/>
  <c r="E167" i="31"/>
  <c r="G167" i="31"/>
  <c r="I167" i="31"/>
  <c r="K167" i="31"/>
  <c r="M167" i="31"/>
  <c r="O167" i="31"/>
  <c r="Q167" i="31"/>
  <c r="R167" i="31"/>
  <c r="S167" i="31"/>
  <c r="C168" i="31"/>
  <c r="E168" i="31"/>
  <c r="G168" i="31"/>
  <c r="I168" i="31"/>
  <c r="K168" i="31"/>
  <c r="M168" i="31"/>
  <c r="O168" i="31"/>
  <c r="Q168" i="31"/>
  <c r="R168" i="31"/>
  <c r="S168" i="31"/>
  <c r="C169" i="31"/>
  <c r="E169" i="31"/>
  <c r="G169" i="31"/>
  <c r="I169" i="31"/>
  <c r="K169" i="31"/>
  <c r="M169" i="31"/>
  <c r="O169" i="31"/>
  <c r="Q169" i="31"/>
  <c r="R169" i="31"/>
  <c r="S169" i="31"/>
  <c r="C170" i="31"/>
  <c r="E170" i="31"/>
  <c r="G170" i="31"/>
  <c r="I170" i="31"/>
  <c r="K170" i="31"/>
  <c r="M170" i="31"/>
  <c r="O170" i="31"/>
  <c r="Q170" i="31"/>
  <c r="R170" i="31"/>
  <c r="S170" i="31"/>
  <c r="C171" i="31"/>
  <c r="E171" i="31"/>
  <c r="G171" i="31"/>
  <c r="I171" i="31"/>
  <c r="K171" i="31"/>
  <c r="M171" i="31"/>
  <c r="O171" i="31"/>
  <c r="Q171" i="31"/>
  <c r="R171" i="31"/>
  <c r="S171" i="31"/>
  <c r="C172" i="31"/>
  <c r="E172" i="31"/>
  <c r="G172" i="31"/>
  <c r="I172" i="31"/>
  <c r="K172" i="31"/>
  <c r="M172" i="31"/>
  <c r="O172" i="31"/>
  <c r="Q172" i="31"/>
  <c r="R172" i="31"/>
  <c r="S172" i="31"/>
  <c r="C173" i="31"/>
  <c r="E173" i="31"/>
  <c r="G173" i="31"/>
  <c r="I173" i="31"/>
  <c r="K173" i="31"/>
  <c r="M173" i="31"/>
  <c r="O173" i="31"/>
  <c r="Q173" i="31"/>
  <c r="R173" i="31"/>
  <c r="S173" i="31"/>
  <c r="C174" i="31"/>
  <c r="E174" i="31"/>
  <c r="G174" i="31"/>
  <c r="I174" i="31"/>
  <c r="K174" i="31"/>
  <c r="M174" i="31"/>
  <c r="O174" i="31"/>
  <c r="Q174" i="31"/>
  <c r="R174" i="31"/>
  <c r="S174" i="31"/>
  <c r="C175" i="31"/>
  <c r="E175" i="31"/>
  <c r="G175" i="31"/>
  <c r="I175" i="31"/>
  <c r="K175" i="31"/>
  <c r="M175" i="31"/>
  <c r="O175" i="31"/>
  <c r="Q175" i="31"/>
  <c r="R175" i="31"/>
  <c r="S175" i="31"/>
  <c r="C176" i="31"/>
  <c r="E176" i="31"/>
  <c r="G176" i="31"/>
  <c r="I176" i="31"/>
  <c r="K176" i="31"/>
  <c r="M176" i="31"/>
  <c r="O176" i="31"/>
  <c r="Q176" i="31"/>
  <c r="R176" i="31"/>
  <c r="S176" i="31"/>
  <c r="C177" i="31"/>
  <c r="E177" i="31"/>
  <c r="G177" i="31"/>
  <c r="I177" i="31"/>
  <c r="K177" i="31"/>
  <c r="M177" i="31"/>
  <c r="O177" i="31"/>
  <c r="Q177" i="31"/>
  <c r="R177" i="31"/>
  <c r="S177" i="31"/>
  <c r="R178" i="31"/>
  <c r="S178" i="31"/>
  <c r="C179" i="31"/>
  <c r="E179" i="31"/>
  <c r="G179" i="31"/>
  <c r="I179" i="31"/>
  <c r="K179" i="31"/>
  <c r="M179" i="31"/>
  <c r="O179" i="31"/>
  <c r="Q179" i="31"/>
  <c r="R179" i="31"/>
  <c r="S179" i="31"/>
  <c r="C180" i="31"/>
  <c r="E180" i="31"/>
  <c r="G180" i="31"/>
  <c r="I180" i="31"/>
  <c r="K180" i="31"/>
  <c r="M180" i="31"/>
  <c r="O180" i="31"/>
  <c r="Q180" i="31"/>
  <c r="R180" i="31"/>
  <c r="S180" i="31"/>
  <c r="C181" i="31"/>
  <c r="E181" i="31"/>
  <c r="G181" i="31"/>
  <c r="I181" i="31"/>
  <c r="K181" i="31"/>
  <c r="M181" i="31"/>
  <c r="O181" i="31"/>
  <c r="Q181" i="31"/>
  <c r="R181" i="31"/>
  <c r="S181" i="31"/>
  <c r="C182" i="31"/>
  <c r="E182" i="31"/>
  <c r="G182" i="31"/>
  <c r="I182" i="31"/>
  <c r="K182" i="31"/>
  <c r="M182" i="31"/>
  <c r="O182" i="31"/>
  <c r="Q182" i="31"/>
  <c r="R182" i="31"/>
  <c r="S182" i="31"/>
  <c r="C183" i="31"/>
  <c r="E183" i="31"/>
  <c r="G183" i="31"/>
  <c r="I183" i="31"/>
  <c r="K183" i="31"/>
  <c r="M183" i="31"/>
  <c r="O183" i="31"/>
  <c r="Q183" i="31"/>
  <c r="R183" i="31"/>
  <c r="S183" i="31"/>
  <c r="C184" i="31"/>
  <c r="E184" i="31"/>
  <c r="G184" i="31"/>
  <c r="I184" i="31"/>
  <c r="K184" i="31"/>
  <c r="M184" i="31"/>
  <c r="O184" i="31"/>
  <c r="Q184" i="31"/>
  <c r="R184" i="31"/>
  <c r="S184" i="31"/>
  <c r="C185" i="31"/>
  <c r="E185" i="31"/>
  <c r="G185" i="31"/>
  <c r="I185" i="31"/>
  <c r="K185" i="31"/>
  <c r="M185" i="31"/>
  <c r="O185" i="31"/>
  <c r="Q185" i="31"/>
  <c r="R185" i="31"/>
  <c r="S185" i="31"/>
  <c r="C186" i="31"/>
  <c r="E186" i="31"/>
  <c r="G186" i="31"/>
  <c r="I186" i="31"/>
  <c r="K186" i="31"/>
  <c r="M186" i="31"/>
  <c r="O186" i="31"/>
  <c r="Q186"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C30" i="31"/>
  <c r="E30" i="31"/>
  <c r="G30" i="31"/>
  <c r="I30" i="31"/>
  <c r="K30" i="31"/>
  <c r="M30" i="31"/>
  <c r="O30" i="31"/>
  <c r="Q30" i="31"/>
  <c r="R30" i="31"/>
  <c r="S30" i="31"/>
  <c r="C31" i="31"/>
  <c r="E31" i="31"/>
  <c r="G31" i="31"/>
  <c r="I31" i="31"/>
  <c r="K31" i="31"/>
  <c r="M31" i="31"/>
  <c r="O31" i="31"/>
  <c r="Q31" i="31"/>
  <c r="R31" i="31"/>
  <c r="S31" i="31"/>
  <c r="C32" i="31"/>
  <c r="E32" i="31"/>
  <c r="G32" i="31"/>
  <c r="I32" i="31"/>
  <c r="K32" i="31"/>
  <c r="M32" i="31"/>
  <c r="O32" i="31"/>
  <c r="Q32" i="31"/>
  <c r="R32" i="31"/>
  <c r="S32" i="31"/>
  <c r="C33" i="31"/>
  <c r="E33" i="31"/>
  <c r="G33" i="31"/>
  <c r="I33" i="31"/>
  <c r="K33" i="31"/>
  <c r="M33" i="31"/>
  <c r="O33" i="31"/>
  <c r="Q33" i="31"/>
  <c r="R33" i="31"/>
  <c r="S33" i="31"/>
  <c r="C34" i="31"/>
  <c r="E34" i="31"/>
  <c r="G34" i="31"/>
  <c r="I34" i="31"/>
  <c r="K34" i="31"/>
  <c r="M34" i="31"/>
  <c r="O34" i="31"/>
  <c r="Q34" i="31"/>
  <c r="R34" i="31"/>
  <c r="S34" i="31"/>
  <c r="C35" i="31"/>
  <c r="E35" i="31"/>
  <c r="G35" i="31"/>
  <c r="I35" i="31"/>
  <c r="K35" i="31"/>
  <c r="M35" i="31"/>
  <c r="O35" i="31"/>
  <c r="Q35" i="31"/>
  <c r="R35" i="31"/>
  <c r="S35" i="31"/>
  <c r="C36" i="31"/>
  <c r="E36" i="31"/>
  <c r="G36" i="31"/>
  <c r="I36" i="31"/>
  <c r="K36" i="31"/>
  <c r="M36" i="31"/>
  <c r="O36" i="31"/>
  <c r="Q36" i="31"/>
  <c r="R36" i="31"/>
  <c r="S36" i="31"/>
  <c r="C37" i="31"/>
  <c r="E37" i="31"/>
  <c r="G37" i="31"/>
  <c r="I37" i="31"/>
  <c r="K37" i="31"/>
  <c r="M37" i="31"/>
  <c r="O37" i="31"/>
  <c r="Q37" i="31"/>
  <c r="R37" i="31"/>
  <c r="S37" i="31"/>
  <c r="C38" i="31"/>
  <c r="E38" i="31"/>
  <c r="G38" i="31"/>
  <c r="I38" i="31"/>
  <c r="K38" i="31"/>
  <c r="M38" i="31"/>
  <c r="O38" i="31"/>
  <c r="Q38" i="31"/>
  <c r="R38" i="31"/>
  <c r="S38" i="31"/>
  <c r="C39" i="31"/>
  <c r="E39" i="31"/>
  <c r="G39" i="31"/>
  <c r="I39" i="31"/>
  <c r="K39" i="31"/>
  <c r="M39" i="31"/>
  <c r="O39" i="31"/>
  <c r="Q39" i="31"/>
  <c r="R39" i="31"/>
  <c r="S39" i="31"/>
  <c r="C40" i="31"/>
  <c r="E40" i="31"/>
  <c r="G40" i="31"/>
  <c r="I40" i="31"/>
  <c r="K40" i="31"/>
  <c r="M40" i="31"/>
  <c r="O40" i="31"/>
  <c r="Q40" i="31"/>
  <c r="R40" i="31"/>
  <c r="S40" i="31"/>
  <c r="C41" i="31"/>
  <c r="E41" i="31"/>
  <c r="G41" i="31"/>
  <c r="I41" i="31"/>
  <c r="K41" i="31"/>
  <c r="M41" i="31"/>
  <c r="O41" i="31"/>
  <c r="Q41" i="31"/>
  <c r="R41" i="31"/>
  <c r="S41" i="31"/>
  <c r="C42" i="31"/>
  <c r="E42" i="31"/>
  <c r="G42" i="31"/>
  <c r="I42" i="31"/>
  <c r="K42" i="31"/>
  <c r="M42" i="31"/>
  <c r="O42" i="31"/>
  <c r="Q42" i="31"/>
  <c r="R42" i="31"/>
  <c r="S42" i="31"/>
  <c r="C43" i="31"/>
  <c r="E43" i="31"/>
  <c r="G43" i="31"/>
  <c r="I43" i="31"/>
  <c r="K43" i="31"/>
  <c r="M43" i="31"/>
  <c r="O43" i="31"/>
  <c r="Q43" i="31"/>
  <c r="R43" i="31"/>
  <c r="S43" i="31"/>
  <c r="C44" i="31"/>
  <c r="E44" i="31"/>
  <c r="G44" i="31"/>
  <c r="I44" i="31"/>
  <c r="K44" i="31"/>
  <c r="M44" i="31"/>
  <c r="O44" i="31"/>
  <c r="Q44" i="31"/>
  <c r="R44" i="31"/>
  <c r="S44" i="31"/>
  <c r="C45" i="31"/>
  <c r="E45" i="31"/>
  <c r="G45" i="31"/>
  <c r="I45" i="31"/>
  <c r="K45" i="31"/>
  <c r="M45" i="31"/>
  <c r="O45" i="31"/>
  <c r="Q45" i="31"/>
  <c r="R45" i="31"/>
  <c r="S45" i="31"/>
  <c r="C46" i="31"/>
  <c r="E46" i="31"/>
  <c r="G46" i="31"/>
  <c r="I46" i="31"/>
  <c r="K46" i="31"/>
  <c r="M46" i="31"/>
  <c r="O46" i="31"/>
  <c r="Q46" i="31"/>
  <c r="R46" i="31"/>
  <c r="S46" i="31"/>
  <c r="C47" i="31"/>
  <c r="E47" i="31"/>
  <c r="G47" i="31"/>
  <c r="I47" i="31"/>
  <c r="K47" i="31"/>
  <c r="M47" i="31"/>
  <c r="O47" i="31"/>
  <c r="Q47" i="31"/>
  <c r="R47" i="31"/>
  <c r="S47" i="31"/>
  <c r="C48" i="31"/>
  <c r="E48" i="31"/>
  <c r="G48" i="31"/>
  <c r="I48" i="31"/>
  <c r="K48" i="31"/>
  <c r="M48" i="31"/>
  <c r="O48" i="31"/>
  <c r="Q48" i="31"/>
  <c r="R48" i="31"/>
  <c r="S48" i="31"/>
  <c r="C49" i="31"/>
  <c r="E49" i="31"/>
  <c r="G49" i="31"/>
  <c r="I49" i="31"/>
  <c r="K49" i="31"/>
  <c r="M49" i="31"/>
  <c r="O49" i="31"/>
  <c r="Q49" i="31"/>
  <c r="R49" i="31"/>
  <c r="S49" i="31"/>
  <c r="C50" i="31"/>
  <c r="E50" i="31"/>
  <c r="G50" i="31"/>
  <c r="I50" i="31"/>
  <c r="K50" i="31"/>
  <c r="M50" i="31"/>
  <c r="O50" i="31"/>
  <c r="Q50" i="31"/>
  <c r="R50" i="31"/>
  <c r="S50" i="31"/>
  <c r="C51" i="31"/>
  <c r="E51" i="31"/>
  <c r="G51" i="31"/>
  <c r="I51" i="31"/>
  <c r="K51" i="31"/>
  <c r="M51" i="31"/>
  <c r="O51" i="31"/>
  <c r="Q51" i="31"/>
  <c r="R51" i="31"/>
  <c r="S51" i="31"/>
  <c r="C52" i="31"/>
  <c r="E52" i="31"/>
  <c r="G52" i="31"/>
  <c r="I52" i="31"/>
  <c r="K52" i="31"/>
  <c r="M52" i="31"/>
  <c r="O52" i="31"/>
  <c r="Q52" i="31"/>
  <c r="R52" i="31"/>
  <c r="S52" i="31"/>
  <c r="C53" i="31"/>
  <c r="E53" i="31"/>
  <c r="G53" i="31"/>
  <c r="I53" i="31"/>
  <c r="K53" i="31"/>
  <c r="M53" i="31"/>
  <c r="O53" i="31"/>
  <c r="Q53" i="31"/>
  <c r="R53" i="31"/>
  <c r="S53" i="31"/>
  <c r="C54" i="31"/>
  <c r="E54" i="31"/>
  <c r="G54" i="31"/>
  <c r="I54" i="31"/>
  <c r="K54" i="31"/>
  <c r="M54" i="31"/>
  <c r="O54" i="31"/>
  <c r="Q54" i="31"/>
  <c r="R54" i="31"/>
  <c r="S54" i="31"/>
  <c r="C55" i="31"/>
  <c r="E55" i="31"/>
  <c r="G55" i="31"/>
  <c r="I55" i="31"/>
  <c r="K55" i="31"/>
  <c r="M55" i="31"/>
  <c r="O55" i="31"/>
  <c r="Q55" i="31"/>
  <c r="R55" i="31"/>
  <c r="S55" i="31"/>
  <c r="C56" i="31"/>
  <c r="E56" i="31"/>
  <c r="G56" i="31"/>
  <c r="I56" i="31"/>
  <c r="K56" i="31"/>
  <c r="M56" i="31"/>
  <c r="O56" i="31"/>
  <c r="Q56" i="31"/>
  <c r="R56" i="31"/>
  <c r="S56" i="31"/>
  <c r="C57" i="31"/>
  <c r="E57" i="31"/>
  <c r="G57" i="31"/>
  <c r="I57" i="31"/>
  <c r="K57" i="31"/>
  <c r="M57" i="31"/>
  <c r="O57" i="31"/>
  <c r="Q57" i="31"/>
  <c r="R57" i="31"/>
  <c r="S57" i="31"/>
  <c r="C58" i="31"/>
  <c r="E58" i="31"/>
  <c r="G58" i="31"/>
  <c r="I58" i="31"/>
  <c r="K58" i="31"/>
  <c r="M58" i="31"/>
  <c r="O58" i="31"/>
  <c r="Q58" i="31"/>
  <c r="R58" i="31"/>
  <c r="S58" i="31"/>
  <c r="C59" i="31"/>
  <c r="E59" i="31"/>
  <c r="G59" i="31"/>
  <c r="I59" i="31"/>
  <c r="K59" i="31"/>
  <c r="M59" i="31"/>
  <c r="O59" i="31"/>
  <c r="Q59" i="31"/>
  <c r="R59" i="31"/>
  <c r="S59" i="31"/>
  <c r="C60" i="31"/>
  <c r="E60" i="31"/>
  <c r="G60" i="31"/>
  <c r="I60" i="31"/>
  <c r="K60" i="31"/>
  <c r="M60" i="31"/>
  <c r="O60" i="31"/>
  <c r="Q60" i="31"/>
  <c r="R60" i="31"/>
  <c r="S60" i="31"/>
  <c r="C61" i="31"/>
  <c r="E61" i="31"/>
  <c r="G61" i="31"/>
  <c r="I61" i="31"/>
  <c r="K61" i="31"/>
  <c r="M61" i="31"/>
  <c r="O61" i="31"/>
  <c r="Q61" i="31"/>
  <c r="R61" i="31"/>
  <c r="S61" i="31"/>
  <c r="C62" i="31"/>
  <c r="E62" i="31"/>
  <c r="G62" i="31"/>
  <c r="I62" i="31"/>
  <c r="K62" i="31"/>
  <c r="M62" i="31"/>
  <c r="O62" i="31"/>
  <c r="Q62" i="31"/>
  <c r="R62" i="31"/>
  <c r="S62" i="31"/>
  <c r="C63" i="31"/>
  <c r="E63" i="31"/>
  <c r="G63" i="31"/>
  <c r="I63" i="31"/>
  <c r="K63" i="31"/>
  <c r="M63" i="31"/>
  <c r="O63" i="31"/>
  <c r="Q63" i="31"/>
  <c r="R63" i="31"/>
  <c r="S63" i="31"/>
  <c r="C64" i="31"/>
  <c r="E64" i="31"/>
  <c r="G64" i="31"/>
  <c r="I64" i="31"/>
  <c r="K64" i="31"/>
  <c r="M64" i="31"/>
  <c r="O64" i="31"/>
  <c r="Q64" i="31"/>
  <c r="R64" i="31"/>
  <c r="S64" i="31"/>
  <c r="C65" i="31"/>
  <c r="E65" i="31"/>
  <c r="G65" i="31"/>
  <c r="I65" i="31"/>
  <c r="K65" i="31"/>
  <c r="M65" i="31"/>
  <c r="O65" i="31"/>
  <c r="Q65" i="31"/>
  <c r="R65" i="31"/>
  <c r="S65" i="31"/>
  <c r="C66" i="31"/>
  <c r="E66" i="31"/>
  <c r="G66" i="31"/>
  <c r="I66" i="31"/>
  <c r="K66" i="31"/>
  <c r="M66" i="31"/>
  <c r="O66" i="31"/>
  <c r="Q66" i="31"/>
  <c r="R66" i="31"/>
  <c r="S66" i="31"/>
  <c r="C67" i="31"/>
  <c r="E67" i="31"/>
  <c r="G67" i="31"/>
  <c r="I67" i="31"/>
  <c r="K67" i="31"/>
  <c r="M67" i="31"/>
  <c r="O67" i="31"/>
  <c r="Q67" i="31"/>
  <c r="R67" i="31"/>
  <c r="S67" i="31"/>
  <c r="C68" i="31"/>
  <c r="E68" i="31"/>
  <c r="G68" i="31"/>
  <c r="I68" i="31"/>
  <c r="K68" i="31"/>
  <c r="M68" i="31"/>
  <c r="O68" i="31"/>
  <c r="Q68" i="31"/>
  <c r="R68" i="31"/>
  <c r="S68" i="31"/>
  <c r="R69" i="31"/>
  <c r="S69" i="31"/>
  <c r="C70" i="31"/>
  <c r="E70" i="31"/>
  <c r="G70" i="31"/>
  <c r="I70" i="31"/>
  <c r="K70" i="31"/>
  <c r="M70" i="31"/>
  <c r="O70" i="31"/>
  <c r="Q70" i="31"/>
  <c r="R70" i="31"/>
  <c r="S70" i="31"/>
  <c r="C71" i="31"/>
  <c r="E71" i="31"/>
  <c r="G71" i="31"/>
  <c r="I71" i="31"/>
  <c r="K71" i="31"/>
  <c r="M71" i="31"/>
  <c r="O71" i="31"/>
  <c r="Q71" i="31"/>
  <c r="R71" i="31"/>
  <c r="S71" i="31"/>
  <c r="C72" i="31"/>
  <c r="E72" i="31"/>
  <c r="G72" i="31"/>
  <c r="I72" i="31"/>
  <c r="K72" i="31"/>
  <c r="M72" i="31"/>
  <c r="O72" i="31"/>
  <c r="Q72" i="31"/>
  <c r="R72" i="31"/>
  <c r="S72" i="31"/>
  <c r="C73" i="31"/>
  <c r="E73" i="31"/>
  <c r="G73" i="31"/>
  <c r="I73" i="31"/>
  <c r="K73" i="31"/>
  <c r="M73" i="31"/>
  <c r="O73" i="31"/>
  <c r="Q73" i="31"/>
  <c r="R73" i="31"/>
  <c r="S73" i="31"/>
  <c r="C74" i="31"/>
  <c r="E74" i="31"/>
  <c r="G74" i="31"/>
  <c r="I74" i="31"/>
  <c r="K74" i="31"/>
  <c r="M74" i="31"/>
  <c r="O74" i="31"/>
  <c r="Q74" i="31"/>
  <c r="R74" i="31"/>
  <c r="S74" i="31"/>
  <c r="C75" i="31"/>
  <c r="E75" i="31"/>
  <c r="G75" i="31"/>
  <c r="I75" i="31"/>
  <c r="K75" i="31"/>
  <c r="M75" i="31"/>
  <c r="O75" i="31"/>
  <c r="Q75" i="31"/>
  <c r="R75" i="31"/>
  <c r="S75" i="31"/>
  <c r="C76" i="31"/>
  <c r="E76" i="31"/>
  <c r="G76" i="31"/>
  <c r="I76" i="31"/>
  <c r="K76" i="31"/>
  <c r="M76" i="31"/>
  <c r="O76" i="31"/>
  <c r="Q76" i="31"/>
  <c r="R76" i="31"/>
  <c r="S76" i="31"/>
  <c r="C77" i="31"/>
  <c r="E77" i="31"/>
  <c r="G77" i="31"/>
  <c r="I77" i="31"/>
  <c r="K77" i="31"/>
  <c r="M77" i="31"/>
  <c r="O77" i="31"/>
  <c r="Q77" i="31"/>
  <c r="R77" i="31"/>
  <c r="S77" i="31"/>
  <c r="C78" i="31"/>
  <c r="E78" i="31"/>
  <c r="G78" i="31"/>
  <c r="I78" i="31"/>
  <c r="K78" i="31"/>
  <c r="M78" i="31"/>
  <c r="O78" i="31"/>
  <c r="Q78" i="31"/>
  <c r="R78" i="31"/>
  <c r="S78" i="31"/>
  <c r="C79" i="31"/>
  <c r="E79" i="31"/>
  <c r="G79" i="31"/>
  <c r="I79" i="31"/>
  <c r="K79" i="31"/>
  <c r="M79" i="31"/>
  <c r="O79" i="31"/>
  <c r="Q79" i="31"/>
  <c r="R79" i="31"/>
  <c r="S79" i="31"/>
  <c r="C80" i="31"/>
  <c r="E80" i="31"/>
  <c r="G80" i="31"/>
  <c r="I80" i="31"/>
  <c r="K80" i="31"/>
  <c r="M80" i="31"/>
  <c r="O80" i="31"/>
  <c r="Q80" i="31"/>
  <c r="R80" i="31"/>
  <c r="S80" i="31"/>
  <c r="C81" i="31"/>
  <c r="E81" i="31"/>
  <c r="G81" i="31"/>
  <c r="I81" i="31"/>
  <c r="K81" i="31"/>
  <c r="M81" i="31"/>
  <c r="O81" i="31"/>
  <c r="Q81" i="31"/>
  <c r="R81" i="31"/>
  <c r="S81" i="31"/>
  <c r="C82" i="31"/>
  <c r="E82" i="31"/>
  <c r="G82" i="31"/>
  <c r="I82" i="31"/>
  <c r="K82" i="31"/>
  <c r="M82" i="31"/>
  <c r="O82" i="31"/>
  <c r="Q82" i="31"/>
  <c r="R82" i="31"/>
  <c r="S82" i="31"/>
  <c r="C83" i="31"/>
  <c r="E83" i="31"/>
  <c r="G83" i="31"/>
  <c r="I83" i="31"/>
  <c r="K83" i="31"/>
  <c r="M83" i="31"/>
  <c r="O83" i="31"/>
  <c r="Q83" i="31"/>
  <c r="R83" i="31"/>
  <c r="S83" i="31"/>
  <c r="C84" i="31"/>
  <c r="E84" i="31"/>
  <c r="G84" i="31"/>
  <c r="I84" i="31"/>
  <c r="K84" i="31"/>
  <c r="M84" i="31"/>
  <c r="O84" i="31"/>
  <c r="Q84" i="31"/>
  <c r="R84" i="31"/>
  <c r="S84" i="31"/>
  <c r="C85" i="31"/>
  <c r="E85" i="31"/>
  <c r="G85" i="31"/>
  <c r="I85" i="31"/>
  <c r="K85" i="31"/>
  <c r="M85" i="31"/>
  <c r="O85" i="31"/>
  <c r="Q85" i="31"/>
  <c r="R85" i="31"/>
  <c r="S85" i="31"/>
  <c r="C86" i="31"/>
  <c r="E86" i="31"/>
  <c r="G86" i="31"/>
  <c r="I86" i="31"/>
  <c r="K86" i="31"/>
  <c r="M86" i="31"/>
  <c r="O86" i="31"/>
  <c r="Q86" i="31"/>
  <c r="R86" i="31"/>
  <c r="S86" i="31"/>
  <c r="C87" i="31"/>
  <c r="E87" i="31"/>
  <c r="G87" i="31"/>
  <c r="I87" i="31"/>
  <c r="K87" i="31"/>
  <c r="M87" i="31"/>
  <c r="O87" i="31"/>
  <c r="Q87" i="31"/>
  <c r="R87" i="31"/>
  <c r="S87" i="31"/>
  <c r="C88" i="31"/>
  <c r="E88" i="31"/>
  <c r="G88" i="31"/>
  <c r="I88" i="31"/>
  <c r="K88" i="31"/>
  <c r="M88" i="31"/>
  <c r="O88" i="31"/>
  <c r="Q88" i="31"/>
  <c r="R88" i="31"/>
  <c r="S88" i="31"/>
  <c r="C89" i="31"/>
  <c r="E89" i="31"/>
  <c r="G89" i="31"/>
  <c r="I89" i="31"/>
  <c r="K89" i="31"/>
  <c r="M89" i="31"/>
  <c r="O89" i="31"/>
  <c r="Q89" i="31"/>
  <c r="R89" i="31"/>
  <c r="S89" i="31"/>
  <c r="C90" i="31"/>
  <c r="E90" i="31"/>
  <c r="G90" i="31"/>
  <c r="I90" i="31"/>
  <c r="K90" i="31"/>
  <c r="M90" i="31"/>
  <c r="O90" i="31"/>
  <c r="Q90" i="31"/>
  <c r="R90" i="31"/>
  <c r="S90" i="31"/>
  <c r="R91" i="31"/>
  <c r="S91" i="31"/>
  <c r="C92" i="31"/>
  <c r="E92" i="31"/>
  <c r="G92" i="31"/>
  <c r="I92" i="31"/>
  <c r="K92" i="31"/>
  <c r="M92" i="31"/>
  <c r="O92" i="31"/>
  <c r="Q92" i="31"/>
  <c r="R92" i="31"/>
  <c r="S92" i="31"/>
  <c r="C93" i="31"/>
  <c r="E93" i="31"/>
  <c r="G93" i="31"/>
  <c r="I93" i="31"/>
  <c r="K93" i="31"/>
  <c r="M93" i="31"/>
  <c r="O93" i="31"/>
  <c r="Q93" i="31"/>
  <c r="R93" i="31"/>
  <c r="S93" i="31"/>
  <c r="C94" i="31"/>
  <c r="E94" i="31"/>
  <c r="G94" i="31"/>
  <c r="I94" i="31"/>
  <c r="K94" i="31"/>
  <c r="M94" i="31"/>
  <c r="O94" i="31"/>
  <c r="Q94" i="31"/>
  <c r="R94" i="31"/>
  <c r="S94" i="31"/>
  <c r="C95" i="31"/>
  <c r="E95" i="31"/>
  <c r="G95" i="31"/>
  <c r="I95" i="31"/>
  <c r="K95" i="31"/>
  <c r="M95" i="31"/>
  <c r="O95" i="31"/>
  <c r="Q95" i="31"/>
  <c r="R95" i="31"/>
  <c r="S95" i="31"/>
  <c r="C96" i="31"/>
  <c r="E96" i="31"/>
  <c r="G96" i="31"/>
  <c r="I96" i="31"/>
  <c r="K96" i="31"/>
  <c r="M96" i="31"/>
  <c r="O96" i="31"/>
  <c r="Q96" i="31"/>
  <c r="R96" i="31"/>
  <c r="S96" i="31"/>
  <c r="C97" i="31"/>
  <c r="E97" i="31"/>
  <c r="G97" i="31"/>
  <c r="I97" i="31"/>
  <c r="K97" i="31"/>
  <c r="M97" i="31"/>
  <c r="O97" i="31"/>
  <c r="Q97" i="31"/>
  <c r="R97" i="31"/>
  <c r="S97" i="31"/>
  <c r="C98" i="31"/>
  <c r="E98" i="31"/>
  <c r="G98" i="31"/>
  <c r="I98" i="31"/>
  <c r="K98" i="31"/>
  <c r="M98" i="31"/>
  <c r="O98" i="31"/>
  <c r="Q98" i="31"/>
  <c r="R98" i="31"/>
  <c r="S98" i="31"/>
  <c r="C99" i="31"/>
  <c r="E99" i="31"/>
  <c r="G99" i="31"/>
  <c r="I99" i="31"/>
  <c r="K99" i="31"/>
  <c r="M99" i="31"/>
  <c r="O99" i="31"/>
  <c r="Q99" i="31"/>
  <c r="R99" i="31"/>
  <c r="S99" i="31"/>
  <c r="C100" i="31"/>
  <c r="E100" i="31"/>
  <c r="G100" i="31"/>
  <c r="I100" i="31"/>
  <c r="K100" i="31"/>
  <c r="M100" i="31"/>
  <c r="O100" i="31"/>
  <c r="Q100" i="31"/>
  <c r="R100" i="31"/>
  <c r="S100" i="31"/>
  <c r="C101" i="31"/>
  <c r="E101" i="31"/>
  <c r="G101" i="31"/>
  <c r="I101" i="31"/>
  <c r="K101" i="31"/>
  <c r="M101" i="31"/>
  <c r="O101" i="31"/>
  <c r="Q101" i="31"/>
  <c r="R101" i="31"/>
  <c r="S101" i="31"/>
  <c r="C102" i="31"/>
  <c r="E102" i="31"/>
  <c r="G102" i="31"/>
  <c r="I102" i="31"/>
  <c r="K102" i="31"/>
  <c r="M102" i="31"/>
  <c r="O102" i="31"/>
  <c r="Q102" i="31"/>
  <c r="R102" i="31"/>
  <c r="S102" i="31"/>
  <c r="C103" i="31"/>
  <c r="E103" i="31"/>
  <c r="G103" i="31"/>
  <c r="I103" i="31"/>
  <c r="K103" i="31"/>
  <c r="M103" i="31"/>
  <c r="O103" i="31"/>
  <c r="Q103" i="31"/>
  <c r="R103" i="31"/>
  <c r="S103" i="31"/>
  <c r="C104" i="31"/>
  <c r="E104" i="31"/>
  <c r="G104" i="31"/>
  <c r="I104" i="31"/>
  <c r="K104" i="31"/>
  <c r="M104" i="31"/>
  <c r="O104" i="31"/>
  <c r="Q104" i="31"/>
  <c r="R104" i="31"/>
  <c r="S104" i="31"/>
  <c r="C105" i="31"/>
  <c r="E105" i="31"/>
  <c r="G105" i="31"/>
  <c r="I105" i="31"/>
  <c r="K105" i="31"/>
  <c r="M105" i="31"/>
  <c r="O105" i="31"/>
  <c r="Q105" i="31"/>
  <c r="R105" i="31"/>
  <c r="S105" i="31"/>
  <c r="C106" i="31"/>
  <c r="E106" i="31"/>
  <c r="G106" i="31"/>
  <c r="I106" i="31"/>
  <c r="K106" i="31"/>
  <c r="M106" i="31"/>
  <c r="O106" i="31"/>
  <c r="Q106" i="31"/>
  <c r="R106" i="31"/>
  <c r="S106" i="31"/>
  <c r="C107" i="31"/>
  <c r="E107" i="31"/>
  <c r="G107" i="31"/>
  <c r="I107" i="31"/>
  <c r="K107" i="31"/>
  <c r="M107" i="31"/>
  <c r="O107" i="31"/>
  <c r="Q107" i="31"/>
  <c r="R107" i="31"/>
  <c r="S107" i="31"/>
  <c r="C108" i="31"/>
  <c r="E108" i="31"/>
  <c r="G108" i="31"/>
  <c r="I108" i="31"/>
  <c r="K108" i="31"/>
  <c r="M108" i="31"/>
  <c r="O108" i="31"/>
  <c r="Q108" i="31"/>
  <c r="R108" i="31"/>
  <c r="S108" i="31"/>
  <c r="C109" i="31"/>
  <c r="E109" i="31"/>
  <c r="G109" i="31"/>
  <c r="I109" i="31"/>
  <c r="K109" i="31"/>
  <c r="M109" i="31"/>
  <c r="O109" i="31"/>
  <c r="Q109" i="31"/>
  <c r="R109" i="31"/>
  <c r="S109" i="31"/>
  <c r="C110" i="31"/>
  <c r="E110" i="31"/>
  <c r="G110" i="31"/>
  <c r="I110" i="31"/>
  <c r="K110" i="31"/>
  <c r="M110" i="31"/>
  <c r="O110" i="31"/>
  <c r="Q110" i="31"/>
  <c r="R110" i="31"/>
  <c r="S110" i="31"/>
  <c r="C111" i="31"/>
  <c r="E111" i="31"/>
  <c r="G111" i="31"/>
  <c r="I111" i="31"/>
  <c r="K111" i="31"/>
  <c r="M111" i="31"/>
  <c r="O111" i="31"/>
  <c r="Q111" i="31"/>
  <c r="R111" i="31"/>
  <c r="S111" i="31"/>
  <c r="C112" i="31"/>
  <c r="E112" i="31"/>
  <c r="G112" i="31"/>
  <c r="I112" i="31"/>
  <c r="K112" i="31"/>
  <c r="M112" i="31"/>
  <c r="O112" i="31"/>
  <c r="Q112" i="31"/>
  <c r="R112" i="31"/>
  <c r="S112" i="31"/>
  <c r="C113" i="31"/>
  <c r="E113" i="31"/>
  <c r="G113" i="31"/>
  <c r="I113" i="31"/>
  <c r="K113" i="31"/>
  <c r="M113" i="31"/>
  <c r="O113" i="31"/>
  <c r="Q113" i="31"/>
  <c r="R113" i="31"/>
  <c r="S113" i="31"/>
  <c r="C114" i="31"/>
  <c r="E114" i="31"/>
  <c r="G114" i="31"/>
  <c r="I114" i="31"/>
  <c r="K114" i="31"/>
  <c r="M114" i="31"/>
  <c r="O114" i="31"/>
  <c r="Q114" i="31"/>
  <c r="R114" i="31"/>
  <c r="S114" i="31"/>
  <c r="C115" i="31"/>
  <c r="E115" i="31"/>
  <c r="G115" i="31"/>
  <c r="I115" i="31"/>
  <c r="K115" i="31"/>
  <c r="M115" i="31"/>
  <c r="O115" i="31"/>
  <c r="Q115" i="31"/>
  <c r="R115" i="31"/>
  <c r="S115" i="31"/>
  <c r="C116" i="31"/>
  <c r="E116" i="31"/>
  <c r="G116" i="31"/>
  <c r="I116" i="31"/>
  <c r="K116" i="31"/>
  <c r="M116" i="31"/>
  <c r="O116" i="31"/>
  <c r="Q116" i="31"/>
  <c r="R116" i="31"/>
  <c r="S116" i="31"/>
  <c r="C117" i="31"/>
  <c r="E117" i="31"/>
  <c r="G117" i="31"/>
  <c r="I117" i="31"/>
  <c r="K117" i="31"/>
  <c r="M117" i="31"/>
  <c r="O117" i="31"/>
  <c r="Q117" i="31"/>
  <c r="R117" i="31"/>
  <c r="S117" i="31"/>
  <c r="C118" i="31"/>
  <c r="E118" i="31"/>
  <c r="G118" i="31"/>
  <c r="I118" i="31"/>
  <c r="K118" i="31"/>
  <c r="M118" i="31"/>
  <c r="O118" i="31"/>
  <c r="Q118" i="31"/>
  <c r="R118" i="31"/>
  <c r="S118" i="31"/>
  <c r="C119" i="31"/>
  <c r="E119" i="31"/>
  <c r="G119" i="31"/>
  <c r="I119" i="31"/>
  <c r="K119" i="31"/>
  <c r="M119" i="31"/>
  <c r="O119" i="31"/>
  <c r="Q119" i="31"/>
  <c r="R119" i="31"/>
  <c r="S119" i="31"/>
  <c r="C120" i="31"/>
  <c r="E120" i="31"/>
  <c r="G120" i="31"/>
  <c r="I120" i="31"/>
  <c r="K120" i="31"/>
  <c r="M120" i="31"/>
  <c r="O120" i="31"/>
  <c r="Q120" i="31"/>
  <c r="R120" i="31"/>
  <c r="S120" i="31"/>
  <c r="C121" i="31"/>
  <c r="E121" i="31"/>
  <c r="G121" i="31"/>
  <c r="I121" i="31"/>
  <c r="K121" i="31"/>
  <c r="M121" i="31"/>
  <c r="O121" i="31"/>
  <c r="Q121" i="31"/>
  <c r="R121" i="31"/>
  <c r="S121" i="31"/>
  <c r="C122" i="31"/>
  <c r="E122" i="31"/>
  <c r="G122" i="31"/>
  <c r="I122" i="31"/>
  <c r="K122" i="31"/>
  <c r="M122" i="31"/>
  <c r="O122" i="31"/>
  <c r="Q122" i="31"/>
  <c r="R122" i="31"/>
  <c r="S122" i="31"/>
  <c r="C123" i="31"/>
  <c r="E123" i="31"/>
  <c r="G123" i="31"/>
  <c r="I123" i="31"/>
  <c r="K123" i="31"/>
  <c r="M123" i="31"/>
  <c r="O123" i="31"/>
  <c r="Q123" i="31"/>
  <c r="R123" i="31"/>
  <c r="S123" i="31"/>
  <c r="C124" i="31"/>
  <c r="E124" i="31"/>
  <c r="G124" i="31"/>
  <c r="I124" i="31"/>
  <c r="K124" i="31"/>
  <c r="M124" i="31"/>
  <c r="O124" i="31"/>
  <c r="Q124" i="31"/>
  <c r="R124" i="31"/>
  <c r="S124" i="31"/>
  <c r="C125" i="31"/>
  <c r="E125" i="31"/>
  <c r="G125" i="31"/>
  <c r="I125" i="31"/>
  <c r="K125" i="31"/>
  <c r="M125" i="31"/>
  <c r="O125" i="31"/>
  <c r="Q125" i="31"/>
  <c r="R125" i="31"/>
  <c r="S125" i="31"/>
  <c r="C126" i="31"/>
  <c r="E126" i="31"/>
  <c r="G126" i="31"/>
  <c r="I126" i="31"/>
  <c r="K126" i="31"/>
  <c r="M126" i="31"/>
  <c r="O126" i="31"/>
  <c r="Q126" i="31"/>
  <c r="R126" i="31"/>
  <c r="S126" i="31"/>
  <c r="C127" i="31"/>
  <c r="E127" i="31"/>
  <c r="G127" i="31"/>
  <c r="I127" i="31"/>
  <c r="K127" i="31"/>
  <c r="M127" i="31"/>
  <c r="O127" i="31"/>
  <c r="Q127" i="31"/>
  <c r="R127" i="31"/>
  <c r="S127" i="31"/>
  <c r="C128" i="31"/>
  <c r="E128" i="31"/>
  <c r="G128" i="31"/>
  <c r="I128" i="31"/>
  <c r="K128" i="31"/>
  <c r="M128" i="31"/>
  <c r="O128" i="31"/>
  <c r="Q128" i="31"/>
  <c r="R128" i="31"/>
  <c r="S128" i="31"/>
  <c r="C129" i="31"/>
  <c r="E129" i="31"/>
  <c r="G129" i="31"/>
  <c r="I129" i="31"/>
  <c r="K129" i="31"/>
  <c r="M129" i="31"/>
  <c r="O129" i="31"/>
  <c r="Q129" i="31"/>
  <c r="R129" i="31"/>
  <c r="S129" i="31"/>
  <c r="C130" i="31"/>
  <c r="E130" i="31"/>
  <c r="G130" i="31"/>
  <c r="I130" i="31"/>
  <c r="K130" i="31"/>
  <c r="M130" i="31"/>
  <c r="O130" i="31"/>
  <c r="Q130" i="31"/>
  <c r="R130" i="31"/>
  <c r="S130" i="31"/>
  <c r="R131" i="31"/>
  <c r="S131" i="31"/>
  <c r="C132" i="31"/>
  <c r="E132" i="31"/>
  <c r="G132" i="31"/>
  <c r="I132" i="31"/>
  <c r="K132" i="31"/>
  <c r="M132" i="31"/>
  <c r="O132" i="31"/>
  <c r="Q132" i="31"/>
  <c r="R132" i="31"/>
  <c r="S132" i="31"/>
  <c r="C133" i="31"/>
  <c r="E133" i="31"/>
  <c r="G133" i="31"/>
  <c r="I133" i="31"/>
  <c r="K133" i="31"/>
  <c r="M133" i="31"/>
  <c r="O133" i="31"/>
  <c r="Q133" i="31"/>
  <c r="R133" i="31"/>
  <c r="S133" i="31"/>
  <c r="C134" i="31"/>
  <c r="E134" i="31"/>
  <c r="G134" i="31"/>
  <c r="I134" i="31"/>
  <c r="K134" i="31"/>
  <c r="M134" i="31"/>
  <c r="O134" i="31"/>
  <c r="Q134" i="31"/>
  <c r="R134" i="31"/>
  <c r="S134" i="31"/>
  <c r="C135" i="31"/>
  <c r="E135" i="31"/>
  <c r="G135" i="31"/>
  <c r="I135" i="31"/>
  <c r="K135" i="31"/>
  <c r="M135" i="31"/>
  <c r="O135" i="31"/>
  <c r="Q135" i="31"/>
  <c r="R135" i="31"/>
  <c r="S135" i="31"/>
  <c r="C136" i="31"/>
  <c r="E136" i="31"/>
  <c r="G136" i="31"/>
  <c r="I136" i="31"/>
  <c r="K136" i="31"/>
  <c r="M136" i="31"/>
  <c r="O136" i="31"/>
  <c r="Q136" i="31"/>
  <c r="R136" i="31"/>
  <c r="S136" i="31"/>
  <c r="C137" i="31"/>
  <c r="E137" i="31"/>
  <c r="G137" i="31"/>
  <c r="I137" i="31"/>
  <c r="K137" i="31"/>
  <c r="M137" i="31"/>
  <c r="O137" i="31"/>
  <c r="Q137" i="31"/>
  <c r="R137" i="31"/>
  <c r="S137" i="31"/>
  <c r="C138" i="31"/>
  <c r="E138" i="31"/>
  <c r="G138" i="31"/>
  <c r="I138" i="31"/>
  <c r="K138" i="31"/>
  <c r="M138" i="31"/>
  <c r="O138" i="31"/>
  <c r="Q138" i="31"/>
  <c r="R138" i="31"/>
  <c r="S138" i="31"/>
  <c r="C139" i="31"/>
  <c r="E139" i="31"/>
  <c r="G139" i="31"/>
  <c r="I139" i="31"/>
  <c r="K139" i="31"/>
  <c r="M139" i="31"/>
  <c r="O139" i="31"/>
  <c r="Q139" i="31"/>
  <c r="R139" i="31"/>
  <c r="S139" i="31"/>
  <c r="C140" i="31"/>
  <c r="E140" i="31"/>
  <c r="G140" i="31"/>
  <c r="I140" i="31"/>
  <c r="K140" i="31"/>
  <c r="M140" i="31"/>
  <c r="O140" i="31"/>
  <c r="Q140" i="31"/>
  <c r="R140" i="31"/>
  <c r="S140" i="31"/>
  <c r="C141" i="31"/>
  <c r="E141" i="31"/>
  <c r="G141" i="31"/>
  <c r="I141" i="31"/>
  <c r="K141" i="31"/>
  <c r="M141" i="31"/>
  <c r="O141" i="31"/>
  <c r="Q141" i="31"/>
  <c r="R141" i="31"/>
  <c r="S141" i="31"/>
  <c r="C142" i="31"/>
  <c r="E142" i="31"/>
  <c r="G142" i="31"/>
  <c r="I142" i="31"/>
  <c r="K142" i="31"/>
  <c r="M142" i="31"/>
  <c r="O142" i="31"/>
  <c r="Q142" i="31"/>
  <c r="R142" i="31"/>
  <c r="S142" i="31"/>
  <c r="C143" i="31"/>
  <c r="E143" i="31"/>
  <c r="G143" i="31"/>
  <c r="I143" i="31"/>
  <c r="K143" i="31"/>
  <c r="M143" i="31"/>
  <c r="O143" i="31"/>
  <c r="Q143" i="31"/>
  <c r="R143" i="31"/>
  <c r="S143" i="31"/>
  <c r="C144" i="31"/>
  <c r="E144" i="31"/>
  <c r="G144" i="31"/>
  <c r="I144" i="31"/>
  <c r="K144" i="31"/>
  <c r="M144" i="31"/>
  <c r="O144" i="31"/>
  <c r="Q144" i="31"/>
  <c r="R144" i="31"/>
  <c r="S144" i="31"/>
  <c r="C145" i="31"/>
  <c r="E145" i="31"/>
  <c r="G145" i="31"/>
  <c r="I145" i="31"/>
  <c r="K145" i="31"/>
  <c r="M145" i="31"/>
  <c r="O145" i="31"/>
  <c r="Q145" i="31"/>
  <c r="R145" i="31"/>
  <c r="S145" i="31"/>
  <c r="C146" i="31"/>
  <c r="E146" i="31"/>
  <c r="G146" i="31"/>
  <c r="I146" i="31"/>
  <c r="K146" i="31"/>
  <c r="M146" i="31"/>
  <c r="O146" i="31"/>
  <c r="Q146" i="31"/>
  <c r="R146" i="31"/>
  <c r="S146" i="31"/>
  <c r="C147" i="31"/>
  <c r="E147" i="31"/>
  <c r="G147" i="31"/>
  <c r="I147" i="31"/>
  <c r="K147" i="31"/>
  <c r="M147" i="31"/>
  <c r="O147" i="31"/>
  <c r="Q147" i="31"/>
  <c r="R147" i="31"/>
  <c r="S147" i="31"/>
  <c r="C148" i="31"/>
  <c r="E148" i="31"/>
  <c r="G148" i="31"/>
  <c r="I148" i="31"/>
  <c r="K148" i="31"/>
  <c r="M148" i="31"/>
  <c r="O148" i="31"/>
  <c r="Q148" i="31"/>
  <c r="R148" i="31"/>
  <c r="S148" i="31"/>
  <c r="C149" i="31"/>
  <c r="E149" i="31"/>
  <c r="G149" i="31"/>
  <c r="I149" i="31"/>
  <c r="K149" i="31"/>
  <c r="M149" i="31"/>
  <c r="O149" i="31"/>
  <c r="Q149" i="31"/>
  <c r="R149" i="31"/>
  <c r="S149" i="31"/>
  <c r="C150" i="31"/>
  <c r="E150" i="31"/>
  <c r="G150" i="31"/>
  <c r="I150" i="31"/>
  <c r="K150" i="31"/>
  <c r="M150" i="31"/>
  <c r="O150" i="31"/>
  <c r="Q150" i="31"/>
  <c r="R150" i="31"/>
  <c r="S150" i="31"/>
  <c r="C151" i="31"/>
  <c r="E151" i="31"/>
  <c r="G151" i="31"/>
  <c r="I151" i="31"/>
  <c r="K151" i="31"/>
  <c r="M151" i="31"/>
  <c r="O151" i="31"/>
  <c r="Q151" i="31"/>
  <c r="R151" i="31"/>
  <c r="S151" i="31"/>
  <c r="C152" i="31"/>
  <c r="E152" i="31"/>
  <c r="G152" i="31"/>
  <c r="I152" i="31"/>
  <c r="K152" i="31"/>
  <c r="M152" i="31"/>
  <c r="O152" i="31"/>
  <c r="Q152" i="31"/>
  <c r="R152" i="31"/>
  <c r="S152" i="31"/>
  <c r="C153" i="31"/>
  <c r="E153" i="31"/>
  <c r="G153" i="31"/>
  <c r="I153" i="31"/>
  <c r="K153" i="31"/>
  <c r="M153" i="31"/>
  <c r="O153" i="31"/>
  <c r="Q153" i="31"/>
  <c r="R153" i="31"/>
  <c r="S153" i="31"/>
  <c r="C154" i="31"/>
  <c r="E154" i="31"/>
  <c r="G154" i="31"/>
  <c r="I154" i="31"/>
  <c r="K154" i="31"/>
  <c r="M154" i="31"/>
  <c r="O154" i="31"/>
  <c r="Q154" i="31"/>
  <c r="R154" i="31"/>
  <c r="S154" i="31"/>
  <c r="C155" i="31"/>
  <c r="E155" i="31"/>
  <c r="G155" i="31"/>
  <c r="I155" i="31"/>
  <c r="K155" i="31"/>
  <c r="M155" i="31"/>
  <c r="O155" i="31"/>
  <c r="Q155" i="31"/>
  <c r="R155" i="31"/>
  <c r="S155" i="31"/>
  <c r="C156" i="31"/>
  <c r="E156" i="31"/>
  <c r="G156" i="31"/>
  <c r="I156" i="31"/>
  <c r="K156" i="31"/>
  <c r="M156" i="31"/>
  <c r="O156" i="31"/>
  <c r="Q156" i="31"/>
  <c r="R156" i="31"/>
  <c r="S156" i="31"/>
  <c r="C157" i="31"/>
  <c r="E157" i="31"/>
  <c r="G157" i="31"/>
  <c r="I157" i="31"/>
  <c r="K157" i="31"/>
  <c r="M157" i="31"/>
  <c r="O157" i="31"/>
  <c r="Q157" i="31"/>
  <c r="R157" i="31"/>
  <c r="S157" i="31"/>
  <c r="C158" i="31"/>
  <c r="E158" i="31"/>
  <c r="G158" i="31"/>
  <c r="I158" i="31"/>
  <c r="K158" i="31"/>
  <c r="M158" i="31"/>
  <c r="O158" i="31"/>
  <c r="Q158" i="31"/>
  <c r="R158" i="31"/>
  <c r="S158" i="31"/>
  <c r="C159" i="31"/>
  <c r="E159" i="31"/>
  <c r="G159" i="31"/>
  <c r="I159" i="31"/>
  <c r="K159" i="31"/>
  <c r="M159" i="31"/>
  <c r="O159" i="31"/>
  <c r="Q159" i="31"/>
  <c r="R159" i="31"/>
  <c r="S159" i="31"/>
  <c r="C160" i="31"/>
  <c r="E160" i="31"/>
  <c r="G160" i="31"/>
  <c r="I160" i="31"/>
  <c r="K160" i="31"/>
  <c r="M160" i="31"/>
  <c r="O160" i="31"/>
  <c r="Q160" i="31"/>
  <c r="R160" i="31"/>
  <c r="S160" i="31"/>
  <c r="C161" i="31"/>
  <c r="E161" i="31"/>
  <c r="G161" i="31"/>
  <c r="I161" i="31"/>
  <c r="K161" i="31"/>
  <c r="M161" i="31"/>
  <c r="O161" i="31"/>
  <c r="Q161" i="31"/>
  <c r="R161" i="31"/>
  <c r="S161" i="31"/>
  <c r="R162" i="31"/>
  <c r="S162" i="31"/>
  <c r="C163" i="31"/>
  <c r="E163" i="31"/>
  <c r="G163" i="31"/>
  <c r="I163" i="31"/>
  <c r="K163" i="31"/>
  <c r="M163" i="31"/>
  <c r="O163" i="31"/>
  <c r="Q163" i="31"/>
  <c r="R163" i="31"/>
  <c r="S163" i="31"/>
  <c r="C164" i="31"/>
  <c r="E164" i="31"/>
  <c r="G164" i="31"/>
  <c r="I164" i="31"/>
  <c r="K164" i="31"/>
  <c r="M164" i="31"/>
  <c r="O164" i="31"/>
  <c r="Q164" i="31"/>
  <c r="R164" i="31"/>
  <c r="S164" i="31"/>
  <c r="C25" i="31"/>
  <c r="E25" i="31"/>
  <c r="G25" i="31"/>
  <c r="I25" i="31"/>
  <c r="K25" i="31"/>
  <c r="M25" i="31"/>
  <c r="O25" i="31"/>
  <c r="Q25" i="31"/>
  <c r="R25" i="31"/>
  <c r="S25" i="31"/>
  <c r="C26" i="31"/>
  <c r="E26" i="31"/>
  <c r="G26" i="31"/>
  <c r="I26" i="31"/>
  <c r="K26" i="31"/>
  <c r="M26" i="31"/>
  <c r="O26" i="31"/>
  <c r="Q26" i="31"/>
  <c r="R26" i="31"/>
  <c r="S26" i="31"/>
  <c r="C27" i="31"/>
  <c r="E27" i="31"/>
  <c r="G27" i="31"/>
  <c r="I27" i="31"/>
  <c r="K27" i="31"/>
  <c r="M27" i="31"/>
  <c r="O27" i="31"/>
  <c r="Q27" i="31"/>
  <c r="R27" i="31"/>
  <c r="S27" i="31"/>
  <c r="C28" i="31"/>
  <c r="E28" i="31"/>
  <c r="G28" i="31"/>
  <c r="I28" i="31"/>
  <c r="K28" i="31"/>
  <c r="M28" i="31"/>
  <c r="O28" i="31"/>
  <c r="Q28" i="31"/>
  <c r="R28" i="31"/>
  <c r="S28" i="31"/>
  <c r="C29" i="31"/>
  <c r="E29" i="31"/>
  <c r="G29" i="31"/>
  <c r="I29" i="31"/>
  <c r="K29" i="31"/>
  <c r="M29" i="31"/>
  <c r="O29" i="31"/>
  <c r="Q29" i="31"/>
  <c r="R29" i="31"/>
  <c r="S29" i="31"/>
  <c r="S24" i="31"/>
  <c r="I48" i="92"/>
  <c r="O48" i="92"/>
  <c r="S48" i="92"/>
  <c r="AN12" i="92"/>
  <c r="C53" i="92"/>
  <c r="C48" i="92"/>
  <c r="AA19" i="92"/>
  <c r="AE19" i="92"/>
  <c r="AM19" i="92"/>
  <c r="AA20" i="92"/>
  <c r="C52" i="92"/>
  <c r="C51" i="92"/>
  <c r="W48" i="92"/>
  <c r="C49" i="92"/>
  <c r="C50" i="92"/>
  <c r="F45" i="92"/>
  <c r="F38" i="92"/>
  <c r="P36" i="92"/>
  <c r="F32" i="92"/>
  <c r="P29" i="92"/>
  <c r="T27" i="92"/>
  <c r="F24" i="92"/>
  <c r="P22" i="92"/>
  <c r="T21" i="92"/>
  <c r="L20" i="92"/>
  <c r="P19" i="92"/>
  <c r="F16" i="92"/>
  <c r="AB14" i="92"/>
  <c r="L14" i="92"/>
  <c r="F13" i="92"/>
  <c r="P11" i="92"/>
  <c r="F10" i="92"/>
  <c r="AB9" i="92"/>
  <c r="L9" i="92"/>
  <c r="L7" i="92"/>
  <c r="AN4" i="92"/>
  <c r="AF4" i="92"/>
  <c r="AB4" i="92"/>
  <c r="T4" i="92"/>
  <c r="P4" i="92"/>
  <c r="L4" i="92"/>
  <c r="F4" i="92"/>
  <c r="AJ12" i="90"/>
  <c r="C53" i="90"/>
  <c r="C52" i="90"/>
  <c r="C51" i="90"/>
  <c r="C50" i="90"/>
  <c r="D45" i="90"/>
  <c r="D38" i="90"/>
  <c r="L36" i="90"/>
  <c r="D32" i="90"/>
  <c r="L29" i="90"/>
  <c r="P27" i="90"/>
  <c r="D24" i="90"/>
  <c r="L22" i="90"/>
  <c r="P21" i="90"/>
  <c r="H20" i="90"/>
  <c r="L19" i="90"/>
  <c r="D16" i="90"/>
  <c r="X14" i="90"/>
  <c r="H14" i="90"/>
  <c r="D13" i="90"/>
  <c r="L11" i="90"/>
  <c r="D10" i="90"/>
  <c r="X9" i="90"/>
  <c r="H9" i="90"/>
  <c r="H7" i="90"/>
  <c r="AJ4" i="90"/>
  <c r="AB4" i="90"/>
  <c r="X4" i="90"/>
  <c r="P4" i="90"/>
  <c r="L4" i="90"/>
  <c r="H4" i="90"/>
  <c r="D4" i="90"/>
  <c r="E12" i="83"/>
  <c r="M5" i="89"/>
  <c r="M10" i="89"/>
  <c r="M8" i="89"/>
  <c r="M7" i="89"/>
  <c r="M6" i="89"/>
  <c r="M4" i="89"/>
  <c r="M11" i="89"/>
  <c r="M18" i="89"/>
  <c r="M17" i="89"/>
  <c r="M15" i="89"/>
  <c r="M14" i="89"/>
  <c r="M13" i="89"/>
  <c r="M9" i="89"/>
  <c r="M12" i="89"/>
  <c r="M16" i="89"/>
  <c r="M19" i="89"/>
  <c r="M20" i="89"/>
  <c r="E253" i="89"/>
  <c r="E251" i="89"/>
  <c r="E250" i="89"/>
  <c r="E240" i="89"/>
  <c r="E239" i="89"/>
  <c r="E238" i="89"/>
  <c r="E237" i="89"/>
  <c r="E236" i="89"/>
  <c r="E212" i="89"/>
  <c r="E211" i="89"/>
  <c r="E191" i="89"/>
  <c r="E182" i="89"/>
  <c r="E181" i="89"/>
  <c r="E180" i="89"/>
  <c r="E179" i="89"/>
  <c r="E153" i="89"/>
  <c r="E152" i="89"/>
  <c r="E151" i="89"/>
  <c r="E143" i="89"/>
  <c r="E144" i="89"/>
  <c r="E145" i="89"/>
  <c r="E146" i="89"/>
  <c r="E121" i="89"/>
  <c r="E124" i="89"/>
  <c r="E123" i="89"/>
  <c r="E122" i="89"/>
  <c r="E101" i="89"/>
  <c r="E100" i="89"/>
  <c r="E92" i="89"/>
  <c r="E83" i="89"/>
  <c r="E82" i="89"/>
  <c r="E72" i="89"/>
  <c r="E71" i="89"/>
  <c r="E61" i="89"/>
  <c r="E53" i="89"/>
  <c r="E52" i="89"/>
  <c r="E42" i="89"/>
  <c r="E41" i="89"/>
  <c r="E31" i="89"/>
  <c r="E30" i="89"/>
  <c r="E20" i="89"/>
  <c r="E19" i="89"/>
  <c r="E9" i="89"/>
  <c r="G253" i="89"/>
  <c r="F253" i="89"/>
  <c r="E242" i="89"/>
  <c r="E243" i="89"/>
  <c r="E244" i="89"/>
  <c r="E245" i="89"/>
  <c r="E246" i="89"/>
  <c r="E247" i="89"/>
  <c r="E248" i="89"/>
  <c r="E249" i="89"/>
  <c r="H249" i="89"/>
  <c r="H248" i="89"/>
  <c r="H247" i="89"/>
  <c r="H246" i="89"/>
  <c r="H245" i="89"/>
  <c r="H244" i="89"/>
  <c r="H243" i="89"/>
  <c r="H242" i="89"/>
  <c r="H235" i="89"/>
  <c r="H234" i="89"/>
  <c r="H233" i="89"/>
  <c r="H232" i="89"/>
  <c r="H231" i="89"/>
  <c r="H230" i="89"/>
  <c r="H229" i="89"/>
  <c r="H227" i="89"/>
  <c r="H226" i="89"/>
  <c r="H225" i="89"/>
  <c r="H224" i="89"/>
  <c r="H223" i="89"/>
  <c r="H222" i="89"/>
  <c r="H221" i="89"/>
  <c r="H219" i="89"/>
  <c r="H218" i="89"/>
  <c r="H217" i="89"/>
  <c r="H216" i="89"/>
  <c r="H215" i="89"/>
  <c r="H214" i="89"/>
  <c r="H210" i="89"/>
  <c r="H209" i="89"/>
  <c r="H208" i="89"/>
  <c r="H207" i="89"/>
  <c r="H206" i="89"/>
  <c r="H205" i="89"/>
  <c r="H204" i="89"/>
  <c r="H203" i="89"/>
  <c r="H202" i="89"/>
  <c r="H201" i="89"/>
  <c r="H200" i="89"/>
  <c r="H199" i="89"/>
  <c r="H198" i="89"/>
  <c r="H197" i="89"/>
  <c r="H196" i="89"/>
  <c r="H195" i="89"/>
  <c r="H194" i="89"/>
  <c r="H193" i="89"/>
  <c r="H190" i="89"/>
  <c r="H189" i="89"/>
  <c r="H188" i="89"/>
  <c r="H187" i="89"/>
  <c r="H186" i="89"/>
  <c r="H185" i="89"/>
  <c r="H184" i="89"/>
  <c r="H178" i="89"/>
  <c r="H177" i="89"/>
  <c r="H176" i="89"/>
  <c r="H175" i="89"/>
  <c r="H174" i="89"/>
  <c r="H173" i="89"/>
  <c r="H172" i="89"/>
  <c r="H170" i="89"/>
  <c r="H169" i="89"/>
  <c r="H168" i="89"/>
  <c r="H167" i="89"/>
  <c r="H166" i="89"/>
  <c r="H165" i="89"/>
  <c r="H164" i="89"/>
  <c r="H162" i="89"/>
  <c r="H161" i="89"/>
  <c r="H160" i="89"/>
  <c r="H159" i="89"/>
  <c r="H158" i="89"/>
  <c r="H157" i="89"/>
  <c r="H156" i="89"/>
  <c r="H150" i="89"/>
  <c r="H149" i="89"/>
  <c r="H148" i="89"/>
  <c r="H142" i="89"/>
  <c r="H141" i="89"/>
  <c r="H140" i="89"/>
  <c r="H139" i="89"/>
  <c r="H138" i="89"/>
  <c r="H137" i="89"/>
  <c r="H136" i="89"/>
  <c r="H135" i="89"/>
  <c r="H134" i="89"/>
  <c r="H132" i="89"/>
  <c r="H131" i="89"/>
  <c r="H130" i="89"/>
  <c r="H129" i="89"/>
  <c r="H128" i="89"/>
  <c r="H127" i="89"/>
  <c r="H126" i="89"/>
  <c r="H120" i="89"/>
  <c r="H119" i="89"/>
  <c r="H118" i="89"/>
  <c r="H117" i="89"/>
  <c r="H116" i="89"/>
  <c r="H114" i="89"/>
  <c r="H113" i="89"/>
  <c r="H112" i="89"/>
  <c r="H111" i="89"/>
  <c r="H110" i="89"/>
  <c r="H109" i="89"/>
  <c r="H107" i="89"/>
  <c r="H106" i="89"/>
  <c r="H105" i="89"/>
  <c r="H104" i="89"/>
  <c r="H103" i="89"/>
  <c r="H99" i="89"/>
  <c r="H98" i="89"/>
  <c r="H96" i="89"/>
  <c r="H95" i="89"/>
  <c r="H94" i="89"/>
  <c r="H91" i="89"/>
  <c r="H90" i="89"/>
  <c r="H89" i="89"/>
  <c r="H88" i="89"/>
  <c r="H87" i="89"/>
  <c r="H86" i="89"/>
  <c r="H85" i="89"/>
  <c r="H81" i="89"/>
  <c r="H80" i="89"/>
  <c r="H79" i="89"/>
  <c r="H78" i="89"/>
  <c r="H77" i="89"/>
  <c r="H76" i="89"/>
  <c r="H75" i="89"/>
  <c r="H74" i="89"/>
  <c r="H70" i="89"/>
  <c r="H69" i="89"/>
  <c r="H68" i="89"/>
  <c r="H67" i="89"/>
  <c r="H66" i="89"/>
  <c r="H65" i="89"/>
  <c r="H64" i="89"/>
  <c r="H63" i="89"/>
  <c r="H60" i="89"/>
  <c r="H59" i="89"/>
  <c r="H58" i="89"/>
  <c r="H57" i="89"/>
  <c r="H56" i="89"/>
  <c r="H55" i="89"/>
  <c r="H51" i="89"/>
  <c r="H50" i="89"/>
  <c r="H49" i="89"/>
  <c r="H48" i="89"/>
  <c r="H47" i="89"/>
  <c r="H46" i="89"/>
  <c r="H45" i="89"/>
  <c r="H44" i="89"/>
  <c r="H40" i="89"/>
  <c r="H39" i="89"/>
  <c r="H38" i="89"/>
  <c r="H37" i="89"/>
  <c r="H36" i="89"/>
  <c r="H35" i="89"/>
  <c r="H34" i="89"/>
  <c r="H33" i="89"/>
  <c r="H29" i="89"/>
  <c r="H28" i="89"/>
  <c r="H27" i="89"/>
  <c r="H26" i="89"/>
  <c r="H25" i="89"/>
  <c r="H24" i="89"/>
  <c r="H23" i="89"/>
  <c r="H22" i="89"/>
  <c r="H18" i="89"/>
  <c r="H17" i="89"/>
  <c r="H16" i="89"/>
  <c r="H15" i="89"/>
  <c r="H14" i="89"/>
  <c r="H13" i="89"/>
  <c r="H12" i="89"/>
  <c r="H11" i="89"/>
  <c r="H8" i="89"/>
  <c r="H7" i="89"/>
  <c r="H6" i="89"/>
  <c r="H5" i="89"/>
  <c r="H4" i="89"/>
  <c r="H3" i="89"/>
  <c r="R47" i="33"/>
  <c r="E48" i="33"/>
  <c r="B2" i="1"/>
  <c r="C7" i="33"/>
  <c r="E7" i="33"/>
  <c r="C58" i="33"/>
  <c r="D58" i="33"/>
  <c r="E58" i="33"/>
  <c r="F58" i="33"/>
  <c r="G58" i="33"/>
  <c r="H58" i="33"/>
  <c r="I58" i="33"/>
  <c r="J58" i="33"/>
  <c r="K58" i="33"/>
  <c r="L58" i="33"/>
  <c r="M58" i="33"/>
  <c r="N58" i="33"/>
  <c r="O58" i="33"/>
  <c r="F7" i="33"/>
  <c r="AA7" i="33"/>
  <c r="F8" i="33"/>
  <c r="AA8" i="33"/>
  <c r="C63" i="33"/>
  <c r="F9" i="33"/>
  <c r="AA9" i="33"/>
  <c r="G66" i="33"/>
  <c r="H66" i="33"/>
  <c r="F10" i="33"/>
  <c r="AA10" i="33"/>
  <c r="F11" i="33"/>
  <c r="AA11" i="33"/>
  <c r="B70" i="33"/>
  <c r="F12" i="33"/>
  <c r="AA12" i="33"/>
  <c r="B72" i="33"/>
  <c r="F13" i="33"/>
  <c r="AA13" i="33"/>
  <c r="B74" i="33"/>
  <c r="F14" i="33"/>
  <c r="AA14" i="33"/>
  <c r="D77" i="33"/>
  <c r="E77" i="33"/>
  <c r="F77" i="33"/>
  <c r="F15" i="33"/>
  <c r="AA15" i="33"/>
  <c r="D79" i="33"/>
  <c r="E79" i="33"/>
  <c r="F17" i="33"/>
  <c r="AA17" i="33"/>
  <c r="D81" i="33"/>
  <c r="E81" i="33"/>
  <c r="F19" i="33"/>
  <c r="AA19" i="33"/>
  <c r="F21" i="33"/>
  <c r="AA21" i="33"/>
  <c r="D85" i="33"/>
  <c r="E85" i="33"/>
  <c r="F23" i="33"/>
  <c r="AA23" i="33"/>
  <c r="D87" i="33"/>
  <c r="E87" i="33"/>
  <c r="F25" i="33"/>
  <c r="AA25" i="33"/>
  <c r="B88" i="33"/>
  <c r="F26" i="33"/>
  <c r="AA26" i="33"/>
  <c r="B90" i="33"/>
  <c r="D91" i="33"/>
  <c r="E91" i="33"/>
  <c r="F91"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D113"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8" i="33"/>
  <c r="AB38" i="33"/>
  <c r="H39" i="33"/>
  <c r="AB39" i="33"/>
  <c r="H40" i="33"/>
  <c r="AB40" i="33"/>
  <c r="H41" i="33"/>
  <c r="AB41" i="33"/>
  <c r="H42" i="33"/>
  <c r="AB42" i="33"/>
  <c r="H43" i="33"/>
  <c r="AB43" i="33"/>
  <c r="H44" i="33"/>
  <c r="AB44" i="33"/>
  <c r="H45" i="33"/>
  <c r="AB45" i="33"/>
  <c r="H46" i="33"/>
  <c r="AB46"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8" i="33"/>
  <c r="AC38" i="33"/>
  <c r="J39" i="33"/>
  <c r="AC39" i="33"/>
  <c r="J40" i="33"/>
  <c r="AC40" i="33"/>
  <c r="J41" i="33"/>
  <c r="AC41" i="33"/>
  <c r="J42" i="33"/>
  <c r="AC42" i="33"/>
  <c r="J43" i="33"/>
  <c r="AC43" i="33"/>
  <c r="J44" i="33"/>
  <c r="AC44" i="33"/>
  <c r="J45" i="33"/>
  <c r="AC45" i="33"/>
  <c r="J46" i="33"/>
  <c r="AC46" i="33"/>
  <c r="C1" i="73"/>
  <c r="J1" i="73"/>
  <c r="J20" i="43"/>
  <c r="E15" i="4"/>
  <c r="F6" i="1"/>
  <c r="I20" i="43"/>
  <c r="G2" i="43"/>
  <c r="I2" i="43"/>
  <c r="M6" i="43"/>
  <c r="C6" i="43"/>
  <c r="C7" i="43"/>
  <c r="A6" i="1"/>
  <c r="G1" i="68"/>
  <c r="E9" i="68"/>
  <c r="L4" i="85"/>
  <c r="L5" i="85"/>
  <c r="L6" i="85"/>
  <c r="L7" i="85"/>
  <c r="L8" i="85"/>
  <c r="L9" i="85"/>
  <c r="L10" i="85"/>
  <c r="L11" i="85"/>
  <c r="L12" i="85"/>
  <c r="L13" i="85"/>
  <c r="L14" i="85"/>
  <c r="L15" i="85"/>
  <c r="L16" i="85"/>
  <c r="L17" i="85"/>
  <c r="L18" i="85"/>
  <c r="L19" i="85"/>
  <c r="L20" i="85"/>
  <c r="L21" i="85"/>
  <c r="L22" i="85"/>
  <c r="L23" i="85"/>
  <c r="L24" i="85"/>
  <c r="L25" i="85"/>
  <c r="L26" i="85"/>
  <c r="L27" i="85"/>
  <c r="L28" i="85"/>
  <c r="L29" i="85"/>
  <c r="L30" i="85"/>
  <c r="L31" i="85"/>
  <c r="L32" i="85"/>
  <c r="L33" i="85"/>
  <c r="L34" i="85"/>
  <c r="L35" i="85"/>
  <c r="L36" i="85"/>
  <c r="L37" i="85"/>
  <c r="L38" i="85"/>
  <c r="L39" i="85"/>
  <c r="L40" i="85"/>
  <c r="G78" i="85"/>
  <c r="L41" i="85"/>
  <c r="G82" i="85"/>
  <c r="L42" i="85"/>
  <c r="L43" i="85"/>
  <c r="T3" i="85"/>
  <c r="I13" i="3"/>
  <c r="L45" i="85"/>
  <c r="L46" i="85"/>
  <c r="L47" i="85"/>
  <c r="L48" i="85"/>
  <c r="L49" i="85"/>
  <c r="L50" i="85"/>
  <c r="L51" i="85"/>
  <c r="L52" i="85"/>
  <c r="L53" i="85"/>
  <c r="L54" i="85"/>
  <c r="L55" i="85"/>
  <c r="G79" i="85"/>
  <c r="L56" i="85"/>
  <c r="G83" i="85"/>
  <c r="L57" i="85"/>
  <c r="L58" i="85"/>
  <c r="T4" i="85"/>
  <c r="K13" i="3"/>
  <c r="L60" i="85"/>
  <c r="L61" i="85"/>
  <c r="L62" i="85"/>
  <c r="L63" i="85"/>
  <c r="L64" i="85"/>
  <c r="L65" i="85"/>
  <c r="L66" i="85"/>
  <c r="L67" i="85"/>
  <c r="L68" i="85"/>
  <c r="L69" i="85"/>
  <c r="L70" i="85"/>
  <c r="G80" i="85"/>
  <c r="L71" i="85"/>
  <c r="G84" i="85"/>
  <c r="L72" i="85"/>
  <c r="L73" i="85"/>
  <c r="T5" i="85"/>
  <c r="M13" i="3"/>
  <c r="L75" i="85"/>
  <c r="L76" i="85"/>
  <c r="L77" i="85"/>
  <c r="L78" i="85"/>
  <c r="L79" i="85"/>
  <c r="L80" i="85"/>
  <c r="L81" i="85"/>
  <c r="L82" i="85"/>
  <c r="L83" i="85"/>
  <c r="L84" i="85"/>
  <c r="L85" i="85"/>
  <c r="G81" i="85"/>
  <c r="L86" i="85"/>
  <c r="G85" i="85"/>
  <c r="L88" i="85"/>
  <c r="L89" i="85"/>
  <c r="T6" i="85"/>
  <c r="O13" i="3"/>
  <c r="L91" i="85"/>
  <c r="L92" i="85"/>
  <c r="L93" i="85"/>
  <c r="L94" i="85"/>
  <c r="T7" i="85"/>
  <c r="Q13" i="3"/>
  <c r="H13" i="3"/>
  <c r="AC13" i="3"/>
  <c r="G13" i="3"/>
  <c r="T12" i="85"/>
  <c r="I14" i="3"/>
  <c r="T13" i="85"/>
  <c r="K14" i="3"/>
  <c r="T14" i="85"/>
  <c r="M14" i="3"/>
  <c r="H14" i="3"/>
  <c r="AC14" i="3"/>
  <c r="G14" i="3"/>
  <c r="G101" i="85"/>
  <c r="P4" i="85"/>
  <c r="G103" i="85"/>
  <c r="P5" i="85"/>
  <c r="G105" i="85"/>
  <c r="P6" i="85"/>
  <c r="G107" i="85"/>
  <c r="P7" i="85"/>
  <c r="G109" i="85"/>
  <c r="P8" i="85"/>
  <c r="G111" i="85"/>
  <c r="P9" i="85"/>
  <c r="G113" i="85"/>
  <c r="P10" i="85"/>
  <c r="P11" i="85"/>
  <c r="T9" i="85"/>
  <c r="I15" i="3"/>
  <c r="G102" i="85"/>
  <c r="P13" i="85"/>
  <c r="G104" i="85"/>
  <c r="P14" i="85"/>
  <c r="G106" i="85"/>
  <c r="P15" i="85"/>
  <c r="G108" i="85"/>
  <c r="P16" i="85"/>
  <c r="G110" i="85"/>
  <c r="P17" i="85"/>
  <c r="G112" i="85"/>
  <c r="P18" i="85"/>
  <c r="G114" i="85"/>
  <c r="P19" i="85"/>
  <c r="P20" i="85"/>
  <c r="T10" i="85"/>
  <c r="S15" i="3"/>
  <c r="H15" i="3"/>
  <c r="AC15" i="3"/>
  <c r="G15" i="3"/>
  <c r="H92" i="85"/>
  <c r="T16" i="85"/>
  <c r="S16" i="3"/>
  <c r="H96" i="85"/>
  <c r="T17" i="85"/>
  <c r="U16"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S5" i="3"/>
  <c r="U5" i="3"/>
  <c r="F19" i="6"/>
  <c r="G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10" i="68"/>
  <c r="B31" i="1"/>
  <c r="E19" i="68"/>
  <c r="B22" i="1"/>
  <c r="E1" i="73"/>
  <c r="K1" i="73"/>
  <c r="F21" i="68"/>
  <c r="B23" i="1"/>
  <c r="C21" i="68"/>
  <c r="B24" i="1"/>
  <c r="M6" i="1"/>
  <c r="T6" i="1"/>
  <c r="F35" i="68"/>
  <c r="E37" i="68"/>
  <c r="F38" i="68"/>
  <c r="F20" i="68"/>
  <c r="C40" i="68"/>
  <c r="B43" i="1"/>
  <c r="B41" i="1"/>
  <c r="F30" i="68"/>
  <c r="C42" i="1"/>
  <c r="C48" i="68"/>
  <c r="A7" i="1"/>
  <c r="K7" i="1"/>
  <c r="M7" i="1"/>
  <c r="A8" i="1"/>
  <c r="K8" i="1"/>
  <c r="M8" i="1"/>
  <c r="A9" i="1"/>
  <c r="K9" i="1"/>
  <c r="M9" i="1"/>
  <c r="A10" i="1"/>
  <c r="K10" i="1"/>
  <c r="M10" i="1"/>
  <c r="A11" i="1"/>
  <c r="K11" i="1"/>
  <c r="M11" i="1"/>
  <c r="A12" i="1"/>
  <c r="K12" i="1"/>
  <c r="M12" i="1"/>
  <c r="A13" i="1"/>
  <c r="K13" i="1"/>
  <c r="M13" i="1"/>
  <c r="K14" i="1"/>
  <c r="M14" i="1"/>
  <c r="M16" i="1"/>
  <c r="N16" i="1"/>
  <c r="F50" i="68"/>
  <c r="C17" i="9"/>
  <c r="C18" i="9"/>
  <c r="D18" i="9"/>
  <c r="D5" i="9"/>
  <c r="D17" i="9"/>
  <c r="N6" i="43"/>
  <c r="F48" i="43"/>
  <c r="H48" i="43"/>
  <c r="G48" i="43"/>
  <c r="M48" i="43"/>
  <c r="D48" i="43"/>
  <c r="D49" i="43"/>
  <c r="H50" i="43"/>
  <c r="G50" i="43"/>
  <c r="K50" i="43"/>
  <c r="D50" i="43"/>
  <c r="D51" i="43"/>
  <c r="H52" i="43"/>
  <c r="G52" i="43"/>
  <c r="M52" i="43"/>
  <c r="D52" i="43"/>
  <c r="D54" i="43"/>
  <c r="D56" i="43"/>
  <c r="H53" i="43"/>
  <c r="G53" i="43"/>
  <c r="K53" i="43"/>
  <c r="D53" i="43"/>
  <c r="H55" i="43"/>
  <c r="G55" i="43"/>
  <c r="K55" i="43"/>
  <c r="D55" i="43"/>
  <c r="E48" i="43"/>
  <c r="B46" i="43"/>
  <c r="C24" i="43"/>
  <c r="D34" i="43"/>
  <c r="D33" i="43"/>
  <c r="D29" i="43"/>
  <c r="O5" i="3"/>
  <c r="M5" i="3"/>
  <c r="K5" i="3"/>
  <c r="I5" i="3"/>
  <c r="L30" i="43"/>
  <c r="A3" i="3"/>
  <c r="E9" i="83"/>
  <c r="G3" i="43"/>
  <c r="T8" i="85"/>
  <c r="T11" i="85"/>
  <c r="T15" i="85"/>
  <c r="T18" i="85"/>
  <c r="T19" i="85"/>
  <c r="P21" i="85"/>
  <c r="G77" i="85"/>
  <c r="G86" i="85"/>
  <c r="G87" i="85"/>
  <c r="L95" i="85"/>
  <c r="G115" i="85"/>
  <c r="H4" i="85"/>
  <c r="H9" i="85"/>
  <c r="H15" i="85"/>
  <c r="H20" i="85"/>
  <c r="H27" i="85"/>
  <c r="H36" i="85"/>
  <c r="H43" i="85"/>
  <c r="H50" i="85"/>
  <c r="H57" i="85"/>
  <c r="H63" i="85"/>
  <c r="H70" i="85"/>
  <c r="H88" i="85"/>
  <c r="H116" i="85"/>
  <c r="G91" i="85"/>
  <c r="G100" i="85"/>
  <c r="D18" i="84"/>
  <c r="P10" i="84"/>
  <c r="F25" i="84"/>
  <c r="D19" i="84"/>
  <c r="D75" i="77"/>
  <c r="D89" i="77"/>
  <c r="D107" i="77"/>
  <c r="D111" i="77"/>
  <c r="F10" i="78"/>
  <c r="G2" i="78"/>
  <c r="G6" i="78"/>
  <c r="E68" i="77"/>
  <c r="E61" i="77"/>
  <c r="E55" i="77"/>
  <c r="E48" i="77"/>
  <c r="E41" i="77"/>
  <c r="E34" i="77"/>
  <c r="E25" i="77"/>
  <c r="E18" i="77"/>
  <c r="E13" i="77"/>
  <c r="E7" i="77"/>
  <c r="E2" i="77"/>
  <c r="E22" i="43"/>
  <c r="G22" i="43"/>
  <c r="F22" i="43"/>
  <c r="H22" i="43"/>
  <c r="D22" i="43"/>
  <c r="C21" i="43"/>
  <c r="H49" i="43"/>
  <c r="G49" i="43"/>
  <c r="H51" i="43"/>
  <c r="G51" i="43"/>
  <c r="H54" i="43"/>
  <c r="G54" i="43"/>
  <c r="H56" i="43"/>
  <c r="G56" i="43"/>
  <c r="D36" i="79"/>
  <c r="C37" i="79"/>
  <c r="E29" i="79"/>
  <c r="E25" i="79"/>
  <c r="F19" i="79"/>
  <c r="E19" i="79"/>
  <c r="C19" i="79"/>
  <c r="F16" i="79"/>
  <c r="E16" i="79"/>
  <c r="C16" i="79"/>
  <c r="E15" i="79"/>
  <c r="C15" i="79"/>
  <c r="P9" i="79"/>
  <c r="O10" i="79"/>
  <c r="M10" i="79"/>
  <c r="J8" i="79"/>
  <c r="M4" i="79"/>
  <c r="T59" i="78"/>
  <c r="T33" i="78"/>
  <c r="Q2" i="77"/>
  <c r="Q3" i="77"/>
  <c r="Q4" i="77"/>
  <c r="Q5" i="77"/>
  <c r="Q6" i="77"/>
  <c r="Q7" i="77"/>
  <c r="Q8" i="77"/>
  <c r="Q9" i="77"/>
  <c r="Q10" i="77"/>
  <c r="Q11" i="77"/>
  <c r="Q12" i="77"/>
  <c r="Q13" i="77"/>
  <c r="Q21" i="77"/>
  <c r="Q22" i="77"/>
  <c r="M2" i="77"/>
  <c r="M3" i="77"/>
  <c r="M4" i="77"/>
  <c r="M5" i="77"/>
  <c r="M6" i="77"/>
  <c r="M7" i="77"/>
  <c r="M8" i="77"/>
  <c r="M9" i="77"/>
  <c r="M10" i="77"/>
  <c r="M11" i="77"/>
  <c r="M12" i="77"/>
  <c r="M13" i="77"/>
  <c r="M33" i="77"/>
  <c r="M34" i="77"/>
  <c r="I39" i="77"/>
  <c r="I43" i="77"/>
  <c r="I44" i="77"/>
  <c r="U2" i="77"/>
  <c r="U3" i="77"/>
  <c r="U4" i="77"/>
  <c r="U5" i="77"/>
  <c r="U6" i="77"/>
  <c r="U7" i="77"/>
  <c r="U8" i="77"/>
  <c r="U9" i="77"/>
  <c r="U10" i="77"/>
  <c r="U11" i="77"/>
  <c r="U12" i="77"/>
  <c r="U13" i="77"/>
  <c r="Y2" i="77"/>
  <c r="Y3" i="77"/>
  <c r="Y4" i="77"/>
  <c r="Y5" i="77"/>
  <c r="D76" i="77"/>
  <c r="P14" i="71"/>
  <c r="E14" i="71"/>
  <c r="P13" i="71"/>
  <c r="E13" i="71"/>
  <c r="P12" i="71"/>
  <c r="E12" i="71"/>
  <c r="P11" i="71"/>
  <c r="E11" i="71"/>
  <c r="P10" i="71"/>
  <c r="E10" i="71"/>
  <c r="P9" i="71"/>
  <c r="E9" i="71"/>
  <c r="P8" i="71"/>
  <c r="E8" i="71"/>
  <c r="P7" i="71"/>
  <c r="E7" i="71"/>
  <c r="P6" i="71"/>
  <c r="E6" i="71"/>
  <c r="V6" i="71"/>
  <c r="O14" i="71"/>
  <c r="C14" i="71"/>
  <c r="O13" i="71"/>
  <c r="C13" i="71"/>
  <c r="O12" i="71"/>
  <c r="C12" i="71"/>
  <c r="O11" i="71"/>
  <c r="C11" i="71"/>
  <c r="O10" i="71"/>
  <c r="C10" i="71"/>
  <c r="O9" i="71"/>
  <c r="C9" i="71"/>
  <c r="O8" i="71"/>
  <c r="C8" i="71"/>
  <c r="O7" i="71"/>
  <c r="C7" i="71"/>
  <c r="O6" i="71"/>
  <c r="C6" i="71"/>
  <c r="D6" i="71"/>
  <c r="D7" i="71"/>
  <c r="U6" i="71"/>
  <c r="T6" i="71"/>
  <c r="N14" i="71"/>
  <c r="B14" i="71"/>
  <c r="N13" i="71"/>
  <c r="B13" i="71"/>
  <c r="N12" i="71"/>
  <c r="B12" i="71"/>
  <c r="N11" i="71"/>
  <c r="B11" i="71"/>
  <c r="N10" i="71"/>
  <c r="B10" i="71"/>
  <c r="N9" i="71"/>
  <c r="B9" i="71"/>
  <c r="N8" i="71"/>
  <c r="B8" i="71"/>
  <c r="N7" i="71"/>
  <c r="B7" i="71"/>
  <c r="N6" i="71"/>
  <c r="B6" i="71"/>
  <c r="S6" i="71"/>
  <c r="AH5" i="71"/>
  <c r="AG5" i="71"/>
  <c r="AE5" i="71"/>
  <c r="AF5" i="71"/>
  <c r="AD5" i="71"/>
  <c r="Q5" i="71"/>
  <c r="P5" i="71"/>
  <c r="O5" i="71"/>
  <c r="N5" i="71"/>
  <c r="Q7" i="71"/>
  <c r="Q8" i="71"/>
  <c r="Q9" i="71"/>
  <c r="Q10" i="71"/>
  <c r="Q11" i="71"/>
  <c r="Q12" i="71"/>
  <c r="Q13" i="71"/>
  <c r="Q14" i="71"/>
  <c r="Q15" i="71"/>
  <c r="Q16" i="71"/>
  <c r="Q17" i="71"/>
  <c r="Q18" i="71"/>
  <c r="Q19" i="71"/>
  <c r="Q20" i="71"/>
  <c r="Q21" i="71"/>
  <c r="Q22" i="71"/>
  <c r="Q23" i="71"/>
  <c r="Q24" i="71"/>
  <c r="Q25" i="71"/>
  <c r="Q26" i="71"/>
  <c r="Q27" i="71"/>
  <c r="Q28" i="71"/>
  <c r="Q29" i="71"/>
  <c r="AB7" i="71"/>
  <c r="P15" i="71"/>
  <c r="P16" i="71"/>
  <c r="P17" i="71"/>
  <c r="P18" i="71"/>
  <c r="P19" i="71"/>
  <c r="P20" i="71"/>
  <c r="P21" i="71"/>
  <c r="P22" i="71"/>
  <c r="P23" i="71"/>
  <c r="P24" i="71"/>
  <c r="P25" i="71"/>
  <c r="P26" i="71"/>
  <c r="P27" i="71"/>
  <c r="P28" i="71"/>
  <c r="P29" i="71"/>
  <c r="AA7" i="71"/>
  <c r="O15" i="71"/>
  <c r="O16" i="71"/>
  <c r="O17" i="71"/>
  <c r="O18" i="71"/>
  <c r="O19" i="71"/>
  <c r="O20" i="71"/>
  <c r="O21" i="71"/>
  <c r="O22" i="71"/>
  <c r="O23" i="71"/>
  <c r="O24" i="71"/>
  <c r="O25" i="71"/>
  <c r="O26" i="71"/>
  <c r="O27" i="71"/>
  <c r="O28" i="71"/>
  <c r="O29" i="71"/>
  <c r="Y7" i="71"/>
  <c r="N15" i="71"/>
  <c r="N16" i="71"/>
  <c r="N17" i="71"/>
  <c r="N18" i="71"/>
  <c r="N19" i="71"/>
  <c r="N20" i="71"/>
  <c r="N21" i="71"/>
  <c r="N22" i="71"/>
  <c r="N23" i="71"/>
  <c r="N24" i="71"/>
  <c r="N25" i="71"/>
  <c r="N26" i="71"/>
  <c r="N27" i="71"/>
  <c r="N28" i="71"/>
  <c r="N29" i="71"/>
  <c r="X7" i="71"/>
  <c r="AH6" i="71"/>
  <c r="AG6" i="71"/>
  <c r="AE6" i="71"/>
  <c r="AF6" i="71"/>
  <c r="AD6" i="71"/>
  <c r="Q6" i="71"/>
  <c r="AB5" i="71"/>
  <c r="AA5" i="71"/>
  <c r="X5" i="71"/>
  <c r="F14" i="71"/>
  <c r="F13" i="71"/>
  <c r="F12" i="71"/>
  <c r="F11" i="71"/>
  <c r="F10" i="71"/>
  <c r="F9" i="71"/>
  <c r="F8" i="71"/>
  <c r="F7" i="71"/>
  <c r="E5" i="71"/>
  <c r="C5" i="71"/>
  <c r="D5" i="71"/>
  <c r="AH7" i="71"/>
  <c r="AG7" i="71"/>
  <c r="AE7" i="71"/>
  <c r="AF7" i="71"/>
  <c r="AD7" i="71"/>
  <c r="Z7"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L3" i="71"/>
  <c r="AH3" i="71"/>
  <c r="K3" i="71"/>
  <c r="AG3" i="71"/>
  <c r="J3" i="71"/>
  <c r="AE3" i="71"/>
  <c r="I3" i="71"/>
  <c r="AH11" i="71"/>
  <c r="AG11" i="71"/>
  <c r="AE11" i="71"/>
  <c r="AF11" i="71"/>
  <c r="AD11" i="71"/>
  <c r="AA11" i="71"/>
  <c r="X11" i="71"/>
  <c r="AH12" i="71"/>
  <c r="AG12" i="71"/>
  <c r="AE12" i="71"/>
  <c r="AF12" i="71"/>
  <c r="AD12" i="71"/>
  <c r="AB11" i="71"/>
  <c r="AA12" i="71"/>
  <c r="Y11" i="71"/>
  <c r="Z11" i="71"/>
  <c r="C28" i="71"/>
  <c r="C29" i="71"/>
  <c r="C30" i="71"/>
  <c r="M19" i="43"/>
  <c r="D15" i="71"/>
  <c r="AH13" i="71"/>
  <c r="AG13" i="71"/>
  <c r="AE13" i="71"/>
  <c r="AF13" i="71"/>
  <c r="AD13" i="7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AY6" i="3"/>
  <c r="D3" i="6"/>
  <c r="E3" i="6"/>
  <c r="D19" i="6"/>
  <c r="M19" i="9"/>
  <c r="C118" i="9"/>
  <c r="C14" i="74"/>
  <c r="M18" i="9"/>
  <c r="B118" i="9"/>
  <c r="B14" i="74"/>
  <c r="AD14" i="71"/>
  <c r="AG14" i="71"/>
  <c r="AH14" i="71"/>
  <c r="AE14" i="71"/>
  <c r="AF14" i="71"/>
  <c r="X12" i="71"/>
  <c r="AB13" i="71"/>
  <c r="AA13" i="71"/>
  <c r="Y12" i="71"/>
  <c r="Z12" i="71"/>
  <c r="Y13" i="71"/>
  <c r="Z13" i="71"/>
  <c r="V14" i="71"/>
  <c r="AB14" i="71"/>
  <c r="Y14" i="71"/>
  <c r="Z14" i="71"/>
  <c r="X14" i="71"/>
  <c r="AA1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C5" i="3"/>
  <c r="BD5" i="3"/>
  <c r="BB5" i="3"/>
  <c r="BB10" i="3"/>
  <c r="BC10" i="3"/>
  <c r="BD10" i="3"/>
  <c r="BE10" i="3"/>
  <c r="BF10" i="3"/>
  <c r="BG10" i="3"/>
  <c r="BH10" i="3"/>
  <c r="BI10" i="3"/>
  <c r="BJ10" i="3"/>
  <c r="BK10" i="3"/>
  <c r="BE5" i="3"/>
  <c r="BF5" i="3"/>
  <c r="BG5" i="3"/>
  <c r="BH5" i="3"/>
  <c r="BI5" i="3"/>
  <c r="BJ5" i="3"/>
  <c r="BK5" i="3"/>
  <c r="E8" i="6"/>
  <c r="F27" i="6"/>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O43" i="71"/>
  <c r="C44" i="71"/>
  <c r="Q43" i="71"/>
  <c r="F44" i="71"/>
  <c r="F45" i="71"/>
  <c r="F46" i="71"/>
  <c r="V46" i="71"/>
  <c r="P43" i="71"/>
  <c r="E44"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AB29" i="71"/>
  <c r="AA29" i="71"/>
  <c r="Y29" i="71"/>
  <c r="Z29" i="71"/>
  <c r="X29" i="71"/>
  <c r="AB28" i="71"/>
  <c r="Y28" i="71"/>
  <c r="Z28" i="71"/>
  <c r="F28" i="71"/>
  <c r="F29" i="71"/>
  <c r="F30" i="71"/>
  <c r="V30" i="71"/>
  <c r="D27" i="71"/>
  <c r="AB26" i="71"/>
  <c r="Y26" i="71"/>
  <c r="Z26" i="71"/>
  <c r="AB25" i="71"/>
  <c r="Y25" i="71"/>
  <c r="Z25" i="71"/>
  <c r="AB24" i="71"/>
  <c r="Y24" i="71"/>
  <c r="Z24" i="71"/>
  <c r="F24" i="71"/>
  <c r="F25" i="71"/>
  <c r="F26" i="71"/>
  <c r="V26" i="71"/>
  <c r="D23" i="71"/>
  <c r="AB22" i="71"/>
  <c r="Y22" i="71"/>
  <c r="Z22" i="71"/>
  <c r="AB21" i="71"/>
  <c r="Y21" i="71"/>
  <c r="Z21" i="71"/>
  <c r="AB20" i="71"/>
  <c r="Y20" i="71"/>
  <c r="Z20" i="71"/>
  <c r="F20" i="71"/>
  <c r="F21" i="71"/>
  <c r="F22" i="71"/>
  <c r="V22" i="71"/>
  <c r="D19"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D28" i="71"/>
  <c r="C33" i="71"/>
  <c r="D32" i="71"/>
  <c r="C37" i="71"/>
  <c r="D37" i="71"/>
  <c r="D36" i="71"/>
  <c r="C41" i="71"/>
  <c r="D40" i="71"/>
  <c r="E45" i="71"/>
  <c r="E46" i="71"/>
  <c r="U46" i="71"/>
  <c r="E49" i="71"/>
  <c r="E50" i="71"/>
  <c r="U50" i="71"/>
  <c r="E53" i="71"/>
  <c r="E54" i="71"/>
  <c r="U54" i="71"/>
  <c r="Q55" i="71"/>
  <c r="U58" i="71"/>
  <c r="E57"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6"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9" i="43"/>
  <c r="K54" i="43"/>
  <c r="K5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N52" i="43"/>
  <c r="K52" i="43"/>
  <c r="J52" i="43"/>
  <c r="M51" i="43"/>
  <c r="N51" i="43"/>
  <c r="K51" i="43"/>
  <c r="J51" i="43"/>
  <c r="M50" i="43"/>
  <c r="N50" i="43"/>
  <c r="J50" i="43"/>
  <c r="M49" i="43"/>
  <c r="N49" i="43"/>
  <c r="J49"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69" i="31"/>
  <c r="C91" i="31"/>
  <c r="C131" i="31"/>
  <c r="C162" i="31"/>
  <c r="C178"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7" i="49"/>
  <c r="B40" i="48"/>
  <c r="B3" i="72"/>
  <c r="N1" i="43"/>
  <c r="F35" i="4"/>
  <c r="J55" i="39"/>
  <c r="H34" i="43"/>
  <c r="H35" i="43"/>
  <c r="H36" i="43"/>
  <c r="H37" i="43"/>
  <c r="H38" i="43"/>
  <c r="H39" i="43"/>
  <c r="H33" i="43"/>
  <c r="C18" i="43"/>
  <c r="F15" i="43"/>
  <c r="E15" i="43"/>
  <c r="D15" i="43"/>
  <c r="C15" i="43"/>
  <c r="C10" i="43"/>
  <c r="C11" i="43"/>
  <c r="C9" i="43"/>
  <c r="A7" i="43"/>
  <c r="F33" i="15"/>
  <c r="F61" i="15"/>
  <c r="M19" i="15"/>
  <c r="O10" i="1"/>
  <c r="D78" i="9"/>
  <c r="F23" i="15"/>
  <c r="D24" i="15"/>
  <c r="O8" i="1"/>
  <c r="P8" i="1"/>
  <c r="O13" i="1"/>
  <c r="P13"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69" i="31"/>
  <c r="Q91" i="31"/>
  <c r="Q131" i="31"/>
  <c r="Q162" i="31"/>
  <c r="Q178"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69" i="31"/>
  <c r="O91" i="31"/>
  <c r="O131" i="31"/>
  <c r="O162" i="31"/>
  <c r="O178"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69" i="31"/>
  <c r="M91" i="31"/>
  <c r="M131" i="31"/>
  <c r="M162" i="31"/>
  <c r="M178"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69" i="31"/>
  <c r="K91" i="31"/>
  <c r="K131" i="31"/>
  <c r="K162" i="31"/>
  <c r="K178"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69" i="31"/>
  <c r="I91" i="31"/>
  <c r="I131" i="31"/>
  <c r="I162" i="31"/>
  <c r="I178"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69" i="31"/>
  <c r="G91" i="31"/>
  <c r="G131" i="31"/>
  <c r="G162" i="31"/>
  <c r="G178"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69" i="31"/>
  <c r="E91" i="31"/>
  <c r="E131" i="31"/>
  <c r="E162" i="31"/>
  <c r="E178"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25"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G77" i="33"/>
  <c r="D69" i="33"/>
  <c r="E69" i="33"/>
  <c r="F69" i="33"/>
  <c r="G69" i="33"/>
  <c r="H69" i="33"/>
  <c r="I69" i="33"/>
  <c r="J69" i="33"/>
  <c r="K69" i="33"/>
  <c r="L69" i="33"/>
  <c r="M69" i="33"/>
  <c r="M67" i="33"/>
  <c r="L67" i="33"/>
  <c r="K67" i="33"/>
  <c r="J67" i="33"/>
  <c r="I67" i="33"/>
  <c r="H67" i="33"/>
  <c r="G67" i="33"/>
  <c r="F67" i="33"/>
  <c r="E67" i="33"/>
  <c r="D67" i="33"/>
  <c r="C67"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Q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T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AC5" i="3"/>
  <c r="BP5" i="3"/>
  <c r="BN5" i="3"/>
  <c r="U36" i="40"/>
  <c r="F36" i="43"/>
  <c r="F81" i="43"/>
  <c r="H83"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A32" i="36"/>
  <c r="S32" i="36"/>
  <c r="AA39" i="34"/>
  <c r="U30" i="33"/>
  <c r="AC13" i="34"/>
  <c r="AA47" i="34"/>
  <c r="W28" i="37"/>
  <c r="S19" i="39"/>
  <c r="H12" i="39"/>
  <c r="AB12" i="39"/>
  <c r="F39" i="40"/>
  <c r="K25" i="6"/>
  <c r="S12" i="1"/>
  <c r="M25" i="6"/>
  <c r="I25" i="6"/>
  <c r="H25" i="6"/>
  <c r="D25" i="6"/>
  <c r="R25" i="6"/>
  <c r="R12" i="1"/>
  <c r="B12" i="1"/>
  <c r="E12" i="1"/>
  <c r="K20" i="6"/>
  <c r="S10" i="1"/>
  <c r="AQ10" i="1"/>
  <c r="L20" i="6"/>
  <c r="M20" i="6"/>
  <c r="I20" i="6"/>
  <c r="H20" i="6"/>
  <c r="D20" i="6"/>
  <c r="R20" i="6"/>
  <c r="R10" i="1"/>
  <c r="B10" i="1"/>
  <c r="E10" i="1"/>
  <c r="D1" i="66"/>
  <c r="E10" i="66"/>
  <c r="O12" i="1"/>
  <c r="P12" i="1"/>
  <c r="K26" i="6"/>
  <c r="S13" i="1"/>
  <c r="AR13" i="1"/>
  <c r="M26" i="6"/>
  <c r="I26" i="6"/>
  <c r="H26" i="6"/>
  <c r="D26" i="6"/>
  <c r="R26" i="6"/>
  <c r="R13" i="1"/>
  <c r="S11" i="1"/>
  <c r="AQ11" i="1"/>
  <c r="R11" i="1"/>
  <c r="K22" i="6"/>
  <c r="S9" i="1"/>
  <c r="AR9" i="1"/>
  <c r="M22" i="6"/>
  <c r="I22" i="6"/>
  <c r="H22" i="6"/>
  <c r="D22" i="6"/>
  <c r="R22" i="6"/>
  <c r="R9" i="1"/>
  <c r="J51" i="67"/>
  <c r="C4" i="12"/>
  <c r="F31"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C17" i="43"/>
  <c r="F33" i="43"/>
  <c r="F34"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72" i="43"/>
  <c r="E62" i="39"/>
  <c r="E56" i="39"/>
  <c r="E51" i="40"/>
  <c r="B6" i="1"/>
  <c r="E6" i="1"/>
  <c r="K21" i="6"/>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0" i="49"/>
  <c r="E4" i="4"/>
  <c r="B5" i="62"/>
  <c r="B73" i="72"/>
  <c r="AQ13" i="1"/>
  <c r="O6" i="1"/>
  <c r="P6" i="1"/>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D102" i="43"/>
  <c r="E102" i="43"/>
  <c r="H102" i="43"/>
  <c r="I102" i="43"/>
  <c r="L102" i="43"/>
  <c r="M102" i="43"/>
  <c r="D103" i="43"/>
  <c r="E103" i="43"/>
  <c r="H103" i="43"/>
  <c r="I103" i="43"/>
  <c r="L103" i="43"/>
  <c r="M103" i="43"/>
  <c r="D104" i="43"/>
  <c r="E104" i="43"/>
  <c r="H104" i="43"/>
  <c r="I104" i="43"/>
  <c r="L104" i="43"/>
  <c r="M104" i="43"/>
  <c r="D105" i="43"/>
  <c r="E105" i="43"/>
  <c r="H105" i="43"/>
  <c r="I105" i="43"/>
  <c r="L105" i="43"/>
  <c r="M105" i="43"/>
  <c r="D106" i="43"/>
  <c r="E106" i="43"/>
  <c r="H106" i="43"/>
  <c r="I106" i="43"/>
  <c r="L106" i="43"/>
  <c r="M106" i="43"/>
  <c r="D107" i="43"/>
  <c r="E107" i="43"/>
  <c r="H107" i="43"/>
  <c r="I107" i="43"/>
  <c r="L107" i="43"/>
  <c r="M107" i="43"/>
  <c r="C2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AQ6" i="1"/>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C24" i="12"/>
  <c r="P7" i="1"/>
  <c r="O16" i="1"/>
  <c r="S20" i="6"/>
  <c r="M27" i="6"/>
  <c r="F27" i="11"/>
  <c r="AC11" i="37"/>
  <c r="W11" i="37"/>
  <c r="W11" i="34"/>
  <c r="AC11" i="34"/>
  <c r="B2" i="74"/>
  <c r="E6" i="3"/>
  <c r="D10" i="11"/>
  <c r="C10" i="11"/>
  <c r="D20" i="12"/>
  <c r="C20" i="12"/>
  <c r="D15" i="6"/>
  <c r="C18" i="4"/>
  <c r="D8" i="6"/>
  <c r="D21" i="6"/>
  <c r="D23" i="6"/>
  <c r="D24" i="6"/>
  <c r="D14" i="6"/>
  <c r="R7" i="1"/>
  <c r="D5" i="6"/>
  <c r="D6" i="6"/>
  <c r="D12" i="6"/>
  <c r="D9" i="6"/>
  <c r="D11" i="6"/>
  <c r="D10" i="6"/>
  <c r="D13" i="6"/>
  <c r="H19" i="6"/>
  <c r="D28" i="6"/>
  <c r="D29" i="6"/>
  <c r="E61" i="40"/>
  <c r="H23" i="6"/>
  <c r="H21" i="6"/>
  <c r="H24" i="6"/>
  <c r="P16" i="1"/>
  <c r="C11" i="12"/>
  <c r="C15" i="12"/>
  <c r="F34" i="11"/>
  <c r="C37" i="11"/>
  <c r="F11" i="12"/>
  <c r="C23" i="12"/>
  <c r="S19" i="6"/>
  <c r="S27" i="6"/>
  <c r="I27" i="6"/>
  <c r="F50" i="11"/>
  <c r="F50" i="69"/>
  <c r="C47" i="11"/>
  <c r="D45" i="11"/>
  <c r="C29" i="11"/>
  <c r="D27" i="11"/>
  <c r="L16" i="1"/>
  <c r="C34" i="11"/>
  <c r="C38" i="11"/>
  <c r="R23" i="6"/>
  <c r="R24" i="6"/>
  <c r="R21" i="6"/>
  <c r="R8" i="1"/>
  <c r="D30" i="6"/>
  <c r="D16" i="6"/>
  <c r="A7" i="51"/>
  <c r="B7" i="72"/>
  <c r="C4" i="52"/>
  <c r="B45" i="72"/>
  <c r="A10" i="51"/>
  <c r="B9" i="72"/>
  <c r="D27" i="6"/>
  <c r="H27" i="6"/>
  <c r="R19" i="6"/>
  <c r="C35" i="11"/>
  <c r="D31" i="6"/>
  <c r="I6" i="6"/>
  <c r="R27" i="6"/>
  <c r="R6" i="1"/>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C65" i="40"/>
  <c r="D63" i="40"/>
  <c r="G16" i="1"/>
  <c r="C36" i="11"/>
  <c r="C33" i="11"/>
  <c r="C39" i="11"/>
  <c r="C46" i="11"/>
  <c r="C45" i="11"/>
  <c r="C13" i="12"/>
  <c r="C30" i="69"/>
  <c r="C77" i="9"/>
  <c r="C74" i="9"/>
  <c r="C28" i="67"/>
  <c r="C30" i="68"/>
  <c r="H77" i="43"/>
  <c r="H76" i="43"/>
  <c r="H67" i="43"/>
  <c r="H59" i="43"/>
  <c r="H60" i="43"/>
  <c r="H61" i="43"/>
  <c r="M4" i="43"/>
  <c r="M5" i="43"/>
  <c r="N12" i="43"/>
  <c r="N11" i="43"/>
  <c r="M10" i="43"/>
  <c r="M2" i="43"/>
  <c r="M7" i="43"/>
  <c r="H70" i="43"/>
  <c r="N9" i="43"/>
  <c r="M8" i="43"/>
  <c r="N10" i="43"/>
  <c r="H74" i="43"/>
  <c r="N7" i="43"/>
  <c r="N4" i="43"/>
  <c r="N2" i="4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D12" i="71"/>
  <c r="D13" i="71"/>
  <c r="D14" i="71"/>
  <c r="U14" i="71"/>
  <c r="S14" i="71"/>
  <c r="T14" i="71"/>
  <c r="AB12" i="71"/>
  <c r="X10" i="71"/>
  <c r="X9" i="71"/>
  <c r="AA10" i="71"/>
  <c r="AA9" i="71"/>
  <c r="X13" i="71"/>
  <c r="Z8" i="71"/>
  <c r="Y9" i="71"/>
  <c r="Z9" i="71"/>
  <c r="AB10" i="71"/>
  <c r="AB9" i="71"/>
  <c r="S10" i="71"/>
  <c r="C94" i="9"/>
  <c r="C92" i="9"/>
  <c r="C20" i="11"/>
  <c r="C28" i="11"/>
  <c r="C27" i="11"/>
  <c r="Y10" i="71"/>
  <c r="Z10" i="71"/>
  <c r="X3" i="71"/>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U10" i="39"/>
  <c r="AB10" i="39"/>
  <c r="W10" i="39"/>
  <c r="AC10" i="39"/>
  <c r="W10" i="40"/>
  <c r="AC10" i="40"/>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V10" i="71"/>
  <c r="D11" i="71"/>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8" i="71"/>
  <c r="T10" i="71"/>
  <c r="D9" i="71"/>
  <c r="D10"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Y3" i="71"/>
  <c r="Z3" i="71"/>
  <c r="AB3" i="71"/>
  <c r="Y5" i="71"/>
  <c r="Z5" i="71"/>
  <c r="X6" i="71"/>
  <c r="Y6" i="71"/>
  <c r="Z6" i="71"/>
  <c r="AA6" i="71"/>
  <c r="AB6" i="71"/>
  <c r="AB8" i="71"/>
  <c r="C19" i="43"/>
  <c r="U10"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O68" i="39"/>
  <c r="O70" i="39"/>
  <c r="N70" i="39"/>
  <c r="H7" i="40"/>
  <c r="U7" i="40"/>
  <c r="F7" i="39"/>
  <c r="S7" i="39"/>
  <c r="J7" i="39"/>
  <c r="W7" i="39"/>
  <c r="H7" i="39"/>
  <c r="U7" i="39"/>
  <c r="E22" i="49"/>
  <c r="B5" i="71"/>
  <c r="F6" i="71"/>
  <c r="F5" i="71"/>
  <c r="AC7" i="39"/>
  <c r="V47" i="39"/>
  <c r="I47" i="39"/>
  <c r="I51" i="39"/>
  <c r="J51" i="39"/>
  <c r="S7" i="40"/>
  <c r="AA7" i="39"/>
  <c r="R47" i="39"/>
  <c r="AB7" i="40"/>
  <c r="T42" i="40"/>
  <c r="G42" i="40"/>
  <c r="G47" i="40"/>
  <c r="H47" i="40"/>
  <c r="W7" i="40"/>
  <c r="E42" i="40"/>
  <c r="R43" i="40"/>
  <c r="I46" i="40"/>
  <c r="J46" i="40"/>
  <c r="AF3" i="71"/>
  <c r="P22" i="43"/>
  <c r="P21" i="43"/>
  <c r="R48" i="39"/>
  <c r="E47" i="39"/>
  <c r="P24" i="43"/>
  <c r="B66" i="40"/>
  <c r="AB7" i="39"/>
  <c r="T47" i="39"/>
  <c r="G47" i="39"/>
  <c r="F31" i="15"/>
  <c r="M17" i="15"/>
  <c r="F59" i="15"/>
  <c r="M17" i="67"/>
  <c r="F31" i="67"/>
  <c r="F59" i="67"/>
  <c r="G46" i="40"/>
  <c r="H46" i="40"/>
  <c r="I52" i="39"/>
  <c r="J52" i="39"/>
  <c r="P25" i="43"/>
  <c r="P23" i="43"/>
  <c r="B71" i="39"/>
  <c r="M20" i="43"/>
  <c r="E46" i="40"/>
  <c r="F46" i="40"/>
  <c r="E47" i="40"/>
  <c r="F47" i="40"/>
  <c r="C48" i="39"/>
  <c r="C47" i="39"/>
  <c r="C43" i="40"/>
  <c r="C42" i="40"/>
  <c r="G51" i="39"/>
  <c r="H51" i="39"/>
  <c r="G52" i="39"/>
  <c r="H52" i="39"/>
  <c r="I47" i="40"/>
  <c r="J47" i="40"/>
  <c r="E51" i="39"/>
  <c r="F51" i="39"/>
  <c r="E52" i="39"/>
  <c r="F52" i="39"/>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D113" i="43"/>
  <c r="S4" i="43"/>
  <c r="S6" i="43"/>
  <c r="S2" i="43"/>
  <c r="S3" i="43"/>
  <c r="S5" i="43"/>
  <c r="T19" i="43"/>
  <c r="T20" i="43"/>
  <c r="T21" i="43"/>
  <c r="T22" i="43"/>
  <c r="E17" i="43"/>
  <c r="B9" i="49"/>
  <c r="B11" i="49"/>
  <c r="F35" i="67"/>
  <c r="F16" i="15"/>
  <c r="E8" i="76"/>
  <c r="M9" i="67"/>
  <c r="F40" i="67"/>
  <c r="M6" i="67"/>
  <c r="AO7" i="1"/>
  <c r="F13" i="67"/>
  <c r="F35" i="15"/>
  <c r="E7" i="76"/>
  <c r="E9" i="76"/>
  <c r="D2" i="37"/>
  <c r="D6" i="73"/>
  <c r="F7" i="15"/>
  <c r="M22" i="15"/>
  <c r="B10" i="76"/>
  <c r="M8" i="15"/>
  <c r="M29" i="67"/>
  <c r="M24" i="67"/>
  <c r="M6" i="15"/>
  <c r="D3" i="73"/>
  <c r="M26" i="67"/>
  <c r="M9" i="15"/>
  <c r="L48" i="67"/>
  <c r="M22" i="67"/>
  <c r="B13" i="76"/>
  <c r="F40" i="15"/>
  <c r="E2" i="69"/>
  <c r="B8" i="76"/>
  <c r="L47" i="15"/>
  <c r="M23" i="67"/>
  <c r="F8" i="67"/>
  <c r="F8" i="15"/>
  <c r="C76" i="15"/>
  <c r="B11" i="76"/>
  <c r="B7" i="76"/>
  <c r="AO8" i="1"/>
  <c r="F36" i="15"/>
  <c r="M24" i="15"/>
  <c r="F5" i="73"/>
  <c r="F6" i="67"/>
  <c r="B12" i="76"/>
  <c r="B9" i="76"/>
  <c r="AO11" i="1"/>
  <c r="F16" i="67"/>
  <c r="M21" i="15"/>
  <c r="J15" i="67"/>
  <c r="F43" i="67"/>
  <c r="F41" i="15"/>
  <c r="F7" i="67"/>
  <c r="F9" i="67"/>
  <c r="M27" i="67"/>
  <c r="F6" i="73"/>
  <c r="C14" i="15"/>
  <c r="AO12" i="1"/>
  <c r="F38" i="15"/>
  <c r="M23" i="15"/>
  <c r="AO13" i="1"/>
  <c r="D7" i="73"/>
  <c r="F42" i="67"/>
  <c r="F6" i="15"/>
  <c r="C76" i="67"/>
  <c r="F37" i="67"/>
  <c r="F26" i="15"/>
  <c r="F13" i="15"/>
  <c r="AO9" i="1"/>
  <c r="M28" i="15"/>
  <c r="F4" i="73"/>
  <c r="F20" i="31"/>
  <c r="F26" i="67"/>
  <c r="F41" i="67"/>
  <c r="L47" i="67"/>
  <c r="D2" i="35"/>
  <c r="D2" i="34"/>
  <c r="M28" i="67"/>
  <c r="F36" i="67"/>
  <c r="F43" i="15"/>
  <c r="M21" i="67"/>
  <c r="M26" i="15"/>
  <c r="M29" i="15"/>
  <c r="J15" i="15"/>
  <c r="F38" i="67"/>
  <c r="M27" i="15"/>
  <c r="D2" i="21"/>
  <c r="L48" i="15"/>
  <c r="F3" i="73"/>
  <c r="M8" i="67"/>
  <c r="D34" i="9"/>
  <c r="D35" i="9"/>
  <c r="AO10" i="1"/>
  <c r="D2" i="36"/>
  <c r="F37" i="15"/>
  <c r="E13" i="76"/>
  <c r="E12" i="76"/>
  <c r="F42" i="15"/>
  <c r="E10" i="76"/>
  <c r="E11" i="76"/>
  <c r="F7" i="73"/>
  <c r="F9" i="15"/>
  <c r="B4" i="49"/>
  <c r="B22" i="49"/>
  <c r="E14" i="49"/>
  <c r="E7" i="49"/>
  <c r="E11" i="49"/>
  <c r="E8" i="49"/>
  <c r="E6" i="49"/>
  <c r="D19" i="69"/>
  <c r="C12" i="12"/>
  <c r="C38" i="69"/>
  <c r="C29" i="69"/>
  <c r="D27" i="69"/>
  <c r="I53" i="33"/>
  <c r="J53" i="33"/>
  <c r="E52" i="33"/>
  <c r="F52" i="33"/>
  <c r="C14" i="12"/>
  <c r="C18" i="12"/>
  <c r="E10" i="49"/>
  <c r="E9" i="49"/>
  <c r="E13" i="49"/>
  <c r="E21" i="49"/>
  <c r="E4" i="49"/>
  <c r="B13" i="49"/>
  <c r="B14" i="49"/>
  <c r="B8" i="49"/>
  <c r="B6" i="49"/>
  <c r="C4" i="4"/>
  <c r="K4" i="4"/>
  <c r="B46" i="48"/>
  <c r="B4" i="72"/>
  <c r="E53" i="33"/>
  <c r="F53" i="33"/>
  <c r="C48" i="33"/>
  <c r="R16" i="1"/>
  <c r="C8" i="69"/>
  <c r="C5" i="69"/>
  <c r="F69" i="15"/>
  <c r="C15" i="15"/>
  <c r="C18" i="15"/>
  <c r="F71" i="67"/>
  <c r="J53" i="67"/>
  <c r="J57" i="67"/>
  <c r="J55" i="67"/>
  <c r="J58" i="67"/>
  <c r="Q50" i="67"/>
  <c r="I54" i="67"/>
  <c r="L56" i="67"/>
  <c r="B20" i="31"/>
  <c r="B21" i="31"/>
  <c r="I1" i="73"/>
  <c r="B39" i="1"/>
  <c r="J20" i="15"/>
  <c r="B11" i="70"/>
  <c r="M7" i="67"/>
  <c r="J6" i="67"/>
  <c r="F50" i="67"/>
  <c r="B9" i="70"/>
  <c r="C6" i="67"/>
  <c r="J57" i="15"/>
  <c r="J55" i="15"/>
  <c r="J58" i="15"/>
  <c r="Q50" i="15"/>
  <c r="I54" i="15"/>
  <c r="J53" i="15"/>
  <c r="B2" i="21"/>
  <c r="B3" i="21"/>
  <c r="C27" i="15"/>
  <c r="M7" i="15"/>
  <c r="J6" i="15"/>
  <c r="F50" i="15"/>
  <c r="F64" i="15"/>
  <c r="F66" i="67"/>
  <c r="F65" i="67"/>
  <c r="B8" i="70"/>
  <c r="Q71" i="67"/>
  <c r="B2" i="37"/>
  <c r="B3" i="37"/>
  <c r="C6" i="15"/>
  <c r="J20" i="67"/>
  <c r="Q71" i="15"/>
  <c r="C34" i="15"/>
  <c r="F63" i="15"/>
  <c r="C62" i="15"/>
  <c r="F70" i="67"/>
  <c r="F71" i="15"/>
  <c r="F51" i="15"/>
  <c r="C49" i="15"/>
  <c r="F65" i="15"/>
  <c r="F64" i="67"/>
  <c r="F51" i="67"/>
  <c r="C49" i="67"/>
  <c r="B7" i="70"/>
  <c r="B13" i="70"/>
  <c r="B2" i="34"/>
  <c r="B3" i="34"/>
  <c r="N59" i="15"/>
  <c r="M59" i="15"/>
  <c r="L59" i="15"/>
  <c r="L58" i="15"/>
  <c r="F68" i="67"/>
  <c r="B2" i="35"/>
  <c r="B3" i="35"/>
  <c r="B2" i="36"/>
  <c r="B3" i="36"/>
  <c r="M59" i="67"/>
  <c r="L58" i="67"/>
  <c r="N59" i="67"/>
  <c r="L59" i="67"/>
  <c r="F66" i="15"/>
  <c r="F69" i="67"/>
  <c r="F68" i="15"/>
  <c r="B10" i="70"/>
  <c r="C27" i="67"/>
  <c r="F63" i="67"/>
  <c r="C62" i="67"/>
  <c r="C34" i="67"/>
  <c r="B12" i="70"/>
  <c r="C17" i="15"/>
  <c r="C17" i="67"/>
  <c r="C16" i="15"/>
  <c r="C16" i="67"/>
  <c r="C14" i="67"/>
  <c r="C16" i="12"/>
  <c r="C21" i="12"/>
  <c r="C22" i="12"/>
  <c r="C30" i="12"/>
  <c r="C28" i="12"/>
  <c r="C19" i="69"/>
  <c r="C20" i="69"/>
  <c r="C28" i="69"/>
  <c r="C27" i="69"/>
  <c r="D37" i="69"/>
  <c r="C37" i="69"/>
  <c r="C33" i="69"/>
  <c r="C39" i="69"/>
  <c r="C46" i="69"/>
  <c r="C45" i="69"/>
  <c r="B4" i="62"/>
  <c r="B71" i="72"/>
  <c r="C15" i="67"/>
  <c r="C18" i="67"/>
  <c r="J18" i="15"/>
  <c r="C19" i="15"/>
  <c r="Q61" i="67"/>
  <c r="Q74" i="67"/>
  <c r="Q73" i="67"/>
  <c r="Q60" i="67"/>
  <c r="Q74" i="15"/>
  <c r="Q61" i="15"/>
  <c r="C32" i="15"/>
  <c r="F1" i="15"/>
  <c r="Q52" i="15"/>
  <c r="L56" i="15"/>
  <c r="C32" i="67"/>
  <c r="P28" i="43"/>
  <c r="O28" i="43"/>
  <c r="N28" i="43"/>
  <c r="Q60" i="15"/>
  <c r="Q73" i="15"/>
  <c r="J18" i="67"/>
  <c r="F11" i="67"/>
  <c r="M11" i="15"/>
  <c r="J10" i="15"/>
  <c r="J5" i="15"/>
  <c r="F11" i="15"/>
  <c r="M11" i="67"/>
  <c r="J10" i="67"/>
  <c r="J5" i="67"/>
  <c r="F1" i="67"/>
  <c r="Q52" i="67"/>
  <c r="AE6" i="1"/>
  <c r="F22" i="69"/>
  <c r="C43" i="69"/>
  <c r="F25" i="12"/>
  <c r="C27" i="12"/>
  <c r="C25" i="12"/>
  <c r="F24" i="67"/>
  <c r="C24" i="67"/>
  <c r="F22" i="11"/>
  <c r="C43" i="11"/>
  <c r="F24" i="15"/>
  <c r="C24" i="15"/>
  <c r="C21" i="9"/>
  <c r="C102" i="9"/>
  <c r="C103" i="9"/>
  <c r="C19" i="67"/>
  <c r="C20" i="67"/>
  <c r="C26" i="67"/>
  <c r="J26" i="67"/>
  <c r="J29" i="67"/>
  <c r="J24" i="67"/>
  <c r="J26" i="15"/>
  <c r="J29" i="15"/>
  <c r="J24" i="15"/>
  <c r="C20" i="15"/>
  <c r="C26" i="15"/>
  <c r="C10" i="15"/>
  <c r="C5" i="15"/>
  <c r="C53" i="15"/>
  <c r="C48" i="15"/>
  <c r="C53" i="67"/>
  <c r="C48" i="67"/>
  <c r="C10" i="67"/>
  <c r="C5" i="67"/>
  <c r="C42" i="69"/>
  <c r="C41" i="69"/>
  <c r="C23" i="69"/>
  <c r="C25" i="69"/>
  <c r="C26" i="69"/>
  <c r="D22" i="69"/>
  <c r="C44" i="69"/>
  <c r="D41" i="69"/>
  <c r="C49" i="69"/>
  <c r="C51" i="69"/>
  <c r="C24" i="69"/>
  <c r="C26" i="12"/>
  <c r="D25" i="12"/>
  <c r="C32" i="12"/>
  <c r="B2" i="12"/>
  <c r="B3" i="12"/>
  <c r="C23" i="11"/>
  <c r="C42" i="11"/>
  <c r="C41" i="11"/>
  <c r="C24" i="11"/>
  <c r="C25" i="11"/>
  <c r="C26" i="11"/>
  <c r="D22" i="11"/>
  <c r="C44" i="11"/>
  <c r="D41" i="11"/>
  <c r="C23" i="67"/>
  <c r="C29" i="67"/>
  <c r="C23" i="15"/>
  <c r="C29" i="15"/>
  <c r="C38" i="67"/>
  <c r="C66" i="15"/>
  <c r="C60" i="15"/>
  <c r="T5" i="43"/>
  <c r="V5" i="43"/>
  <c r="T3" i="43"/>
  <c r="V3" i="43"/>
  <c r="T2" i="43"/>
  <c r="V2" i="43"/>
  <c r="T6" i="43"/>
  <c r="V6" i="43"/>
  <c r="T4" i="43"/>
  <c r="V4" i="43"/>
  <c r="T14" i="43"/>
  <c r="V14" i="43"/>
  <c r="T12" i="43"/>
  <c r="V12" i="43"/>
  <c r="T11" i="43"/>
  <c r="V11" i="43"/>
  <c r="T9" i="43"/>
  <c r="V9" i="43"/>
  <c r="T15" i="43"/>
  <c r="V15" i="43"/>
  <c r="T10" i="43"/>
  <c r="V10" i="43"/>
  <c r="T7" i="43"/>
  <c r="V7" i="43"/>
  <c r="T16" i="43"/>
  <c r="V16" i="43"/>
  <c r="T13" i="43"/>
  <c r="V13" i="43"/>
  <c r="T8" i="43"/>
  <c r="V8" i="43"/>
  <c r="C60" i="67"/>
  <c r="C66" i="67"/>
  <c r="C38" i="15"/>
  <c r="C22" i="69"/>
  <c r="C31" i="69"/>
  <c r="C22" i="11"/>
  <c r="C31" i="11"/>
  <c r="C49" i="11"/>
  <c r="C51" i="11"/>
  <c r="C13" i="15"/>
  <c r="C56" i="15"/>
  <c r="C65" i="15"/>
  <c r="J59" i="15"/>
  <c r="J60" i="15"/>
  <c r="Q48" i="15"/>
  <c r="C33" i="15"/>
  <c r="C31" i="15"/>
  <c r="C57" i="15"/>
  <c r="C61" i="15"/>
  <c r="C59" i="15"/>
  <c r="Q49" i="15"/>
  <c r="J14" i="15"/>
  <c r="J13" i="15"/>
  <c r="J23" i="15"/>
  <c r="C36" i="15"/>
  <c r="J19" i="15"/>
  <c r="J17" i="15"/>
  <c r="G39" i="43"/>
  <c r="I39" i="43"/>
  <c r="G36" i="43"/>
  <c r="I36" i="43"/>
  <c r="G34" i="43"/>
  <c r="I34" i="43"/>
  <c r="C30" i="43"/>
  <c r="E30" i="43"/>
  <c r="G38" i="43"/>
  <c r="I38" i="43"/>
  <c r="G37" i="43"/>
  <c r="I37" i="43"/>
  <c r="G35" i="43"/>
  <c r="I35" i="43"/>
  <c r="G33" i="43"/>
  <c r="I33" i="43"/>
  <c r="C52" i="69"/>
  <c r="B2" i="69"/>
  <c r="B3" i="69"/>
  <c r="C57" i="67"/>
  <c r="C33" i="67"/>
  <c r="C31" i="67"/>
  <c r="C36" i="67"/>
  <c r="J14" i="67"/>
  <c r="C13" i="67"/>
  <c r="J19" i="67"/>
  <c r="J17" i="67"/>
  <c r="Q49" i="67"/>
  <c r="J59" i="67"/>
  <c r="J60" i="67"/>
  <c r="C75" i="15"/>
  <c r="C52" i="11"/>
  <c r="B2" i="11"/>
  <c r="B3" i="11"/>
  <c r="Q70" i="15"/>
  <c r="C37" i="15"/>
  <c r="C30" i="15"/>
  <c r="C39" i="15"/>
  <c r="C40" i="15"/>
  <c r="L46" i="15"/>
  <c r="C56" i="11"/>
  <c r="C57" i="11"/>
  <c r="J22" i="15"/>
  <c r="J16" i="15"/>
  <c r="J25" i="15"/>
  <c r="C64" i="15"/>
  <c r="C58" i="15"/>
  <c r="C67" i="15"/>
  <c r="C68" i="15"/>
  <c r="C71" i="15"/>
  <c r="C27" i="43"/>
  <c r="Q69" i="15"/>
  <c r="C75" i="67"/>
  <c r="C56" i="67"/>
  <c r="C65" i="67"/>
  <c r="C37" i="67"/>
  <c r="Q70" i="67"/>
  <c r="C64" i="67"/>
  <c r="C61" i="67"/>
  <c r="C59" i="67"/>
  <c r="L31" i="43"/>
  <c r="Q48" i="67"/>
  <c r="L46" i="67"/>
  <c r="J13" i="67"/>
  <c r="J23" i="67"/>
  <c r="J22" i="67"/>
  <c r="C30" i="67"/>
  <c r="C39" i="67"/>
  <c r="C57" i="69"/>
  <c r="C56" i="69"/>
  <c r="E6" i="76"/>
  <c r="L51" i="15"/>
  <c r="Q68" i="15"/>
  <c r="C80" i="15"/>
  <c r="C79" i="15"/>
  <c r="C46" i="15"/>
  <c r="J16" i="67"/>
  <c r="J25" i="67"/>
  <c r="C58" i="67"/>
  <c r="C67" i="67"/>
  <c r="C68" i="67"/>
  <c r="C71" i="67"/>
  <c r="E2" i="76"/>
  <c r="Q67" i="15"/>
  <c r="L57" i="15"/>
  <c r="L60" i="15"/>
  <c r="C40" i="67"/>
  <c r="Q69" i="67"/>
  <c r="Q68" i="67"/>
  <c r="C80" i="67"/>
  <c r="C79" i="67"/>
  <c r="Q56" i="15"/>
  <c r="Q65" i="15"/>
  <c r="C43" i="15"/>
  <c r="B2" i="15"/>
  <c r="Q47" i="15"/>
  <c r="Q53" i="15"/>
  <c r="C83" i="15"/>
  <c r="C82" i="15"/>
  <c r="L51" i="67"/>
  <c r="AO6" i="1"/>
  <c r="E2" i="68"/>
  <c r="B6" i="76"/>
  <c r="C45" i="67"/>
  <c r="C46" i="67"/>
  <c r="B2" i="76"/>
  <c r="B3" i="76"/>
  <c r="B6" i="70"/>
  <c r="B2" i="70"/>
  <c r="B3" i="70"/>
  <c r="Q67" i="67"/>
  <c r="L57" i="67"/>
  <c r="L60" i="67"/>
  <c r="B3" i="43"/>
  <c r="Q57" i="15"/>
  <c r="Q62" i="15"/>
  <c r="Q66" i="15"/>
  <c r="Q75" i="15"/>
  <c r="B3" i="15"/>
  <c r="Q47" i="67"/>
  <c r="Q53" i="67"/>
  <c r="Q65" i="67"/>
  <c r="Q56" i="67"/>
  <c r="D2" i="67"/>
  <c r="C43" i="67"/>
  <c r="C83" i="67"/>
  <c r="C82" i="67"/>
  <c r="D2" i="33"/>
  <c r="B3" i="67"/>
  <c r="B2" i="67"/>
  <c r="Q66" i="67"/>
  <c r="Q75" i="67"/>
  <c r="Q57" i="67"/>
  <c r="Q62" i="67"/>
  <c r="C57" i="68"/>
  <c r="C56" i="68"/>
  <c r="D22" i="9"/>
  <c r="D21" i="9"/>
  <c r="D102" i="9"/>
  <c r="J35" i="79"/>
  <c r="D103" i="9"/>
  <c r="D37" i="79"/>
  <c r="J9" i="79"/>
  <c r="J34" i="79"/>
  <c r="D38" i="79"/>
  <c r="C39" i="79"/>
  <c r="C40" i="79"/>
  <c r="G36" i="79"/>
  <c r="C35" i="9"/>
  <c r="E39" i="79"/>
  <c r="E40" i="79"/>
  <c r="J10" i="79"/>
  <c r="C104" i="9"/>
  <c r="I118" i="9"/>
  <c r="H4" i="52"/>
  <c r="H119" i="9"/>
  <c r="H5" i="52"/>
  <c r="H101" i="9"/>
  <c r="F118" i="9"/>
  <c r="C34" i="9"/>
  <c r="D118" i="9"/>
  <c r="I4" i="52"/>
  <c r="C105" i="9"/>
  <c r="H102" i="9"/>
  <c r="D7" i="53"/>
  <c r="B21" i="72"/>
  <c r="D119" i="9"/>
  <c r="D5" i="52"/>
  <c r="B49" i="72"/>
  <c r="D4" i="52"/>
  <c r="B47" i="72"/>
  <c r="D45" i="9"/>
  <c r="H107" i="9"/>
  <c r="D5" i="53"/>
  <c r="M48" i="9"/>
  <c r="F4" i="52"/>
  <c r="B51" i="72"/>
  <c r="F119" i="9"/>
  <c r="F5" i="52"/>
  <c r="B53" i="72"/>
  <c r="G118" i="9"/>
  <c r="G4" i="52"/>
  <c r="B52" i="72"/>
  <c r="B5" i="74"/>
  <c r="F14" i="74"/>
  <c r="E14" i="74"/>
  <c r="C5" i="74"/>
  <c r="D5" i="74"/>
  <c r="H108" i="9"/>
  <c r="D15" i="53"/>
  <c r="B31" i="72"/>
  <c r="D122" i="9"/>
  <c r="D13" i="53"/>
  <c r="E118" i="9"/>
  <c r="E4" i="52"/>
  <c r="B48" i="72"/>
  <c r="D6" i="53"/>
  <c r="B22" i="72"/>
  <c r="B20" i="72"/>
  <c r="C72" i="9"/>
  <c r="C85" i="9"/>
  <c r="D52" i="9"/>
  <c r="D53" i="9"/>
  <c r="C93" i="9"/>
  <c r="C86" i="9"/>
  <c r="D55" i="9"/>
  <c r="M53" i="9"/>
  <c r="C78" i="9"/>
  <c r="C73" i="9"/>
  <c r="C64" i="9"/>
  <c r="C63" i="9"/>
  <c r="C67" i="9"/>
  <c r="C68" i="9"/>
  <c r="D54" i="9"/>
  <c r="C79" i="9"/>
  <c r="C80" i="9"/>
  <c r="E80" i="9"/>
  <c r="E81" i="9"/>
  <c r="C95" i="9"/>
  <c r="C96" i="9"/>
  <c r="E96" i="9"/>
  <c r="E97" i="9"/>
  <c r="G14" i="74"/>
  <c r="B6" i="74"/>
  <c r="D8" i="52"/>
  <c r="D123" i="9"/>
  <c r="D9" i="52"/>
  <c r="B30" i="72"/>
  <c r="D14" i="53"/>
  <c r="B32" i="72"/>
  <c r="C97" i="9"/>
  <c r="D58" i="9"/>
  <c r="D56" i="9"/>
  <c r="M54" i="9"/>
  <c r="N57" i="9"/>
  <c r="C81" i="9"/>
  <c r="D6" i="74"/>
  <c r="C6" i="74"/>
  <c r="N59" i="9"/>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<sst xmlns="http://schemas.openxmlformats.org/spreadsheetml/2006/main" count="9214" uniqueCount="3651">
  <si>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</si>
  <si>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</si>
  <si>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</si>
  <si>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</si>
  <si>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</si>
  <si>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</si>
  <si>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</si>
  <si>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</si>
  <si>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</si>
  <si>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</si>
  <si>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</si>
  <si>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</si>
  <si>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</si>
  <si>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</si>
  <si>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</si>
  <si>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</si>
  <si>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</si>
  <si>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</si>
  <si>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</si>
  <si>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</si>
  <si>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</si>
  <si>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</si>
  <si>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</si>
  <si>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</si>
  <si>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</si>
  <si>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</si>
  <si>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</si>
  <si>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</si>
  <si>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</si>
  <si>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</si>
  <si>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</si>
  <si>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</si>
  <si>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</si>
  <si>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</si>
  <si>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</si>
  <si>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</si>
  <si>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</si>
  <si>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</si>
  <si>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</si>
  <si>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</si>
  <si>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</si>
  <si>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</si>
  <si>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</si>
  <si>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</si>
  <si>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</si>
  <si>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</si>
  <si>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</si>
  <si>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</si>
  <si>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</si>
  <si>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</si>
  <si>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</si>
  <si>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</si>
  <si>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</si>
  <si>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</si>
  <si>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</si>
  <si>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</si>
  <si>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</si>
  <si>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</si>
  <si>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</si>
  <si>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</si>
  <si>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</si>
  <si>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</si>
  <si>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</si>
  <si>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</si>
  <si>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</si>
  <si>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</si>
  <si>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</si>
  <si>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</si>
  <si>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</si>
  <si>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</si>
  <si>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</si>
  <si>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</si>
  <si>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</si>
  <si>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</si>
  <si>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</si>
  <si>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</si>
  <si>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</si>
  <si>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</si>
  <si>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</si>
  <si>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</si>
  <si>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</si>
  <si>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</si>
  <si>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</si>
  <si>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</si>
  <si>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</si>
  <si>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</si>
  <si>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</si>
  <si>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</si>
  <si>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</si>
  <si>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</si>
  <si>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</si>
  <si>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</si>
  <si>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</si>
  <si>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</si>
  <si>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</si>
  <si>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</si>
  <si>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</si>
  <si>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</si>
  <si>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</si>
  <si>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</si>
  <si>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</si>
  <si>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</si>
  <si>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</si>
  <si>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</si>
  <si>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</si>
  <si>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</si>
  <si>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</si>
  <si>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</si>
  <si>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</si>
  <si>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</si>
  <si>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</si>
  <si>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</si>
  <si>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</si>
  <si>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</si>
  <si>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</si>
  <si>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</si>
  <si>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</si>
  <si>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</si>
  <si>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</si>
  <si>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</si>
  <si>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</si>
  <si>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</si>
  <si>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</si>
  <si>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</si>
  <si>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</si>
  <si>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</si>
  <si>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</si>
  <si>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</si>
  <si>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</si>
  <si>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</si>
  <si>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</si>
  <si>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</si>
  <si>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</si>
  <si>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</si>
  <si>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</si>
  <si>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</si>
  <si>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</si>
  <si>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</si>
  <si>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</si>
  <si>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</si>
  <si>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</si>
  <si>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</si>
  <si>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</si>
  <si>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</si>
  <si>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</si>
  <si>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</si>
  <si>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</si>
  <si>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</si>
  <si>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</si>
  <si>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</si>
  <si>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</si>
  <si>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</si>
  <si>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</si>
  <si>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</si>
  <si>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</si>
  <si>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</si>
  <si>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</si>
  <si>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</si>
  <si>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</si>
  <si>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</si>
  <si>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</si>
  <si>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</si>
  <si>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</si>
  <si>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</si>
  <si>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</si>
  <si>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</si>
  <si>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</si>
  <si>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</si>
  <si>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</si>
  <si>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</si>
  <si>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</si>
  <si>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</si>
  <si>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</si>
  <si>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</si>
  <si>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</si>
  <si>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</si>
  <si>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</si>
  <si>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</si>
  <si>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</si>
  <si>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</si>
  <si>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</si>
  <si>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</si>
  <si>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</si>
  <si>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</si>
  <si>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</si>
  <si>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</si>
  <si>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</si>
  <si>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</si>
  <si>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</si>
  <si>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</si>
  <si>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</si>
  <si>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</si>
  <si>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</si>
  <si>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</si>
  <si>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</si>
  <si>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</si>
  <si>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</si>
  <si>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</si>
  <si>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</si>
  <si>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</si>
  <si>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</si>
  <si>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</si>
  <si>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</si>
  <si>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</si>
  <si>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</si>
  <si>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</si>
  <si>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</si>
  <si>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</si>
  <si>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</si>
  <si>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</si>
  <si>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</si>
  <si>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</si>
  <si>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</si>
  <si>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</si>
  <si>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</si>
  <si>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</si>
  <si>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</si>
  <si>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</si>
  <si>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</si>
  <si>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</si>
  <si>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</si>
  <si>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</si>
  <si>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</si>
  <si>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</si>
  <si>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</si>
  <si>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</si>
  <si>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</si>
  <si>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</si>
  <si>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</si>
  <si>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</si>
  <si>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</si>
  <si>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</si>
  <si>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</si>
  <si>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</si>
  <si>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</si>
  <si>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</si>
  <si>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</si>
  <si>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</si>
  <si>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</si>
  <si>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</si>
  <si>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</si>
  <si>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</si>
  <si>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</si>
  <si>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</si>
  <si>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</si>
  <si>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</si>
  <si>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</si>
  <si>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</si>
  <si>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</si>
  <si>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</si>
  <si>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</si>
  <si>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</si>
  <si>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</si>
  <si>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</si>
  <si>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</si>
  <si>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</si>
  <si>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</si>
  <si>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</si>
  <si>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</si>
  <si>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</si>
  <si>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</si>
  <si>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</si>
  <si>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</si>
  <si>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</si>
  <si>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</si>
  <si>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</si>
  <si>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</si>
  <si>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</si>
  <si>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</si>
  <si>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</si>
  <si>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</si>
  <si>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</si>
  <si>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</si>
  <si>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</si>
  <si>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</si>
  <si>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</si>
  <si>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</si>
  <si>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</si>
  <si>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</si>
  <si>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</si>
  <si>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</si>
  <si>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</si>
  <si>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</si>
  <si>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</si>
  <si>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</si>
  <si>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</si>
  <si>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</si>
  <si>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</si>
  <si>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</si>
  <si>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</si>
  <si>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</si>
  <si>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</si>
  <si>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</si>
  <si>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</si>
  <si>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</si>
  <si>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</si>
  <si>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</si>
  <si>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</si>
  <si>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</si>
  <si>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</si>
  <si>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</si>
  <si>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</si>
  <si>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</si>
  <si>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</si>
  <si>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</si>
  <si>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</si>
  <si>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</si>
  <si>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</si>
  <si>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</si>
  <si>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</si>
  <si>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</si>
  <si>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</si>
  <si>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</si>
  <si>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</si>
  <si>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</si>
  <si>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</si>
  <si>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</si>
  <si>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</si>
  <si>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</si>
  <si>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</si>
  <si>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</si>
  <si>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</si>
  <si>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</si>
  <si>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</si>
  <si>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</si>
  <si>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</si>
  <si>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</si>
  <si>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</si>
  <si>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</si>
  <si>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</si>
  <si>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</si>
  <si>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</si>
  <si>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</si>
  <si>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</si>
  <si>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</si>
  <si>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</si>
  <si>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</si>
  <si>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</si>
  <si>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</si>
  <si>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</si>
  <si>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</si>
  <si>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</si>
  <si>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</si>
  <si>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</si>
  <si>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</si>
  <si>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</si>
  <si>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</si>
  <si>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</si>
  <si>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</si>
  <si>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</si>
  <si>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</si>
  <si>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</si>
  <si>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</si>
  <si>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</si>
  <si>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</si>
  <si>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</si>
  <si>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</si>
  <si>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</si>
  <si>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</si>
  <si>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</si>
  <si>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</si>
  <si>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</si>
  <si>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</si>
  <si>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</si>
  <si>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</si>
  <si>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</si>
  <si>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</si>
  <si>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</si>
  <si>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</si>
  <si>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</si>
  <si>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</si>
  <si>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</si>
  <si>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</si>
  <si>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</si>
  <si>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</si>
  <si>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</si>
  <si>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</si>
  <si>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</si>
  <si>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</si>
  <si>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</si>
  <si>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</si>
  <si>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</si>
  <si>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</si>
  <si>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</si>
  <si>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</si>
  <si>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</si>
  <si>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</si>
  <si>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</si>
  <si>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</si>
  <si>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</si>
  <si>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</si>
  <si>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</si>
  <si>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</si>
  <si>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</si>
  <si>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</si>
  <si>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</si>
  <si>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</si>
  <si>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</si>
  <si>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</si>
  <si>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</si>
  <si>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</si>
  <si>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</si>
  <si>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</si>
  <si>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</si>
  <si>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</si>
  <si>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</si>
  <si>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</si>
  <si>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</si>
  <si>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</si>
  <si>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</si>
  <si>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</si>
  <si>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</si>
  <si>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</si>
  <si>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</si>
  <si>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</si>
  <si>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</si>
  <si>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</si>
  <si>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</si>
  <si>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</si>
  <si>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</si>
  <si>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</si>
  <si>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</si>
  <si>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</si>
  <si>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</si>
  <si>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</si>
  <si>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</si>
  <si>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</si>
  <si>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</si>
  <si>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</si>
  <si>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</si>
  <si>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</si>
  <si>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</si>
  <si>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</si>
  <si>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</si>
  <si>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</si>
  <si>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</si>
  <si>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</si>
  <si>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</si>
  <si>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</si>
  <si>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</si>
  <si>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</si>
  <si>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</si>
  <si>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</si>
  <si>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</si>
  <si>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</si>
  <si>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</si>
  <si>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</si>
  <si>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</si>
  <si>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</si>
  <si>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</si>
  <si>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</si>
  <si>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</si>
  <si>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</si>
  <si>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</si>
  <si>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</si>
  <si>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</si>
  <si>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</si>
  <si>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</si>
  <si>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</si>
  <si>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</si>
  <si>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</si>
  <si>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</si>
  <si>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</si>
  <si>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</si>
  <si>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</si>
  <si>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</si>
  <si>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</si>
  <si>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</si>
  <si>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</si>
  <si>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</si>
  <si>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</si>
  <si>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</si>
  <si>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</si>
  <si>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</si>
  <si>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</si>
  <si>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</si>
  <si>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</si>
  <si>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</si>
  <si>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</si>
  <si>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</si>
  <si>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</si>
  <si>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</si>
  <si>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</si>
  <si>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</si>
  <si>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</si>
  <si>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</si>
  <si>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</si>
  <si>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</si>
  <si>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</si>
  <si>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</si>
  <si>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</si>
  <si>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</si>
  <si>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</si>
  <si>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</si>
  <si>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</si>
  <si>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</si>
  <si>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</si>
  <si>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</si>
  <si>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</si>
  <si>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</si>
  <si>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</si>
  <si>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</si>
  <si>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</si>
  <si>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</si>
  <si>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</si>
  <si>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</si>
  <si>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</si>
  <si>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</si>
  <si>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</si>
  <si>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</si>
  <si>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</si>
  <si>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</si>
  <si>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</si>
  <si>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</si>
  <si>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</si>
  <si>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</si>
  <si>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</si>
  <si>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</si>
  <si>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</si>
  <si>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</si>
  <si>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</si>
  <si>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</si>
  <si>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</si>
  <si>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</si>
  <si>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</si>
  <si>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</si>
  <si>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</si>
  <si>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</si>
  <si>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</si>
  <si>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</si>
  <si>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</si>
  <si>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</si>
  <si>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</si>
  <si>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</si>
  <si>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</si>
  <si>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</si>
  <si>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</si>
  <si>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</si>
  <si>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</si>
  <si>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</si>
  <si>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</si>
  <si>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</si>
  <si>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</si>
  <si>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</si>
  <si>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</si>
  <si>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</si>
  <si>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</si>
  <si>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</si>
  <si>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</si>
  <si>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</si>
  <si>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</si>
  <si>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</si>
  <si>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</si>
  <si>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</si>
  <si>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</si>
  <si>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</si>
  <si>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</si>
  <si>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</si>
  <si>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</si>
  <si>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</si>
  <si>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</si>
  <si>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</si>
  <si>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</si>
  <si>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</si>
  <si>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</si>
  <si>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</si>
  <si>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</si>
  <si>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</si>
  <si>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</si>
  <si>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</si>
  <si>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</si>
  <si>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</si>
  <si>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</si>
  <si>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</si>
  <si>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</si>
  <si>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</si>
  <si>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</si>
  <si>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</si>
  <si>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</si>
  <si>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</si>
  <si>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</si>
  <si>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</si>
  <si>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</si>
  <si>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</si>
  <si>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</si>
  <si>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</si>
  <si>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</si>
  <si>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</si>
  <si>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</si>
  <si>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</si>
  <si>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</si>
  <si>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</si>
  <si>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</si>
  <si>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</si>
  <si>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</si>
  <si>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</si>
  <si>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</si>
  <si>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</si>
  <si>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</si>
  <si>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</si>
  <si>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</si>
  <si>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</si>
  <si>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</si>
  <si>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</si>
  <si>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</si>
  <si>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</si>
  <si>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</si>
  <si>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</si>
  <si>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</si>
  <si>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</si>
  <si>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</si>
  <si>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</si>
  <si>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</si>
  <si>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</si>
  <si>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</si>
  <si>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</si>
  <si>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</si>
  <si>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</si>
  <si>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</si>
  <si>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</si>
  <si>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</si>
  <si>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</si>
  <si>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</si>
  <si>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</si>
  <si>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</si>
  <si>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</si>
  <si>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</si>
  <si>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</si>
  <si>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</si>
  <si>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</si>
  <si>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</si>
  <si>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</si>
  <si>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</si>
  <si>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</si>
  <si>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</si>
  <si>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</si>
  <si>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</si>
  <si>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</si>
  <si>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</si>
  <si>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</si>
  <si>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</si>
  <si>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</si>
  <si>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</si>
  <si>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</si>
  <si>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</si>
  <si>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</si>
  <si>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</si>
  <si>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</si>
  <si>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</si>
  <si>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</si>
  <si>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</si>
  <si>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</si>
  <si>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</si>
  <si>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</si>
  <si>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</si>
  <si>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</si>
  <si>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</si>
  <si>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</si>
  <si>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</si>
  <si>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</si>
  <si>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</si>
  <si>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</si>
  <si>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</si>
  <si>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</si>
  <si>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</si>
  <si>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</si>
  <si>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</si>
  <si>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</si>
  <si>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</si>
  <si>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</si>
  <si>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</si>
  <si>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</si>
  <si>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</si>
  <si>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</si>
  <si>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</si>
  <si>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</si>
  <si>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</si>
  <si>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</si>
  <si>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</si>
  <si>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</si>
  <si>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</si>
  <si>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</si>
  <si>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</si>
  <si>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</si>
  <si>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</si>
  <si>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</si>
  <si>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</si>
  <si>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</si>
  <si>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</si>
  <si>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</si>
  <si>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</si>
  <si>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</si>
  <si>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</si>
  <si>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</si>
  <si>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</si>
  <si>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</si>
  <si>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</si>
  <si>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</si>
  <si>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</si>
  <si>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</si>
  <si>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</si>
  <si>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</si>
  <si>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</si>
  <si>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</si>
  <si>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</si>
  <si>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</si>
  <si>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</si>
  <si>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</si>
  <si>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</si>
  <si>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</si>
  <si>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</si>
  <si>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</si>
  <si>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</si>
  <si>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</si>
  <si>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</si>
  <si>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</si>
  <si>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</si>
  <si>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</si>
  <si>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</si>
  <si>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</si>
  <si>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</si>
  <si>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</si>
  <si>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</si>
  <si>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</si>
  <si>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</si>
  <si>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</si>
  <si>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</si>
  <si>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</si>
  <si>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</si>
  <si>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</si>
  <si>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</si>
  <si>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</si>
  <si>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</si>
  <si>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</si>
  <si>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</si>
  <si>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</si>
  <si>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</si>
  <si>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</si>
  <si>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</si>
  <si>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</si>
  <si>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</si>
  <si>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</si>
  <si>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</si>
  <si>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</si>
  <si>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</si>
  <si>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</si>
  <si>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</si>
  <si>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</si>
  <si>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</si>
  <si>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</si>
  <si>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</si>
  <si>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</si>
  <si>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</si>
  <si>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</si>
  <si>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</si>
  <si>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</si>
  <si>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</si>
  <si>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</si>
  <si>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</si>
  <si>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</si>
  <si>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</si>
  <si>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</si>
  <si>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</si>
  <si>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</si>
  <si>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</si>
  <si>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</si>
  <si>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</si>
  <si>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</si>
  <si>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</si>
  <si>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</si>
  <si>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</si>
  <si>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</si>
  <si>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</si>
  <si>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</si>
  <si>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</si>
  <si>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</si>
  <si>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</si>
  <si>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</si>
  <si>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</si>
  <si>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</si>
  <si>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</si>
  <si>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</si>
  <si>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</si>
  <si>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</si>
  <si>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</si>
  <si>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</si>
  <si>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</si>
  <si>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</si>
  <si>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</si>
  <si>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</si>
  <si>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</si>
  <si>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</si>
  <si>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</si>
  <si>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</si>
  <si>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</si>
  <si>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</si>
  <si>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</si>
  <si>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</si>
  <si>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</si>
  <si>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</si>
  <si>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</si>
  <si>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</si>
  <si>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</si>
  <si>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</si>
  <si>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</si>
  <si>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</si>
  <si>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</si>
  <si>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</si>
  <si>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</si>
  <si>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</si>
  <si>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</si>
  <si>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</si>
  <si>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</si>
  <si>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</si>
  <si>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</si>
  <si>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</si>
  <si>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</si>
  <si>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</si>
  <si>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</si>
  <si>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</si>
  <si>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</si>
  <si>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</si>
  <si>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</si>
  <si>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</si>
  <si>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</si>
  <si>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</si>
  <si>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</si>
  <si>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</si>
  <si>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</si>
  <si>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</si>
  <si>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</si>
  <si>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</si>
  <si>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</si>
  <si>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</si>
  <si>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</si>
  <si>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</si>
  <si>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</si>
  <si>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</si>
  <si>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</si>
  <si>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</si>
  <si>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</si>
  <si>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</si>
  <si>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</si>
  <si>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</si>
  <si>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</si>
  <si>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</si>
  <si>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</si>
  <si>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</si>
  <si>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</si>
  <si>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</si>
  <si>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</si>
  <si>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</si>
  <si>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</si>
  <si>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</si>
  <si>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</si>
  <si>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</si>
  <si>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</si>
  <si>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</si>
  <si>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</si>
  <si>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</si>
  <si>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</si>
  <si>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</si>
  <si>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</si>
  <si>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</si>
  <si>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</si>
  <si>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</si>
  <si>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</si>
  <si>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</si>
  <si>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</si>
  <si>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</si>
  <si>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</si>
  <si>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</si>
  <si>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</si>
  <si>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</si>
  <si>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</si>
  <si>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</si>
  <si>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</si>
  <si>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</si>
  <si>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</si>
  <si>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</si>
  <si>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</si>
  <si>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</si>
  <si>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</si>
  <si>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</si>
  <si>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</si>
  <si>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</si>
  <si>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</si>
  <si>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</si>
  <si>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</si>
  <si>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</si>
  <si>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</si>
  <si>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</si>
  <si>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</si>
  <si>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</si>
  <si>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</si>
  <si>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</si>
  <si>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</si>
  <si>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</si>
  <si>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</si>
  <si>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</si>
  <si>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</si>
  <si>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</si>
  <si>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</si>
  <si>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</si>
  <si>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</si>
  <si>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</si>
  <si>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</si>
  <si>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</si>
  <si>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</si>
  <si>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</si>
  <si>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</si>
  <si>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</si>
  <si>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</si>
  <si>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</si>
  <si>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</si>
  <si>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</si>
  <si>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</si>
  <si>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</si>
  <si>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</si>
  <si>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</si>
  <si>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</si>
  <si>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</si>
  <si>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</si>
  <si>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</si>
  <si>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</si>
  <si>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</si>
  <si>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</si>
  <si>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</si>
  <si>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</si>
  <si>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</si>
  <si>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</si>
  <si>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</si>
  <si>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</si>
  <si>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</si>
  <si>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</si>
  <si>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</si>
  <si>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</si>
  <si>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</si>
  <si>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</si>
  <si>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</si>
  <si>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</si>
  <si>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</si>
  <si>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</si>
  <si>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</si>
  <si>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</si>
  <si>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</si>
  <si>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</si>
  <si>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</si>
  <si>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</si>
  <si>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</si>
  <si>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</si>
  <si>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</si>
  <si>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</si>
  <si>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</si>
  <si>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</si>
  <si>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</si>
  <si>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</si>
  <si>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</si>
  <si>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</si>
  <si>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</si>
  <si>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</si>
  <si>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</si>
  <si>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</si>
  <si>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</si>
  <si>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</si>
  <si>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</si>
  <si>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</si>
  <si>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</si>
  <si>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</si>
  <si>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</si>
  <si>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</si>
  <si>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</si>
  <si>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</si>
  <si>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</si>
  <si>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</si>
  <si>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</si>
  <si>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</si>
  <si>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</si>
  <si>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</si>
  <si>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</si>
  <si>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</si>
  <si>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</si>
  <si>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</si>
  <si>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</si>
  <si>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</si>
  <si>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</si>
  <si>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</si>
  <si>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</si>
  <si>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</si>
  <si>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</si>
  <si>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</si>
  <si>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</si>
  <si>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</si>
  <si>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</si>
  <si>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</si>
  <si>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</si>
  <si>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</si>
  <si>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</si>
  <si>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</si>
  <si>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</si>
  <si>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</si>
  <si>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</si>
  <si>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</si>
  <si>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</si>
  <si>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</si>
  <si>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</si>
  <si>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</si>
  <si>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</si>
  <si>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</si>
  <si>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</si>
  <si>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</si>
  <si>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</si>
  <si>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</si>
  <si>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</si>
  <si>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</si>
  <si>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</si>
  <si>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</si>
  <si>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</si>
  <si>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</si>
  <si>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</si>
  <si>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</si>
  <si>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</si>
  <si>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</si>
  <si>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</si>
  <si>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</si>
  <si>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</si>
  <si>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</si>
  <si>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</si>
  <si>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</si>
  <si>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</si>
  <si>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</si>
  <si>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</si>
  <si>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</si>
  <si>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</si>
  <si>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</si>
  <si>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</si>
  <si>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</si>
  <si>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</si>
  <si>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</si>
  <si>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</si>
  <si>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</si>
  <si>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</si>
  <si>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</si>
  <si>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</si>
  <si>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</si>
  <si>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</si>
  <si>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</si>
  <si>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</si>
  <si>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</si>
  <si>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</si>
  <si>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</si>
  <si>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</si>
  <si>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</si>
  <si>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</si>
  <si>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</si>
  <si>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</si>
  <si>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</si>
  <si>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</si>
  <si>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</si>
  <si>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</si>
  <si>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</si>
  <si>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</si>
  <si>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</si>
  <si>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</si>
  <si>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</si>
  <si>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</si>
  <si>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</si>
  <si>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</si>
  <si>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</si>
  <si>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</si>
  <si>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</si>
  <si>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</si>
  <si>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</si>
  <si>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</si>
  <si>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</si>
  <si>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</si>
  <si>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</si>
  <si>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</si>
  <si>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</si>
  <si>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</si>
  <si>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</si>
  <si>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</si>
  <si>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</si>
  <si>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</si>
  <si>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</si>
  <si>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</si>
  <si>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</si>
  <si>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</si>
  <si>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</si>
  <si>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</si>
  <si>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</si>
  <si>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</si>
  <si>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</si>
  <si>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</si>
  <si>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</si>
  <si>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</si>
  <si>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</si>
  <si>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</si>
  <si>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</si>
  <si>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</si>
  <si>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</si>
  <si>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</si>
  <si>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</si>
  <si>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</si>
  <si>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</si>
  <si>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</si>
  <si>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</si>
  <si>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</si>
  <si>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</si>
  <si>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</si>
  <si>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</si>
  <si>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</si>
  <si>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</si>
  <si>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</si>
  <si>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</si>
  <si>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</si>
  <si>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</si>
  <si>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</si>
  <si>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</si>
  <si>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</si>
  <si>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</si>
  <si>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</si>
  <si>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</si>
  <si>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</si>
  <si>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</si>
  <si>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</si>
  <si>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</si>
  <si>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</si>
  <si>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</si>
  <si>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</si>
  <si>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</si>
  <si>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</si>
  <si>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</si>
  <si>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</si>
  <si>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</si>
  <si>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</si>
  <si>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</si>
  <si>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</si>
  <si>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</si>
  <si>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</si>
  <si>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</si>
  <si>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</si>
  <si>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</si>
  <si>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</si>
  <si>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</si>
  <si>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</si>
  <si>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</si>
  <si>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</si>
  <si>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</si>
  <si>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</si>
  <si>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</si>
  <si>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</si>
  <si>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</si>
  <si>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</si>
  <si>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</si>
  <si>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</si>
  <si>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</si>
  <si>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</si>
  <si>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</si>
  <si>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</si>
  <si>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</si>
  <si>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</si>
  <si>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</si>
  <si>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</si>
  <si>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</si>
  <si>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</si>
  <si>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</si>
  <si>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</si>
  <si>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</si>
  <si>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</si>
  <si>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</si>
  <si>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</si>
  <si>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</si>
  <si>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</si>
  <si>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</si>
  <si>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</si>
  <si>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</si>
  <si>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</si>
  <si>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</si>
  <si>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</si>
  <si>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</si>
  <si>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</si>
  <si>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</si>
  <si>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</si>
  <si>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</si>
  <si>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</si>
  <si>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</si>
  <si>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</si>
  <si>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</si>
  <si>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</si>
  <si>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</si>
  <si>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</si>
  <si>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</si>
  <si>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</si>
  <si>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</si>
  <si>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</si>
  <si>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</si>
  <si>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</si>
  <si>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</si>
  <si>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</si>
  <si>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</si>
  <si>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</si>
  <si>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</si>
  <si>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</si>
  <si>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</si>
  <si>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</si>
  <si>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</si>
  <si>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</si>
  <si>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</si>
  <si>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</si>
  <si>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</si>
  <si>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</si>
  <si>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</si>
  <si>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</si>
  <si>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</si>
  <si>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</si>
  <si>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</si>
  <si>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</si>
  <si>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</si>
  <si>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</si>
  <si>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</si>
  <si>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</si>
  <si>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</si>
  <si>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</si>
  <si>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</si>
  <si>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</si>
  <si>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</si>
  <si>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</si>
  <si>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</si>
  <si>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</si>
  <si>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</si>
  <si>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</si>
  <si>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</si>
  <si>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</si>
  <si>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</si>
  <si>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</si>
  <si>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</si>
  <si>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</si>
  <si>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</si>
  <si>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</si>
  <si>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</si>
  <si>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</si>
  <si>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</si>
  <si>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</si>
  <si>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</si>
  <si>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</si>
  <si>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</si>
  <si>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</si>
  <si>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</si>
  <si>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</si>
  <si>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</si>
  <si>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</si>
  <si>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</si>
  <si>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</si>
  <si>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</si>
  <si>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</si>
  <si>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</si>
  <si>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</si>
  <si>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</si>
  <si>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</si>
  <si>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</si>
  <si>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</si>
  <si>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</si>
  <si>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</si>
  <si>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</si>
  <si>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</si>
  <si>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</si>
  <si>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</si>
  <si>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</si>
  <si>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</si>
  <si>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</si>
  <si>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</si>
  <si>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</si>
  <si>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</si>
  <si>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</si>
  <si>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</si>
  <si>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</si>
  <si>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</si>
  <si>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</si>
  <si>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</si>
  <si>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</si>
  <si>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</si>
  <si>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</si>
  <si>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</si>
  <si>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</si>
  <si>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</si>
  <si>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</si>
  <si>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</si>
  <si>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</si>
  <si>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</si>
  <si>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</si>
  <si>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</si>
  <si>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</si>
  <si>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</si>
  <si>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</si>
  <si>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</si>
  <si>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</si>
  <si>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</si>
  <si>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</si>
  <si>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</si>
  <si>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</si>
  <si>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</si>
  <si>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</si>
  <si>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</si>
  <si>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</si>
  <si>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</si>
  <si>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</si>
  <si>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</si>
  <si>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</si>
  <si>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</si>
  <si>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</si>
  <si>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</si>
  <si>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</si>
  <si>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</si>
  <si>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</si>
  <si>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</si>
  <si>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</si>
  <si>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</si>
  <si>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</si>
  <si>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</si>
  <si>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</si>
  <si>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</si>
  <si>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</si>
  <si>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</si>
  <si>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</si>
  <si>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</si>
  <si>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</si>
  <si>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</si>
  <si>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</si>
  <si>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</si>
  <si>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</si>
  <si>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</si>
  <si>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</si>
  <si>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</si>
  <si>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</si>
  <si>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</si>
  <si>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</si>
  <si>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</si>
  <si>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</si>
  <si>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</si>
  <si>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</si>
  <si>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</si>
  <si>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</si>
  <si>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</si>
  <si>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</si>
  <si>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</si>
  <si>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</si>
  <si>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</si>
  <si>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</si>
  <si>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</si>
  <si>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</si>
  <si>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</si>
  <si>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</si>
  <si>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</si>
  <si>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</si>
  <si>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</si>
  <si>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</si>
  <si>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</si>
  <si>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</si>
  <si>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</si>
  <si>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</si>
  <si>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</si>
  <si>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</si>
  <si>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</si>
  <si>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</si>
  <si>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</si>
  <si>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</si>
  <si>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</si>
  <si>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</si>
  <si>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</si>
  <si>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</si>
  <si>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</si>
  <si>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</si>
  <si>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</si>
  <si>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</si>
  <si>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</si>
  <si>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</si>
  <si>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</si>
  <si>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</si>
  <si>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</si>
  <si>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</si>
  <si>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</si>
  <si>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</si>
  <si>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</si>
  <si>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</si>
  <si>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</si>
  <si>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</si>
  <si>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</si>
  <si>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</si>
  <si>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</si>
  <si>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</si>
  <si>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</si>
  <si>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</si>
  <si>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</si>
  <si>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</si>
  <si>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</si>
  <si>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</si>
  <si>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</si>
  <si>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</si>
  <si>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</si>
  <si>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</si>
  <si>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</si>
  <si>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</si>
  <si>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</si>
  <si>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</si>
  <si>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</si>
  <si>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</si>
  <si>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</si>
  <si>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</si>
  <si>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</si>
  <si>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</si>
  <si>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</si>
  <si>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</si>
  <si>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</si>
  <si>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</si>
  <si>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</si>
  <si>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</si>
  <si>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</si>
  <si>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</si>
  <si>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</si>
  <si>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</si>
  <si>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</si>
  <si>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</si>
  <si>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</si>
  <si>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</si>
  <si>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</si>
  <si>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</si>
  <si>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</si>
  <si>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</si>
  <si>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</si>
  <si>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</si>
  <si>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</si>
  <si>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</si>
  <si>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</si>
  <si>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</si>
  <si>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</si>
  <si>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</si>
  <si>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</si>
  <si>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</si>
  <si>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</si>
  <si>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</si>
  <si>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</si>
  <si>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</si>
  <si>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</si>
  <si>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</si>
  <si>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</si>
  <si>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</si>
  <si>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</si>
  <si>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</si>
  <si>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</si>
  <si>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</si>
  <si>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</si>
  <si>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</si>
  <si>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</si>
  <si>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</si>
  <si>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</si>
  <si>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</si>
  <si>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</si>
  <si>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</si>
  <si>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</si>
  <si>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</si>
  <si>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</si>
  <si>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</si>
  <si>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</si>
  <si>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</si>
  <si>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</si>
  <si>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</si>
  <si>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</si>
  <si>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</si>
  <si>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</si>
  <si>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</si>
  <si>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</si>
  <si>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</si>
  <si>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</si>
  <si>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</si>
  <si>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</si>
  <si>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</si>
  <si>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</si>
  <si>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</si>
  <si>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</si>
  <si>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</si>
  <si>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</si>
  <si>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</si>
  <si>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</si>
  <si>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</si>
  <si>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</si>
  <si>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</si>
  <si>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</si>
  <si>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</si>
  <si>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</si>
  <si>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</si>
  <si>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</si>
  <si>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</si>
  <si>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</si>
  <si>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</si>
  <si>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</si>
  <si>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</si>
  <si>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</si>
  <si>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</si>
  <si>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</si>
  <si>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</si>
  <si>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</si>
  <si>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</si>
  <si>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</si>
  <si>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</si>
  <si>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</si>
  <si>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</si>
  <si>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</si>
  <si>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</si>
  <si>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</si>
  <si>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</si>
  <si>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</si>
  <si>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</si>
  <si>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</si>
  <si>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</si>
  <si>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</si>
  <si>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</si>
  <si>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</si>
  <si>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</si>
  <si>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</si>
  <si>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</si>
  <si>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</si>
  <si>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</si>
  <si>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</si>
  <si>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</si>
  <si>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</si>
  <si>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</si>
  <si>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</si>
  <si>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</si>
  <si>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</si>
  <si>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</si>
  <si>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</si>
  <si>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</si>
  <si>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</si>
  <si>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</si>
  <si>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</si>
  <si>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</si>
  <si>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</si>
  <si>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</si>
  <si>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</si>
  <si>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</si>
  <si>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</si>
  <si>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</si>
  <si>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</si>
  <si>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</si>
  <si>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</si>
  <si>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</si>
  <si>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</si>
  <si>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</si>
  <si>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</si>
  <si>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</si>
  <si>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</si>
  <si>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</si>
  <si>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</si>
  <si>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</si>
  <si>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</si>
  <si>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</si>
  <si>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</si>
  <si>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</si>
  <si>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</si>
  <si>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</si>
  <si>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</si>
  <si>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</si>
  <si>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</si>
  <si>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</si>
  <si>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</si>
  <si>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</si>
  <si>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</si>
  <si>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</si>
  <si>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</si>
  <si>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</si>
  <si>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</si>
  <si>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</si>
  <si>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</si>
  <si>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</si>
  <si>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</si>
  <si>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</si>
  <si>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</si>
  <si>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</si>
  <si>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</si>
  <si>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</si>
  <si>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</si>
  <si>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</si>
  <si>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</si>
  <si>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</si>
  <si>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</si>
  <si>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</si>
  <si>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</si>
  <si>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</si>
  <si>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</si>
  <si>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</si>
  <si>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</si>
  <si>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</si>
  <si>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</si>
  <si>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</si>
  <si>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</si>
  <si>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</si>
  <si>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</si>
  <si>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</si>
  <si>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</si>
  <si>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</si>
  <si>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</si>
  <si>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</si>
  <si>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</si>
  <si>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</si>
  <si>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</si>
  <si>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</si>
  <si>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</si>
  <si>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</si>
  <si>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</si>
  <si>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</si>
  <si>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</si>
  <si>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</si>
  <si>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</si>
  <si>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</si>
  <si>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</si>
  <si>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</si>
  <si>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</si>
  <si>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</si>
  <si>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</si>
  <si>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</si>
  <si>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</si>
  <si>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</si>
  <si>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</si>
  <si>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</si>
  <si>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</si>
  <si>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</si>
  <si>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</si>
  <si>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</si>
  <si>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</si>
  <si>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</si>
  <si>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</si>
  <si>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</si>
  <si>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</si>
  <si>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</si>
  <si>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</si>
  <si>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</si>
  <si>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</si>
  <si>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</si>
  <si>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</si>
  <si>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</si>
  <si>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</si>
  <si>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</si>
  <si>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</si>
  <si>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</si>
  <si>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</si>
  <si>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</si>
  <si>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</si>
  <si>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</si>
  <si>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</si>
  <si>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</si>
  <si>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</si>
  <si>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</si>
  <si>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</si>
  <si>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</si>
  <si>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</si>
  <si>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</si>
  <si>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</si>
  <si>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</si>
  <si>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</si>
  <si>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</si>
  <si>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</si>
  <si>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</si>
  <si>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</si>
  <si>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</si>
  <si>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</si>
  <si>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</si>
  <si>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</si>
  <si>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</si>
  <si>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</si>
  <si>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</si>
  <si>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</si>
  <si>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</si>
  <si>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</si>
  <si>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</si>
  <si>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</si>
  <si>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</si>
  <si>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</si>
  <si>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</si>
  <si>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</si>
  <si>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</si>
  <si>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</si>
  <si>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</si>
  <si>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</si>
  <si>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</si>
  <si>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</si>
  <si>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</si>
  <si>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</si>
  <si>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</si>
  <si>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</si>
  <si>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</si>
  <si>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</si>
  <si>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</si>
  <si>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</si>
  <si>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</si>
  <si>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</si>
  <si>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</si>
  <si>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</si>
  <si>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</si>
  <si>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</si>
  <si>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</si>
  <si>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</si>
  <si>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</si>
  <si>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</si>
  <si>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</si>
  <si>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</si>
  <si>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</si>
  <si>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</si>
  <si>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</si>
  <si>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</si>
  <si>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</si>
  <si>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</si>
  <si>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</si>
  <si>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</si>
  <si>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</si>
  <si>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</si>
  <si>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</si>
  <si>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</si>
  <si>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</si>
  <si>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</si>
  <si>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</si>
  <si>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</si>
  <si>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</si>
  <si>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</si>
  <si>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</si>
  <si>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</si>
  <si>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</si>
  <si>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</si>
  <si>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</si>
  <si>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</si>
  <si>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</si>
  <si>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</si>
  <si>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</si>
  <si>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</si>
  <si>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</si>
  <si>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</si>
  <si>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</si>
  <si>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</si>
  <si>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</si>
  <si>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</si>
  <si>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</si>
  <si>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</si>
  <si>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</si>
  <si>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</si>
  <si>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</si>
  <si>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</si>
  <si>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</si>
  <si>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</si>
  <si>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</si>
  <si>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</si>
  <si>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</si>
  <si>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</si>
  <si>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</si>
  <si>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</si>
  <si>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</si>
  <si>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</si>
  <si>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</si>
  <si>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</si>
  <si>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</si>
  <si>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</si>
  <si>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</si>
  <si>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</si>
  <si>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</si>
  <si>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</si>
  <si>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</si>
  <si>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</si>
  <si>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</si>
  <si>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</si>
  <si>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</si>
  <si>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</si>
  <si>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</si>
  <si>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</si>
  <si>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</si>
  <si>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</si>
  <si>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</si>
  <si>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</si>
  <si>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</si>
  <si>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</si>
  <si>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</si>
  <si>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</si>
  <si>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</si>
  <si>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</si>
  <si>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</si>
  <si>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</si>
  <si>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</si>
  <si>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</si>
  <si>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</si>
  <si>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</si>
  <si>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</si>
  <si>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</si>
  <si>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</si>
  <si>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</si>
  <si>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</si>
  <si>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</si>
  <si>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</si>
  <si>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</si>
  <si>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</si>
  <si>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</si>
  <si>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</si>
  <si>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</si>
  <si>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</si>
  <si>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</si>
  <si>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</si>
  <si>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</si>
  <si>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</si>
  <si>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</si>
  <si>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</si>
  <si>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</si>
  <si>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</si>
  <si>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</si>
  <si>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</si>
  <si>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</si>
  <si>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</si>
  <si>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</si>
  <si>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</si>
  <si>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</si>
  <si>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</si>
  <si>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</si>
  <si>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</si>
  <si>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</si>
  <si>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</si>
  <si>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</si>
  <si>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</si>
  <si>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</si>
  <si>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</si>
  <si>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</si>
  <si>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</si>
  <si>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</si>
  <si>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</si>
  <si>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</si>
  <si>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</si>
  <si>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</si>
  <si>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</si>
  <si>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</si>
  <si>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</si>
  <si>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</si>
  <si>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</si>
  <si>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</si>
  <si>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</si>
  <si>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</si>
  <si>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</si>
  <si>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</si>
  <si>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</si>
  <si>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</si>
  <si>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</si>
  <si>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</si>
  <si>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</si>
  <si>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</si>
  <si>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</si>
  <si>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</si>
  <si>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</si>
  <si>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</si>
  <si>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</si>
  <si>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</si>
  <si>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</si>
  <si>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</si>
  <si>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</si>
  <si>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</si>
  <si>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</si>
  <si>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</si>
  <si>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</si>
  <si>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</si>
  <si>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</si>
  <si>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</si>
  <si>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</si>
  <si>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</si>
  <si>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</si>
  <si>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</si>
  <si>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</si>
  <si>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</si>
  <si>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</si>
  <si>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</si>
  <si>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</si>
  <si>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</si>
  <si>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</si>
  <si>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</si>
  <si>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</si>
  <si>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</si>
  <si>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</si>
  <si>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</si>
  <si>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</si>
  <si>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</si>
  <si>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</si>
  <si>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</si>
  <si>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</si>
  <si>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</si>
  <si>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</si>
  <si>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</si>
  <si>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</si>
  <si>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</si>
  <si>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</si>
  <si>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</si>
  <si>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</si>
  <si>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</si>
  <si>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</si>
  <si>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</si>
  <si>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</si>
  <si>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</si>
  <si>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</si>
  <si>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</si>
  <si>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</si>
  <si>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</si>
  <si>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</si>
  <si>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</si>
  <si>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</si>
  <si>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</si>
  <si>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</si>
  <si>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</si>
  <si>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</si>
  <si>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</si>
  <si>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</si>
  <si>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</si>
  <si>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</si>
  <si>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</si>
  <si>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</si>
  <si>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</si>
  <si>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</si>
  <si>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</si>
  <si>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</si>
  <si>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</si>
  <si>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</si>
  <si>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</si>
  <si>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</si>
  <si>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</si>
  <si>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</si>
  <si>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</si>
  <si>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</si>
  <si>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</si>
  <si>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</si>
  <si>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</si>
  <si>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</si>
  <si>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</si>
  <si>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</si>
  <si>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</si>
  <si>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</si>
  <si>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</si>
  <si>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</si>
  <si>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</si>
  <si>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</si>
  <si>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</si>
  <si>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</si>
  <si>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</si>
  <si>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</si>
  <si>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</si>
  <si>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</si>
  <si>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</si>
  <si>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</si>
  <si>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</si>
  <si>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</si>
  <si>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</si>
  <si>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</si>
  <si>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</si>
  <si>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</si>
  <si>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</si>
  <si>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</si>
  <si>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</si>
  <si>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</si>
  <si>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</si>
  <si>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</si>
  <si>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</si>
  <si>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</si>
  <si>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</si>
  <si>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</si>
  <si>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</si>
  <si>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</si>
  <si>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</si>
  <si>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</si>
  <si>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</si>
  <si>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</si>
  <si>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</si>
  <si>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</si>
  <si>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</si>
  <si>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</si>
  <si>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</si>
  <si>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</si>
  <si>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</si>
  <si>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</si>
  <si>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</si>
  <si>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</si>
  <si>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</si>
  <si>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</si>
  <si>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</si>
  <si>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</si>
  <si>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</si>
  <si>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</si>
  <si>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</si>
  <si>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</si>
  <si>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</si>
  <si>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</si>
  <si>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</si>
  <si>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</si>
  <si>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</si>
  <si>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</si>
  <si>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</si>
  <si>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</si>
  <si>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</si>
  <si>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</si>
  <si>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</si>
  <si>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</si>
  <si>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</si>
  <si>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</si>
  <si>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</si>
  <si>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</si>
  <si>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</si>
  <si>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</si>
  <si>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</si>
  <si>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</si>
  <si>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</si>
  <si>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</si>
  <si>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</si>
  <si>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</si>
  <si>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</si>
  <si>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</si>
  <si>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</si>
  <si>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</si>
  <si>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</si>
  <si>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</si>
  <si>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</si>
  <si>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</si>
  <si>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</si>
  <si>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</si>
  <si>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</si>
  <si>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</si>
  <si>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</si>
  <si>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</si>
  <si>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</si>
  <si>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</si>
  <si>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</si>
  <si>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</si>
  <si>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</si>
  <si>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</si>
  <si>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</si>
  <si>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</si>
  <si>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</si>
  <si>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</si>
  <si>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</si>
  <si>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</si>
  <si>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</si>
  <si>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</si>
  <si>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</si>
  <si>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</si>
  <si>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</si>
  <si>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</si>
  <si>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</si>
  <si>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</si>
  <si>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</si>
  <si>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</si>
  <si>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</si>
  <si>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</si>
  <si>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</si>
  <si>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</si>
  <si>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</si>
  <si>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</si>
  <si>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</si>
  <si>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</si>
  <si>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</si>
  <si>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</si>
  <si>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</si>
  <si>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</si>
  <si>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</si>
  <si>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</si>
  <si>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</si>
  <si>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</si>
  <si>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</si>
  <si>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</si>
  <si>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</si>
  <si>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</si>
  <si>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</si>
  <si>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</si>
  <si>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</si>
  <si>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</si>
  <si>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</si>
  <si>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</si>
  <si>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</si>
  <si>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</si>
  <si>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</si>
  <si>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</si>
  <si>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</si>
  <si>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</si>
  <si>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</si>
  <si>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</si>
  <si>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</si>
  <si>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</si>
  <si>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</si>
  <si>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</si>
  <si>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</si>
  <si>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</si>
  <si>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</si>
  <si>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</si>
  <si>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</si>
  <si>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</si>
  <si>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</si>
  <si>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</si>
  <si>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</si>
  <si>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</si>
  <si>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</si>
  <si>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</si>
  <si>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</si>
  <si>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</si>
  <si>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</si>
  <si>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</si>
  <si>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</si>
  <si>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</si>
  <si>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</si>
  <si>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</si>
  <si>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</si>
  <si>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</si>
  <si>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</si>
  <si>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</si>
  <si>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</si>
  <si>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</si>
  <si>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</si>
  <si>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</si>
  <si>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</si>
  <si>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</si>
  <si>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</si>
  <si>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</si>
  <si>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</si>
  <si>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</si>
  <si>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</si>
  <si>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</si>
  <si>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</si>
  <si>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</si>
  <si>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</si>
  <si>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</si>
  <si>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</si>
  <si>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</si>
  <si>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</si>
  <si>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</si>
  <si>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</si>
  <si>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</si>
  <si>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</si>
  <si>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</si>
  <si>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</si>
  <si>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</si>
  <si>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</si>
  <si>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</si>
  <si>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</si>
  <si>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</si>
  <si>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</si>
  <si>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</si>
  <si>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</si>
  <si>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</si>
  <si>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</si>
  <si>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</si>
  <si>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</si>
  <si>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</si>
  <si>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</si>
  <si>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</si>
  <si>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</si>
  <si>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</si>
  <si>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</si>
  <si>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</si>
  <si>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</si>
  <si>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</si>
  <si>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</si>
  <si>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</si>
  <si>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</si>
  <si>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</si>
  <si>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</si>
  <si>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</si>
  <si>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</si>
  <si>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</si>
  <si>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</si>
  <si>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</si>
  <si>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</si>
  <si>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</si>
  <si>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</si>
  <si>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</si>
  <si>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</si>
  <si>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</si>
  <si>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</si>
  <si>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</si>
  <si>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</si>
  <si>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</si>
  <si>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</si>
  <si>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</si>
  <si>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</si>
  <si>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</si>
  <si>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</si>
  <si>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</si>
  <si>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</si>
  <si>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</si>
  <si>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</si>
  <si>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</si>
  <si>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</si>
  <si>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</si>
  <si>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</si>
  <si>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</si>
  <si>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</si>
  <si>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</si>
  <si>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</si>
  <si>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</si>
  <si>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</si>
  <si>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</si>
  <si>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</si>
  <si>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</si>
  <si>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</si>
  <si>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</si>
  <si>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</si>
  <si>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</si>
  <si>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</si>
  <si>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</si>
  <si>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</si>
  <si>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</si>
  <si>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</si>
  <si>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</si>
  <si>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</si>
  <si>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</si>
  <si>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</si>
  <si>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</si>
  <si>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</si>
  <si>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</si>
  <si>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</si>
  <si>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</si>
  <si>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</si>
  <si>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</si>
  <si>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</si>
  <si>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</si>
  <si>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</si>
  <si>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</si>
  <si>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</si>
  <si>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</si>
  <si>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</si>
  <si>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</si>
  <si>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</si>
  <si>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</si>
  <si>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</si>
  <si>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</si>
  <si>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</si>
  <si>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</si>
  <si>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</si>
  <si>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</si>
  <si>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</si>
  <si>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</si>
  <si>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</si>
  <si>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</si>
  <si>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</si>
  <si>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</si>
  <si>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</si>
  <si>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</si>
  <si>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</si>
  <si>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</si>
  <si>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</si>
  <si>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</si>
  <si>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</si>
  <si>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</si>
  <si>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</si>
  <si>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</si>
  <si>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</si>
  <si>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</si>
  <si>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</si>
  <si>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</si>
  <si>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</si>
  <si>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</si>
  <si>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</si>
  <si>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</si>
  <si>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</si>
  <si>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</si>
  <si>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</si>
  <si>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</si>
  <si>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</si>
  <si>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</si>
  <si>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</si>
  <si>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</si>
  <si>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</si>
  <si>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</si>
  <si>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</si>
  <si>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</si>
  <si>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</si>
  <si>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</si>
  <si>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</si>
  <si>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</si>
  <si>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</si>
  <si>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</si>
  <si>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</si>
  <si>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</si>
  <si>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</si>
  <si>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</si>
  <si>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</si>
  <si>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</si>
  <si>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</si>
  <si>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</si>
  <si>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</si>
  <si>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</si>
  <si>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</si>
  <si>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</si>
  <si>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</si>
  <si>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</si>
  <si>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</si>
  <si>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</si>
  <si>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</si>
  <si>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</si>
  <si>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</si>
  <si>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</si>
  <si>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</si>
  <si>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</si>
  <si>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</si>
  <si>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</si>
  <si>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</si>
  <si>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</si>
  <si>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</si>
  <si>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</si>
  <si>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</si>
  <si>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</si>
  <si>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</si>
  <si>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</si>
  <si>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</si>
  <si>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</si>
  <si>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</si>
  <si>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</si>
  <si>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</si>
  <si>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</si>
  <si>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</si>
  <si>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</si>
  <si>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</si>
  <si>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</si>
  <si>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</si>
  <si>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</si>
  <si>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</si>
  <si>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</si>
  <si>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</si>
  <si>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</si>
  <si>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</si>
  <si>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</si>
  <si>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</si>
  <si>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</si>
  <si>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</si>
  <si>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</si>
  <si>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</si>
  <si>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</si>
  <si>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</si>
  <si>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</si>
  <si>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</si>
  <si>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</si>
  <si>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</si>
  <si>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</si>
  <si>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</si>
  <si>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</si>
  <si>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</si>
  <si>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</si>
  <si>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</si>
  <si>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</si>
  <si>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</si>
  <si>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</si>
  <si>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</si>
  <si>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</si>
  <si>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</si>
  <si>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</si>
  <si>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</si>
  <si>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</si>
  <si>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</si>
  <si>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</si>
  <si>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</si>
  <si>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</si>
  <si>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</si>
  <si>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</si>
  <si>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</si>
  <si>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</si>
  <si>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</si>
  <si>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</si>
  <si>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</si>
  <si>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</si>
  <si>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</si>
  <si>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</si>
  <si>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</si>
  <si>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</si>
  <si>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</si>
  <si>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</si>
  <si>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</si>
  <si>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</si>
  <si>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</si>
  <si>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</si>
  <si>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</si>
  <si>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</si>
  <si>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</si>
  <si>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</si>
  <si>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</si>
  <si>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</si>
  <si>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</si>
  <si>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</si>
  <si>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</si>
  <si>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</si>
  <si>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</si>
  <si>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</si>
  <si>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</si>
  <si>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</si>
  <si>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</si>
  <si>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</si>
  <si>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</si>
  <si>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</si>
  <si>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</si>
  <si>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</si>
  <si>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</si>
  <si>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</si>
  <si>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</si>
  <si>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</si>
  <si>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</si>
  <si>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</si>
  <si>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</si>
  <si>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</si>
  <si>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</si>
  <si>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</si>
  <si>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</si>
  <si>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</si>
  <si>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</si>
  <si>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</si>
  <si>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</si>
  <si>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</si>
  <si>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</si>
  <si>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</si>
  <si>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</si>
  <si>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</si>
  <si>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</si>
  <si>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</si>
  <si>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</si>
  <si>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</si>
  <si>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</si>
  <si>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</si>
  <si>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</si>
  <si>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</si>
  <si>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</si>
  <si>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</si>
  <si>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</si>
  <si>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</si>
  <si>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</si>
  <si>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</si>
  <si>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</si>
  <si>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</si>
  <si>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</si>
  <si>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</si>
  <si>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</si>
  <si>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</si>
  <si>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</si>
  <si>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</si>
  <si>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</si>
  <si>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</si>
  <si>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</si>
  <si>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</si>
  <si>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</si>
  <si>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</si>
  <si>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</si>
  <si>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</si>
  <si>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</si>
  <si>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</si>
  <si>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</si>
  <si>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</si>
  <si>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</si>
  <si>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</si>
  <si>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</si>
  <si>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</si>
  <si>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</si>
  <si>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</si>
  <si>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</si>
  <si>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</si>
  <si>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</si>
  <si>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</si>
  <si>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</si>
  <si>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</si>
  <si>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</si>
  <si>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</si>
  <si>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</si>
  <si>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</si>
  <si>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</si>
  <si>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</si>
  <si>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</si>
  <si>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</si>
  <si>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</si>
  <si>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</si>
  <si>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</si>
  <si>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</si>
  <si>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</si>
  <si>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</si>
  <si>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</si>
  <si>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</si>
  <si>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</si>
  <si>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</si>
  <si>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</si>
  <si>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</si>
  <si>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</si>
  <si>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</si>
  <si>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</si>
  <si>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</si>
  <si>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</si>
  <si>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</si>
  <si>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</si>
  <si>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</si>
  <si>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</si>
  <si>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</si>
  <si>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</si>
  <si>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</si>
  <si>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</si>
  <si>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</si>
  <si>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</si>
  <si>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</si>
  <si>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</si>
  <si>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</si>
  <si>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</si>
  <si>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</si>
  <si>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</si>
  <si>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</si>
  <si>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</si>
  <si>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</si>
  <si>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</si>
  <si>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</si>
  <si>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</si>
  <si>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</si>
  <si>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</si>
  <si>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</si>
  <si>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</si>
  <si>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</si>
  <si>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</si>
  <si>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</si>
  <si>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</si>
  <si>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</si>
  <si>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</si>
  <si>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</si>
  <si>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</si>
  <si>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</si>
  <si>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</si>
  <si>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</si>
  <si>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</si>
  <si>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</si>
  <si>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</si>
  <si>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</si>
  <si>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</si>
  <si>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</si>
  <si>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</si>
  <si>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</si>
  <si>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</si>
  <si>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</si>
  <si>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</si>
  <si>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</si>
  <si>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</si>
  <si>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</si>
  <si>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</si>
  <si>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</si>
  <si>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</si>
  <si>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</si>
  <si>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</si>
  <si>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</si>
  <si>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</si>
  <si>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</si>
  <si>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</si>
  <si>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</si>
  <si>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</si>
  <si>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</si>
  <si>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</si>
  <si>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</si>
  <si>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</si>
  <si>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</si>
  <si>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</si>
  <si>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</si>
  <si>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</si>
  <si>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</si>
  <si>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</si>
  <si>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</si>
  <si>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</si>
  <si>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</si>
  <si>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</si>
  <si>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</si>
  <si>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</si>
  <si>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</si>
  <si>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</si>
  <si>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</si>
  <si>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</si>
  <si>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</si>
  <si>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</si>
  <si>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</si>
  <si>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</si>
  <si>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</si>
  <si>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</si>
  <si>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</si>
  <si>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</si>
  <si>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</si>
  <si>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</si>
  <si>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</si>
  <si>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</si>
  <si>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</si>
  <si>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</si>
  <si>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</si>
  <si>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</si>
  <si>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</si>
  <si>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</si>
  <si>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</si>
  <si>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</si>
  <si>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</si>
  <si>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</si>
  <si>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</si>
  <si>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</si>
  <si>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</si>
  <si>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</si>
  <si>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</si>
  <si>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</si>
  <si>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</si>
  <si>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</si>
  <si>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</si>
  <si>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</si>
  <si>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</si>
  <si>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</si>
  <si>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</si>
  <si>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</si>
  <si>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</si>
  <si>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</si>
  <si>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</si>
  <si>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</si>
  <si>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</si>
  <si>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</si>
  <si>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</si>
  <si>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</si>
  <si>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</si>
  <si>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</si>
  <si>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</si>
  <si>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</si>
  <si>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</si>
  <si>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</si>
  <si>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</si>
  <si>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</si>
  <si>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</si>
  <si>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</si>
  <si>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</si>
  <si>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</si>
  <si>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</si>
  <si>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</si>
  <si>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</si>
  <si>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</si>
  <si>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</si>
  <si>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</si>
  <si>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</si>
  <si>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</si>
  <si>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</si>
  <si>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</si>
  <si>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</si>
  <si>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</si>
  <si>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</si>
  <si>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</si>
  <si>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</si>
  <si>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</si>
  <si>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</si>
  <si>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</si>
  <si>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</si>
  <si>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</si>
  <si>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</si>
  <si>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</si>
  <si>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</si>
  <si>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</si>
  <si>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</si>
  <si>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</si>
  <si>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</si>
  <si>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</si>
  <si>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</si>
  <si>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</si>
  <si>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</si>
  <si>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</si>
  <si>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</si>
  <si>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</si>
  <si>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</si>
  <si>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</si>
  <si>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</si>
  <si>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</si>
  <si>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</si>
  <si>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</si>
  <si>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</si>
  <si>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</si>
  <si>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</si>
  <si>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</si>
  <si>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</si>
  <si>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</si>
  <si>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</si>
  <si>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</si>
  <si>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</si>
  <si>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</si>
  <si>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</si>
  <si>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</si>
  <si>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</si>
  <si>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</si>
  <si>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</si>
  <si>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</si>
  <si>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</si>
  <si>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</si>
  <si>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</si>
  <si>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</si>
  <si>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</si>
  <si>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</si>
  <si>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</si>
  <si>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</si>
  <si>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</si>
  <si>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</si>
  <si>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</si>
  <si>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</si>
  <si>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</si>
  <si>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</si>
  <si>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</si>
  <si>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</si>
  <si>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</si>
  <si>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</si>
  <si>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</si>
  <si>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</si>
  <si>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</si>
  <si>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</si>
  <si>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</si>
  <si>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</si>
  <si>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</si>
  <si>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</si>
  <si>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</si>
  <si>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</si>
  <si>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</si>
  <si>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</si>
  <si>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</si>
  <si>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</si>
  <si>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</si>
  <si>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</si>
  <si>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</si>
  <si>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</si>
  <si>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</si>
  <si>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</si>
  <si>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</si>
  <si>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</si>
  <si>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</si>
  <si>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</si>
  <si>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</si>
  <si>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</si>
  <si>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</si>
  <si>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</si>
  <si>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</si>
  <si>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</si>
  <si>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</si>
  <si>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</si>
  <si>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</si>
  <si>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</si>
  <si>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</si>
  <si>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</si>
  <si>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</si>
  <si>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</si>
  <si>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</si>
  <si>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</si>
  <si>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</si>
  <si>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</si>
  <si>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</si>
  <si>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</si>
  <si>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</si>
  <si>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</si>
  <si>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</si>
  <si>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</si>
  <si>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</si>
  <si>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</si>
  <si>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</si>
  <si>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</si>
  <si>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</si>
  <si>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</si>
  <si>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</si>
  <si>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</si>
  <si>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</si>
  <si>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</si>
  <si>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</si>
  <si>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</si>
  <si>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</si>
  <si>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</si>
  <si>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</si>
  <si>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</si>
  <si>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</si>
  <si>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</si>
  <si>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</si>
  <si>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</si>
  <si>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</si>
  <si>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</si>
  <si>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</si>
  <si>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</si>
  <si>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</si>
  <si>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</si>
  <si>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</si>
  <si>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</si>
  <si>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</si>
  <si>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</si>
  <si>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</si>
  <si>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</si>
  <si>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</si>
  <si>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</si>
  <si>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</si>
  <si>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</si>
  <si>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</si>
  <si>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</si>
  <si>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</si>
  <si>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</si>
  <si>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</si>
  <si>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</si>
  <si>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</si>
  <si>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</si>
  <si>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</si>
  <si>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</si>
  <si>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</si>
  <si>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</si>
  <si>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</si>
  <si>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</si>
  <si>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</si>
  <si>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</si>
  <si>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</si>
  <si>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</si>
  <si>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</si>
  <si>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</si>
  <si>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</si>
  <si>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</si>
  <si>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</si>
  <si>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</si>
  <si>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</si>
  <si>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</si>
  <si>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</si>
  <si>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</si>
  <si>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</si>
  <si>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</si>
  <si>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</si>
  <si>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</si>
  <si>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</si>
  <si>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</si>
  <si>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</si>
  <si>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</si>
  <si>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</si>
  <si>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</si>
  <si>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</si>
  <si>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</si>
  <si>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</si>
  <si>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</si>
  <si>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</si>
  <si>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</si>
  <si>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</si>
  <si>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</si>
  <si>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</si>
  <si>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</si>
  <si>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</si>
  <si>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</si>
  <si>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</si>
  <si>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</si>
  <si>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</si>
  <si>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</si>
  <si>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</si>
  <si>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</si>
  <si>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</si>
  <si>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</si>
  <si>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</si>
  <si>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</si>
  <si>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</si>
  <si>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</si>
  <si>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</si>
  <si>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</si>
  <si>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</si>
  <si>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</si>
  <si>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</si>
  <si>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</si>
  <si>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</si>
  <si>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</si>
  <si>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</si>
  <si>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</si>
  <si>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</si>
  <si>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</si>
  <si>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</si>
  <si>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</si>
  <si>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</si>
  <si>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</si>
  <si>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</si>
  <si>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</si>
  <si>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</si>
  <si>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</si>
  <si>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</si>
  <si>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</si>
  <si>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</si>
  <si>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</si>
  <si>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</si>
  <si>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</si>
  <si>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</si>
  <si>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</si>
  <si>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</si>
  <si>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</si>
  <si>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</si>
  <si>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</si>
  <si>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</si>
  <si>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</si>
  <si>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</si>
  <si>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</si>
  <si>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</si>
  <si>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</si>
  <si>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</si>
  <si>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</si>
  <si>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</si>
  <si>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</si>
  <si>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</si>
  <si>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</si>
  <si>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</si>
  <si>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</si>
  <si>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</si>
  <si>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</si>
  <si>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</si>
  <si>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</si>
  <si>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</si>
  <si>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</si>
  <si>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</si>
  <si>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</si>
  <si>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</si>
  <si>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</si>
  <si>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</si>
  <si>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</si>
  <si>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</si>
  <si>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</si>
  <si>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</si>
  <si>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</si>
  <si>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</si>
  <si>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</si>
  <si>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</si>
  <si>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</si>
  <si>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</si>
  <si>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</si>
  <si>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</si>
  <si>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</si>
  <si>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</si>
  <si>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</si>
  <si>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</si>
  <si>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</si>
  <si>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</si>
  <si>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</si>
  <si>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</si>
  <si>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</si>
  <si>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</si>
  <si>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</si>
  <si>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</si>
  <si>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</si>
  <si>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</si>
  <si>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</si>
  <si>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</si>
  <si>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</si>
  <si>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</si>
  <si>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</si>
  <si>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</si>
  <si>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</si>
  <si>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</si>
  <si>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</si>
  <si>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</si>
  <si>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</si>
  <si>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</si>
  <si>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</si>
  <si>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</si>
  <si>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</si>
  <si>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</si>
  <si>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</si>
  <si>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</si>
  <si>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</si>
  <si>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</si>
  <si>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</si>
  <si>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</si>
  <si>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</si>
  <si>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</si>
  <si>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</si>
  <si>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</si>
  <si>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</si>
  <si>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</si>
  <si>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</si>
  <si>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</si>
  <si>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</si>
  <si>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</si>
  <si>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</si>
  <si>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</si>
  <si>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</si>
  <si>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</si>
  <si>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</si>
  <si>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</si>
  <si>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</si>
  <si>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</si>
  <si>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</si>
  <si>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</si>
  <si>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</si>
  <si>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</si>
  <si>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</si>
  <si>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</si>
  <si>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</si>
  <si>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</si>
  <si>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</si>
  <si>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</si>
  <si>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</si>
  <si>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</si>
  <si>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</si>
  <si>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</si>
  <si>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</si>
  <si>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</si>
  <si>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</si>
  <si>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</si>
  <si>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</si>
  <si>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</si>
  <si>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</si>
  <si>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</si>
  <si>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</si>
  <si>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</si>
  <si>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</si>
  <si>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</si>
  <si>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</si>
  <si>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</si>
  <si>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</si>
  <si>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</si>
  <si>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</si>
  <si>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</si>
  <si>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</si>
  <si>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</si>
  <si>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</si>
  <si>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</si>
  <si>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</si>
  <si>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</si>
  <si>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</si>
  <si>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</si>
  <si>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</si>
  <si>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</si>
  <si>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</si>
  <si>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</si>
  <si>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</si>
  <si>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</si>
  <si>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</si>
  <si>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</si>
  <si>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</si>
  <si>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</si>
  <si>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</si>
  <si>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</si>
  <si>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</si>
  <si>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</si>
  <si>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</si>
  <si>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</si>
  <si>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</si>
  <si>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</si>
  <si>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</si>
  <si>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</si>
  <si>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</si>
  <si>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</si>
  <si>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</si>
  <si>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</si>
  <si>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</si>
  <si>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</si>
  <si>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</si>
  <si>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</si>
  <si>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</si>
  <si>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</si>
  <si>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</si>
  <si>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</si>
  <si>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</si>
  <si>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</si>
  <si>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</si>
  <si>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</si>
  <si>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</si>
  <si>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</si>
  <si>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</si>
  <si>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</si>
  <si>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</si>
  <si>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</si>
  <si>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</si>
  <si>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</si>
  <si>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</si>
  <si>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</si>
  <si>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</si>
  <si>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</si>
  <si>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</si>
  <si>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</si>
  <si>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</si>
  <si>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</si>
  <si>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楼号</t>
    <rPh sb="0" eb="1">
      <t>lou hao</t>
    </rPh>
    <phoneticPr fontId="143" type="noConversion"/>
  </si>
  <si>
    <t>房号</t>
    <rPh sb="0" eb="1">
      <t>fang hao</t>
    </rPh>
    <phoneticPr fontId="143" type="noConversion"/>
  </si>
  <si>
    <t>楼层</t>
    <rPh sb="0" eb="1">
      <t>lou ceng</t>
    </rPh>
    <phoneticPr fontId="143" type="noConversion"/>
  </si>
  <si>
    <t>建筑面积</t>
    <rPh sb="0" eb="1">
      <t>jian zhu</t>
    </rPh>
    <rPh sb="2" eb="3">
      <t>mian ji</t>
    </rPh>
    <phoneticPr fontId="143" type="noConversion"/>
  </si>
  <si>
    <t>3区5号楼</t>
    <rPh sb="1" eb="2">
      <t>qu</t>
    </rPh>
    <rPh sb="3" eb="4">
      <t>hao lou</t>
    </rPh>
    <phoneticPr fontId="143" type="noConversion"/>
  </si>
  <si>
    <t>3区6号楼</t>
    <rPh sb="1" eb="2">
      <t>qu</t>
    </rPh>
    <rPh sb="3" eb="4">
      <t>hao lou</t>
    </rPh>
    <phoneticPr fontId="143" type="noConversion"/>
  </si>
  <si>
    <t>3区8号楼</t>
    <rPh sb="1" eb="2">
      <t>qu</t>
    </rPh>
    <rPh sb="3" eb="4">
      <t>hao lou</t>
    </rPh>
    <phoneticPr fontId="143" type="noConversion"/>
  </si>
  <si>
    <t>3区9号楼</t>
    <rPh sb="1" eb="2">
      <t>qu</t>
    </rPh>
    <rPh sb="3" eb="4">
      <t>hao lou</t>
    </rPh>
    <phoneticPr fontId="143" type="noConversion"/>
  </si>
  <si>
    <t>3区10号楼</t>
    <rPh sb="1" eb="2">
      <t>qu</t>
    </rPh>
    <rPh sb="4" eb="5">
      <t>hao lou</t>
    </rPh>
    <phoneticPr fontId="143" type="noConversion"/>
  </si>
  <si>
    <t>4区7号楼</t>
    <rPh sb="1" eb="2">
      <t>qu</t>
    </rPh>
    <rPh sb="3" eb="4">
      <t>hao</t>
    </rPh>
    <rPh sb="4" eb="5">
      <t>lou</t>
    </rPh>
    <phoneticPr fontId="143" type="noConversion"/>
  </si>
  <si>
    <t>4区8号楼</t>
    <rPh sb="1" eb="2">
      <t>qu</t>
    </rPh>
    <rPh sb="3" eb="4">
      <t>hao</t>
    </rPh>
    <rPh sb="4" eb="5">
      <t>lou</t>
    </rPh>
    <phoneticPr fontId="143" type="noConversion"/>
  </si>
  <si>
    <t>4区9号楼</t>
    <rPh sb="1" eb="2">
      <t>qu</t>
    </rPh>
    <rPh sb="3" eb="4">
      <t>hao</t>
    </rPh>
    <rPh sb="4" eb="5">
      <t>lou</t>
    </rPh>
    <phoneticPr fontId="143" type="noConversion"/>
  </si>
  <si>
    <t>2区9号楼</t>
    <rPh sb="1" eb="2">
      <t>qu</t>
    </rPh>
    <rPh sb="3" eb="4">
      <t>hao lou</t>
    </rPh>
    <phoneticPr fontId="143" type="noConversion"/>
  </si>
  <si>
    <t>2区10号楼</t>
    <rPh sb="1" eb="2">
      <t>qu</t>
    </rPh>
    <rPh sb="4" eb="5">
      <t>hao lou</t>
    </rPh>
    <phoneticPr fontId="143" type="noConversion"/>
  </si>
  <si>
    <t>2区11号楼</t>
    <rPh sb="1" eb="2">
      <t>qu</t>
    </rPh>
    <rPh sb="4" eb="5">
      <t>hao lou</t>
    </rPh>
    <phoneticPr fontId="143" type="noConversion"/>
  </si>
  <si>
    <t>叶凌</t>
  </si>
  <si>
    <t>陈颖</t>
  </si>
  <si>
    <t>核定资产</t>
  </si>
  <si>
    <t>房地产市场价值</t>
  </si>
  <si>
    <t>北京市</t>
  </si>
  <si>
    <t>企业</t>
  </si>
  <si>
    <t>出让</t>
  </si>
  <si>
    <t>是</t>
  </si>
  <si>
    <t>一层商业</t>
    <rPh sb="0" eb="1">
      <t>yi ceng shang ye</t>
    </rPh>
    <phoneticPr fontId="143" type="noConversion"/>
  </si>
  <si>
    <t>合计</t>
    <rPh sb="0" eb="1">
      <t>he ji</t>
    </rPh>
    <phoneticPr fontId="143" type="noConversion"/>
  </si>
  <si>
    <t>二层商业</t>
    <rPh sb="0" eb="1">
      <t>er ceng shang ye</t>
    </rPh>
    <phoneticPr fontId="143" type="noConversion"/>
  </si>
  <si>
    <t>建筑面积</t>
    <rPh sb="0" eb="1">
      <t>jian zhu mian ji</t>
    </rPh>
    <phoneticPr fontId="143" type="noConversion"/>
  </si>
  <si>
    <t>三层商业</t>
    <rPh sb="0" eb="1">
      <t>san</t>
    </rPh>
    <phoneticPr fontId="143" type="noConversion"/>
  </si>
  <si>
    <t>四层商业</t>
    <rPh sb="0" eb="1">
      <t>si</t>
    </rPh>
    <phoneticPr fontId="143" type="noConversion"/>
  </si>
  <si>
    <t>五层商业</t>
    <rPh sb="0" eb="1">
      <t>wu</t>
    </rPh>
    <phoneticPr fontId="143" type="noConversion"/>
  </si>
  <si>
    <t>2#配套公建</t>
    <rPh sb="2" eb="3">
      <t>pei tao</t>
    </rPh>
    <rPh sb="4" eb="5">
      <t>gong jian</t>
    </rPh>
    <phoneticPr fontId="143" type="noConversion"/>
  </si>
  <si>
    <t>13#配套公服楼</t>
    <rPh sb="3" eb="4">
      <t>pei tao</t>
    </rPh>
    <rPh sb="5" eb="6">
      <t>gong fu lou</t>
    </rPh>
    <rPh sb="6" eb="7">
      <t>fu wu</t>
    </rPh>
    <rPh sb="7" eb="8">
      <t>lou</t>
    </rPh>
    <phoneticPr fontId="143" type="noConversion"/>
  </si>
  <si>
    <t>16#配套公服楼</t>
  </si>
  <si>
    <t>小计</t>
    <rPh sb="0" eb="1">
      <t>xiao</t>
    </rPh>
    <phoneticPr fontId="143" type="noConversion"/>
  </si>
  <si>
    <t>小计</t>
    <rPh sb="0" eb="1">
      <t>xiao ji</t>
    </rPh>
    <rPh sb="1" eb="2">
      <t>ji suan</t>
    </rPh>
    <phoneticPr fontId="143" type="noConversion"/>
  </si>
  <si>
    <t>商业用房总建筑面积</t>
    <rPh sb="0" eb="1">
      <t>shang ye</t>
    </rPh>
    <rPh sb="2" eb="3">
      <t>yong fang</t>
    </rPh>
    <rPh sb="4" eb="5">
      <t>zng jian zhu mian ji</t>
    </rPh>
    <phoneticPr fontId="143" type="noConversion"/>
  </si>
  <si>
    <t>。</t>
    <phoneticPr fontId="143" type="noConversion"/>
  </si>
  <si>
    <t>地上</t>
  </si>
  <si>
    <t>地下</t>
  </si>
  <si>
    <t>地下商业建筑面积</t>
    <rPh sb="0" eb="1">
      <t>di xia</t>
    </rPh>
    <rPh sb="2" eb="3">
      <t>shang ye</t>
    </rPh>
    <rPh sb="4" eb="5">
      <t>jian zhu mian ji</t>
    </rPh>
    <phoneticPr fontId="143" type="noConversion"/>
  </si>
  <si>
    <t>地下一层商业</t>
    <rPh sb="0" eb="1">
      <t>di xia</t>
    </rPh>
    <rPh sb="2" eb="3">
      <t>yi ceng</t>
    </rPh>
    <rPh sb="4" eb="5">
      <t>shang ye</t>
    </rPh>
    <phoneticPr fontId="143" type="noConversion"/>
  </si>
  <si>
    <t>地下二层商业</t>
    <rPh sb="0" eb="1">
      <t>di xia er ceng shang ye</t>
    </rPh>
    <phoneticPr fontId="143" type="noConversion"/>
  </si>
  <si>
    <t>商业</t>
    <rPh sb="0" eb="1">
      <t>shang ye</t>
    </rPh>
    <phoneticPr fontId="7" type="noConversion"/>
  </si>
  <si>
    <t>成新度</t>
  </si>
  <si>
    <t>收益法</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</si>
  <si>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</si>
  <si>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</si>
  <si>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</si>
  <si>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</si>
  <si>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</si>
  <si>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</si>
  <si>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</si>
  <si>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</si>
  <si>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</si>
  <si>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</si>
  <si>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</si>
  <si>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</si>
  <si>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</si>
  <si>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</si>
  <si>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</si>
  <si>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</si>
  <si>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</si>
  <si>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</si>
  <si>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</si>
  <si>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</si>
  <si>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</si>
  <si>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</si>
  <si>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</si>
  <si>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</si>
  <si>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</si>
  <si>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</si>
  <si>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</si>
  <si>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</si>
  <si>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</si>
  <si>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</si>
  <si>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</si>
  <si>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</si>
  <si>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</si>
  <si>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</si>
  <si>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</si>
  <si>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</si>
  <si>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</si>
  <si>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</si>
  <si>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</si>
  <si>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</si>
  <si>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</si>
  <si>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</si>
  <si>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</si>
  <si>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</si>
  <si>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</si>
  <si>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</si>
  <si>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</si>
  <si>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</si>
  <si>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</si>
  <si>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</si>
  <si>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</si>
  <si>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</si>
  <si>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</si>
  <si>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</si>
  <si>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</si>
  <si>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</si>
  <si>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</si>
  <si>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</si>
  <si>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</si>
  <si>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</si>
  <si>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</si>
  <si>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</si>
  <si>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</si>
  <si>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</si>
  <si>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</si>
  <si>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</si>
  <si>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</si>
  <si>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</si>
  <si>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</si>
  <si>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</si>
  <si>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</si>
  <si>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</si>
  <si>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</si>
  <si>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</si>
  <si>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</si>
  <si>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</si>
  <si>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</si>
  <si>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</si>
  <si>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</si>
  <si>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</si>
  <si>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</si>
  <si>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</si>
  <si>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</si>
  <si>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</si>
  <si>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</si>
  <si>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</si>
  <si>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</si>
  <si>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</si>
  <si>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</si>
  <si>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</si>
  <si>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</si>
  <si>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</si>
  <si>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</si>
  <si>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</si>
  <si>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</si>
  <si>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</si>
  <si>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</si>
  <si>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</si>
  <si>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</si>
  <si>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</si>
  <si>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</si>
  <si>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</si>
  <si>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</si>
  <si>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</si>
  <si>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</si>
  <si>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</si>
  <si>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</si>
  <si>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</si>
  <si>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</si>
  <si>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</si>
  <si>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</si>
  <si>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</si>
  <si>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</si>
  <si>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</si>
  <si>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</si>
  <si>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</si>
  <si>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</si>
  <si>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</si>
  <si>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一层</t>
    <phoneticPr fontId="3" type="noConversion"/>
  </si>
  <si>
    <t>比较法</t>
    <phoneticPr fontId="3" type="noConversion"/>
  </si>
  <si>
    <t>二层</t>
    <phoneticPr fontId="3" type="noConversion"/>
  </si>
  <si>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</si>
  <si>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</si>
  <si>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</si>
  <si>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</si>
  <si>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</si>
  <si>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</si>
  <si>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</si>
  <si>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</si>
  <si>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</si>
  <si>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租金</t>
  </si>
  <si>
    <t>收益法 (元)</t>
  </si>
  <si>
    <t>批发零售用地</t>
  </si>
  <si>
    <t>自定义容积率</t>
  </si>
  <si>
    <t>不临58条商业街</t>
  </si>
  <si>
    <t>通路</t>
  </si>
  <si>
    <t>通电</t>
  </si>
  <si>
    <t>通讯</t>
  </si>
  <si>
    <t>通上水</t>
  </si>
  <si>
    <t>通下水</t>
  </si>
  <si>
    <t>通热</t>
  </si>
  <si>
    <t>平整</t>
  </si>
  <si>
    <t>与级别开发程度不一致</t>
  </si>
  <si>
    <t>按公示增长率计算</t>
  </si>
  <si>
    <t>一般</t>
  </si>
  <si>
    <t>较好</t>
  </si>
  <si>
    <t>全部缴纳</t>
  </si>
  <si>
    <t>未包含在土地购买价格中</t>
  </si>
  <si>
    <t>地下商业</t>
    <phoneticPr fontId="143" type="noConversion"/>
  </si>
  <si>
    <t>西区车库</t>
    <phoneticPr fontId="143" type="noConversion"/>
  </si>
  <si>
    <t>(根据实测报告）</t>
    <phoneticPr fontId="143" type="noConversion"/>
  </si>
  <si>
    <t>房号</t>
    <phoneticPr fontId="143" type="noConversion"/>
  </si>
  <si>
    <t>建筑面积（平方米）</t>
    <phoneticPr fontId="143" type="noConversion"/>
  </si>
  <si>
    <t>总建筑面积（平方米）</t>
    <phoneticPr fontId="143" type="noConversion"/>
  </si>
  <si>
    <t>容积率修正</t>
  </si>
  <si>
    <t>楼层</t>
    <phoneticPr fontId="143" type="noConversion"/>
  </si>
  <si>
    <t>地下二层</t>
    <phoneticPr fontId="143" type="noConversion"/>
  </si>
  <si>
    <t>地下一层</t>
    <phoneticPr fontId="143" type="noConversion"/>
  </si>
  <si>
    <t>合计</t>
    <phoneticPr fontId="143" type="noConversion"/>
  </si>
  <si>
    <t>商业面积合计</t>
  </si>
  <si>
    <t>总计</t>
  </si>
  <si>
    <t>4区9号楼</t>
  </si>
  <si>
    <t>4区8号楼</t>
  </si>
  <si>
    <t>4区7号楼</t>
  </si>
  <si>
    <t>G3商业楼</t>
  </si>
  <si>
    <t>3区10号楼</t>
  </si>
  <si>
    <t>3区9号楼</t>
  </si>
  <si>
    <t>3区8号楼</t>
  </si>
  <si>
    <t>G4商业楼</t>
  </si>
  <si>
    <t>3区6号楼</t>
  </si>
  <si>
    <t>3区5号楼</t>
  </si>
  <si>
    <t>16#楼</t>
  </si>
  <si>
    <t>1区8号楼</t>
  </si>
  <si>
    <t>G5商业楼</t>
  </si>
  <si>
    <t>2区11号楼</t>
  </si>
  <si>
    <t>15#楼</t>
  </si>
  <si>
    <t>1区7号楼</t>
  </si>
  <si>
    <t>2区10号楼</t>
  </si>
  <si>
    <t>18#楼</t>
  </si>
  <si>
    <t>1区5号楼</t>
  </si>
  <si>
    <t>2区9号楼</t>
  </si>
  <si>
    <t>17#楼</t>
  </si>
  <si>
    <t>1区4号楼</t>
  </si>
  <si>
    <t>G6商住混合料</t>
  </si>
  <si>
    <t>2区7号楼</t>
  </si>
  <si>
    <t>20#楼</t>
  </si>
  <si>
    <t>1区3号楼</t>
  </si>
  <si>
    <t>2区6号楼</t>
  </si>
  <si>
    <t>19#楼</t>
  </si>
  <si>
    <t>1区2号楼</t>
  </si>
  <si>
    <t>G11</t>
  </si>
  <si>
    <t>3区7号楼</t>
  </si>
  <si>
    <t>西区车库</t>
  </si>
  <si>
    <t>14#楼</t>
  </si>
  <si>
    <t>2区5号楼</t>
  </si>
  <si>
    <t>预测面积
（平方米）</t>
  </si>
  <si>
    <t>施工楼号</t>
  </si>
  <si>
    <t>预测楼号</t>
  </si>
  <si>
    <t>序号</t>
  </si>
  <si>
    <t>城市之眼商业楼</t>
  </si>
  <si>
    <t>地下商业</t>
  </si>
  <si>
    <t>地上商业</t>
  </si>
  <si>
    <t>焦化厂公租房地块商业面积汇总</t>
  </si>
  <si>
    <t>面积汇总表</t>
    <rPh sb="0" eb="1">
      <t>mian ji</t>
    </rPh>
    <rPh sb="2" eb="3">
      <t>hui zong biao</t>
    </rPh>
    <phoneticPr fontId="143" type="noConversion"/>
  </si>
  <si>
    <t>2区5号楼</t>
    <phoneticPr fontId="143" type="noConversion"/>
  </si>
  <si>
    <t>预测楼号</t>
    <rPh sb="0" eb="1">
      <t>yu ce</t>
    </rPh>
    <rPh sb="2" eb="3">
      <t>lou hao</t>
    </rPh>
    <phoneticPr fontId="143" type="noConversion"/>
  </si>
  <si>
    <t>施工楼号</t>
    <rPh sb="0" eb="1">
      <t>shi gong lou hao</t>
    </rPh>
    <phoneticPr fontId="143" type="noConversion"/>
  </si>
  <si>
    <t>2区6号楼</t>
    <phoneticPr fontId="143" type="noConversion"/>
  </si>
  <si>
    <t>2区7号楼</t>
    <phoneticPr fontId="143" type="noConversion"/>
  </si>
  <si>
    <t>序号</t>
    <rPh sb="0" eb="1">
      <t>xu hao</t>
    </rPh>
    <phoneticPr fontId="143" type="noConversion"/>
  </si>
  <si>
    <t>G3商业楼</t>
    <phoneticPr fontId="143" type="noConversion"/>
  </si>
  <si>
    <t>地上商业</t>
    <rPh sb="0" eb="1">
      <t>di shang shang ye</t>
    </rPh>
    <phoneticPr fontId="143" type="noConversion"/>
  </si>
  <si>
    <t>G1商业楼</t>
    <phoneticPr fontId="143" type="noConversion"/>
  </si>
  <si>
    <t>西区车库</t>
    <rPh sb="0" eb="1">
      <t>xi qu</t>
    </rPh>
    <rPh sb="2" eb="3">
      <t>che ku</t>
    </rPh>
    <phoneticPr fontId="143" type="noConversion"/>
  </si>
  <si>
    <t>地下商业</t>
    <rPh sb="0" eb="1">
      <t>di xia shang ye</t>
    </rPh>
    <phoneticPr fontId="143" type="noConversion"/>
  </si>
  <si>
    <t>3区7号楼</t>
    <rPh sb="1" eb="2">
      <t>qu</t>
    </rPh>
    <rPh sb="3" eb="4">
      <t>hao</t>
    </rPh>
    <rPh sb="4" eb="5">
      <t>lou</t>
    </rPh>
    <phoneticPr fontId="143" type="noConversion"/>
  </si>
  <si>
    <t>城市之眼商业楼(测绘为办公用途）</t>
    <rPh sb="8" eb="9">
      <t>ce hui</t>
    </rPh>
    <rPh sb="10" eb="11">
      <t>wei</t>
    </rPh>
    <rPh sb="11" eb="12">
      <t>ban gong yong tu</t>
    </rPh>
    <phoneticPr fontId="143" type="noConversion"/>
  </si>
  <si>
    <t>独立商业楼</t>
    <rPh sb="0" eb="1">
      <t>du li shang ye</t>
    </rPh>
    <rPh sb="4" eb="5">
      <t>lou</t>
    </rPh>
    <phoneticPr fontId="143" type="noConversion"/>
  </si>
  <si>
    <t>14#楼</t>
    <phoneticPr fontId="143" type="noConversion"/>
  </si>
  <si>
    <t>G6商住混合料</t>
    <phoneticPr fontId="143" type="noConversion"/>
  </si>
  <si>
    <t>1区3号楼</t>
    <phoneticPr fontId="143" type="noConversion"/>
  </si>
  <si>
    <t>1区4号楼</t>
    <phoneticPr fontId="143" type="noConversion"/>
  </si>
  <si>
    <t>1区5号楼</t>
    <phoneticPr fontId="143" type="noConversion"/>
  </si>
  <si>
    <t>1区7号楼</t>
    <phoneticPr fontId="143" type="noConversion"/>
  </si>
  <si>
    <t>1区8号楼</t>
    <phoneticPr fontId="143" type="noConversion"/>
  </si>
  <si>
    <t>19#楼</t>
    <rPh sb="3" eb="4">
      <t>lou</t>
    </rPh>
    <phoneticPr fontId="143" type="noConversion"/>
  </si>
  <si>
    <t>20#楼</t>
    <rPh sb="3" eb="4">
      <t>lou</t>
    </rPh>
    <phoneticPr fontId="143" type="noConversion"/>
  </si>
  <si>
    <t>17#楼</t>
    <rPh sb="3" eb="4">
      <t>lou</t>
    </rPh>
    <phoneticPr fontId="143" type="noConversion"/>
  </si>
  <si>
    <t>18#楼</t>
    <rPh sb="3" eb="4">
      <t>lou</t>
    </rPh>
    <phoneticPr fontId="143" type="noConversion"/>
  </si>
  <si>
    <t>15#楼</t>
    <rPh sb="3" eb="4">
      <t>lou</t>
    </rPh>
    <phoneticPr fontId="143" type="noConversion"/>
  </si>
  <si>
    <t>16#楼</t>
    <rPh sb="3" eb="4">
      <t>lou</t>
    </rPh>
    <phoneticPr fontId="143" type="noConversion"/>
  </si>
  <si>
    <t>一区下沉商业</t>
    <phoneticPr fontId="143" type="noConversion"/>
  </si>
  <si>
    <t>小计</t>
    <rPh sb="0" eb="1">
      <t>xiao</t>
    </rPh>
    <rPh sb="1" eb="2">
      <t>ji suan</t>
    </rPh>
    <phoneticPr fontId="143" type="noConversion"/>
  </si>
  <si>
    <t>G1/G3/G4/G5/G6商业楼</t>
    <phoneticPr fontId="143" type="noConversion"/>
  </si>
  <si>
    <t>1区2号楼</t>
    <phoneticPr fontId="143" type="noConversion"/>
  </si>
  <si>
    <t>地下一层商业</t>
    <rPh sb="0" eb="1">
      <t>di xoa</t>
    </rPh>
    <rPh sb="2" eb="3">
      <t>yi ceng</t>
    </rPh>
    <phoneticPr fontId="143" type="noConversion"/>
  </si>
  <si>
    <t>类别</t>
    <rPh sb="0" eb="1">
      <t>lei bie</t>
    </rPh>
    <phoneticPr fontId="143" type="noConversion"/>
  </si>
  <si>
    <t>一层</t>
    <rPh sb="0" eb="1">
      <t>yi ceng shang ye</t>
    </rPh>
    <phoneticPr fontId="143" type="noConversion"/>
  </si>
  <si>
    <t>二层</t>
    <rPh sb="0" eb="1">
      <t>er ceng shang ye</t>
    </rPh>
    <phoneticPr fontId="143" type="noConversion"/>
  </si>
  <si>
    <t>三层</t>
    <rPh sb="0" eb="1">
      <t>san</t>
    </rPh>
    <phoneticPr fontId="143" type="noConversion"/>
  </si>
  <si>
    <t>四层</t>
    <rPh sb="0" eb="1">
      <t>si</t>
    </rPh>
    <phoneticPr fontId="143" type="noConversion"/>
  </si>
  <si>
    <t>五层</t>
    <rPh sb="0" eb="1">
      <t>wu</t>
    </rPh>
    <phoneticPr fontId="143" type="noConversion"/>
  </si>
  <si>
    <t>地下一层</t>
    <rPh sb="0" eb="1">
      <t>di xoa</t>
    </rPh>
    <rPh sb="2" eb="3">
      <t>yi ceng</t>
    </rPh>
    <phoneticPr fontId="143" type="noConversion"/>
  </si>
  <si>
    <t>地下二层</t>
    <rPh sb="0" eb="1">
      <t>di xoa</t>
    </rPh>
    <rPh sb="2" eb="3">
      <t>er</t>
    </rPh>
    <phoneticPr fontId="143" type="noConversion"/>
  </si>
  <si>
    <t>小计</t>
    <rPh sb="0" eb="1">
      <t>xiao</t>
    </rPh>
    <rPh sb="1" eb="2">
      <t>ji hua</t>
    </rPh>
    <phoneticPr fontId="143" type="noConversion"/>
  </si>
  <si>
    <t>下沉商业</t>
    <rPh sb="0" eb="1">
      <t>xia chen</t>
    </rPh>
    <rPh sb="2" eb="3">
      <t>shang ye</t>
    </rPh>
    <phoneticPr fontId="143" type="noConversion"/>
  </si>
  <si>
    <t>城市之眼商业楼(测绘为办公用途）</t>
    <phoneticPr fontId="143" type="noConversion"/>
  </si>
  <si>
    <t>地下通廊商业</t>
    <phoneticPr fontId="143" type="noConversion"/>
  </si>
  <si>
    <t>G1/G3/G4/G5/G6商业楼</t>
    <phoneticPr fontId="272" type="noConversion"/>
  </si>
  <si>
    <t>无测绘</t>
    <rPh sb="0" eb="1">
      <t>wu ce hui</t>
    </rPh>
    <phoneticPr fontId="143" type="noConversion"/>
  </si>
  <si>
    <t>备注</t>
    <rPh sb="0" eb="1">
      <t>bei zhu</t>
    </rPh>
    <phoneticPr fontId="143" type="noConversion"/>
  </si>
  <si>
    <t>楼层修正系数</t>
    <rPh sb="0" eb="1">
      <t>lou ceng</t>
    </rPh>
    <rPh sb="2" eb="3">
      <t>xiu zheng</t>
    </rPh>
    <rPh sb="4" eb="5">
      <t>xi shu</t>
    </rPh>
    <phoneticPr fontId="272" type="noConversion"/>
  </si>
  <si>
    <t>整体出租</t>
    <phoneticPr fontId="272" type="noConversion"/>
  </si>
  <si>
    <t>业态</t>
    <phoneticPr fontId="272" type="noConversion"/>
  </si>
  <si>
    <t>层高</t>
    <phoneticPr fontId="272" type="noConversion"/>
  </si>
  <si>
    <t>保障房中心</t>
    <phoneticPr fontId="6" type="noConversion"/>
  </si>
  <si>
    <t>G1/G3/G4/G5/G6商业楼</t>
  </si>
  <si>
    <t>下沉商业</t>
  </si>
  <si>
    <t>下沉商业</t>
    <phoneticPr fontId="16" type="noConversion"/>
  </si>
  <si>
    <t>城市之眼商业楼</t>
    <phoneticPr fontId="16" type="noConversion"/>
  </si>
  <si>
    <t>地下通廊商业</t>
  </si>
  <si>
    <t>地下通廊商业</t>
    <phoneticPr fontId="143" type="noConversion"/>
  </si>
  <si>
    <t>实测报告</t>
    <phoneticPr fontId="3" type="noConversion"/>
  </si>
  <si>
    <t>一层</t>
  </si>
  <si>
    <t>一层</t>
    <phoneticPr fontId="16" type="noConversion"/>
  </si>
  <si>
    <t>二层</t>
  </si>
  <si>
    <t>二层</t>
    <phoneticPr fontId="16" type="noConversion"/>
  </si>
  <si>
    <t>三层</t>
  </si>
  <si>
    <t>三层</t>
    <phoneticPr fontId="16" type="noConversion"/>
  </si>
  <si>
    <t>四层</t>
  </si>
  <si>
    <t>四层</t>
    <phoneticPr fontId="16" type="noConversion"/>
  </si>
  <si>
    <t>五层</t>
  </si>
  <si>
    <t>五层</t>
    <phoneticPr fontId="16" type="noConversion"/>
  </si>
  <si>
    <t>地下一层</t>
  </si>
  <si>
    <t>地下一层</t>
    <phoneticPr fontId="16" type="noConversion"/>
  </si>
  <si>
    <t>地下二层</t>
  </si>
  <si>
    <t>地下二层</t>
    <phoneticPr fontId="16" type="noConversion"/>
  </si>
  <si>
    <t>下沉商业</t>
    <phoneticPr fontId="143" type="noConversion"/>
  </si>
  <si>
    <t>地下商业</t>
    <phoneticPr fontId="3" type="noConversion"/>
  </si>
  <si>
    <t>商业</t>
    <phoneticPr fontId="7" type="noConversion"/>
  </si>
  <si>
    <t>比较法-商业</t>
  </si>
  <si>
    <t>成本法</t>
  </si>
  <si>
    <t>挂牌</t>
  </si>
  <si>
    <t>挂牌</t>
    <phoneticPr fontId="31" type="noConversion"/>
  </si>
  <si>
    <t>商业</t>
    <phoneticPr fontId="31" type="noConversion"/>
  </si>
  <si>
    <t>30-40（含）</t>
  </si>
  <si>
    <t>较差</t>
  </si>
  <si>
    <t>较差</t>
    <phoneticPr fontId="31" type="noConversion"/>
  </si>
  <si>
    <t>较好</t>
    <phoneticPr fontId="31" type="noConversion"/>
  </si>
  <si>
    <t>较好</t>
    <phoneticPr fontId="31" type="noConversion"/>
  </si>
  <si>
    <t>七通</t>
  </si>
  <si>
    <t>单面临街</t>
  </si>
  <si>
    <t>单面临街</t>
    <phoneticPr fontId="31" type="noConversion"/>
  </si>
  <si>
    <t>双面临街</t>
    <phoneticPr fontId="31" type="noConversion"/>
  </si>
  <si>
    <t>不临街</t>
  </si>
  <si>
    <t>不临街</t>
    <phoneticPr fontId="31" type="noConversion"/>
  </si>
  <si>
    <t>好</t>
    <phoneticPr fontId="31" type="noConversion"/>
  </si>
  <si>
    <t>一般</t>
    <phoneticPr fontId="31" type="noConversion"/>
  </si>
  <si>
    <t>差</t>
    <phoneticPr fontId="31" type="noConversion"/>
  </si>
  <si>
    <t>一层</t>
    <phoneticPr fontId="31" type="noConversion"/>
  </si>
  <si>
    <t>商业街</t>
    <phoneticPr fontId="31" type="noConversion"/>
  </si>
  <si>
    <t>住宅底商</t>
  </si>
  <si>
    <t>住宅底商</t>
    <phoneticPr fontId="31" type="noConversion"/>
  </si>
  <si>
    <t>钢混</t>
  </si>
  <si>
    <t>钢混</t>
    <phoneticPr fontId="31" type="noConversion"/>
  </si>
  <si>
    <t>混合</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</si>
  <si>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</si>
  <si>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</si>
  <si>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</si>
  <si>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</si>
  <si>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</si>
  <si>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建成年代</t>
    <phoneticPr fontId="31" type="noConversion"/>
  </si>
  <si>
    <t>恒大御景湾</t>
    <phoneticPr fontId="3" type="noConversion"/>
  </si>
  <si>
    <t>富力又一城C区</t>
    <phoneticPr fontId="3" type="noConversion"/>
  </si>
  <si>
    <t>垡头东里</t>
    <phoneticPr fontId="3" type="noConversion"/>
  </si>
  <si>
    <t>20-30（含）</t>
  </si>
  <si>
    <t>10-20（含）</t>
  </si>
  <si>
    <t>精装修</t>
    <phoneticPr fontId="31" type="noConversion"/>
  </si>
  <si>
    <t>普通装修</t>
  </si>
  <si>
    <t>普通装修</t>
    <phoneticPr fontId="31" type="noConversion"/>
  </si>
  <si>
    <t>简单装修</t>
    <phoneticPr fontId="31" type="noConversion"/>
  </si>
  <si>
    <t>毛坯</t>
  </si>
  <si>
    <t>毛坯</t>
    <phoneticPr fontId="31" type="noConversion"/>
  </si>
  <si>
    <t>总租金(元/天）</t>
    <phoneticPr fontId="272" type="noConversion"/>
  </si>
  <si>
    <t>收益法倒推房地产价值表外修正</t>
    <phoneticPr fontId="272" type="noConversion"/>
  </si>
  <si>
    <t>出让金</t>
    <phoneticPr fontId="272" type="noConversion"/>
  </si>
  <si>
    <t>元/平方米</t>
    <phoneticPr fontId="272" type="noConversion"/>
  </si>
  <si>
    <t>修正后房地产单价</t>
    <phoneticPr fontId="272" type="noConversion"/>
  </si>
  <si>
    <t>现房</t>
  </si>
  <si>
    <t>焦化厂公租房商业、办公面积统计表</t>
    <phoneticPr fontId="3" type="noConversion"/>
  </si>
  <si>
    <t>规划楼号</t>
    <phoneticPr fontId="3" type="noConversion"/>
  </si>
  <si>
    <t>实测楼号</t>
    <phoneticPr fontId="3" type="noConversion"/>
  </si>
  <si>
    <t>所在层次</t>
    <phoneticPr fontId="143" type="noConversion"/>
  </si>
  <si>
    <t>建筑面积（㎡）</t>
    <phoneticPr fontId="143" type="noConversion"/>
  </si>
  <si>
    <t>套内建筑面积（㎡）</t>
  </si>
  <si>
    <t>分摊面积（㎡）</t>
  </si>
  <si>
    <t>使用率（%）</t>
  </si>
  <si>
    <t>规划性质</t>
    <phoneticPr fontId="143" type="noConversion"/>
  </si>
  <si>
    <t>22#楼</t>
  </si>
  <si>
    <t>1区1号楼</t>
    <phoneticPr fontId="3" type="noConversion"/>
  </si>
  <si>
    <t>1层</t>
    <phoneticPr fontId="143" type="noConversion"/>
  </si>
  <si>
    <t>商业</t>
    <phoneticPr fontId="143" type="noConversion"/>
  </si>
  <si>
    <t>102</t>
    <phoneticPr fontId="143" type="noConversion"/>
  </si>
  <si>
    <t>103</t>
    <phoneticPr fontId="143" type="noConversion"/>
  </si>
  <si>
    <t>104</t>
    <phoneticPr fontId="143" type="noConversion"/>
  </si>
  <si>
    <t>105</t>
    <phoneticPr fontId="143" type="noConversion"/>
  </si>
  <si>
    <t>106</t>
    <phoneticPr fontId="143" type="noConversion"/>
  </si>
  <si>
    <t>1区2号楼</t>
    <phoneticPr fontId="3" type="noConversion"/>
  </si>
  <si>
    <t>-1层</t>
    <phoneticPr fontId="143" type="noConversion"/>
  </si>
  <si>
    <t>-101</t>
    <phoneticPr fontId="143" type="noConversion"/>
  </si>
  <si>
    <t>-104</t>
    <phoneticPr fontId="143" type="noConversion"/>
  </si>
  <si>
    <t>-105</t>
    <phoneticPr fontId="143" type="noConversion"/>
  </si>
  <si>
    <t>-101</t>
  </si>
  <si>
    <t>-104</t>
  </si>
  <si>
    <t>-105</t>
  </si>
  <si>
    <t>1区4号楼</t>
    <phoneticPr fontId="3" type="noConversion"/>
  </si>
  <si>
    <t>-102</t>
  </si>
  <si>
    <t>-103</t>
  </si>
  <si>
    <t>101</t>
  </si>
  <si>
    <t>102</t>
  </si>
  <si>
    <t>103</t>
  </si>
  <si>
    <t>104</t>
  </si>
  <si>
    <t>105</t>
  </si>
  <si>
    <t>21#楼</t>
  </si>
  <si>
    <t>1区6号楼</t>
    <phoneticPr fontId="3" type="noConversion"/>
  </si>
  <si>
    <t>106</t>
  </si>
  <si>
    <t>1区7号楼</t>
    <phoneticPr fontId="3" type="noConversion"/>
  </si>
  <si>
    <t>-103下跃</t>
    <phoneticPr fontId="143" type="noConversion"/>
  </si>
  <si>
    <t>-103上跃</t>
    <phoneticPr fontId="143" type="noConversion"/>
  </si>
  <si>
    <r>
      <t>2区5号楼</t>
    </r>
    <r>
      <rPr>
        <sz val="11"/>
        <color indexed="8"/>
        <rFont val="宋体"/>
        <family val="3"/>
        <charset val="134"/>
      </rPr>
      <t/>
    </r>
  </si>
  <si>
    <t>G6#楼</t>
  </si>
  <si>
    <r>
      <t>2区6号楼</t>
    </r>
    <r>
      <rPr>
        <sz val="11"/>
        <color indexed="8"/>
        <rFont val="宋体"/>
        <family val="3"/>
        <charset val="134"/>
      </rPr>
      <t/>
    </r>
    <phoneticPr fontId="3" type="noConversion"/>
  </si>
  <si>
    <t>2层</t>
    <phoneticPr fontId="143" type="noConversion"/>
  </si>
  <si>
    <t>201</t>
  </si>
  <si>
    <t>G5#楼</t>
  </si>
  <si>
    <t>3层</t>
  </si>
  <si>
    <t>301</t>
  </si>
  <si>
    <t>4层</t>
  </si>
  <si>
    <t>401</t>
  </si>
  <si>
    <t>G4#楼</t>
  </si>
  <si>
    <r>
      <t>3区5号楼</t>
    </r>
    <r>
      <rPr>
        <sz val="11"/>
        <color indexed="8"/>
        <rFont val="宋体"/>
        <family val="3"/>
        <charset val="134"/>
      </rPr>
      <t/>
    </r>
    <phoneticPr fontId="3" type="noConversion"/>
  </si>
  <si>
    <r>
      <t>3区6号楼</t>
    </r>
    <r>
      <rPr>
        <sz val="11"/>
        <color indexed="8"/>
        <rFont val="宋体"/>
        <family val="3"/>
        <charset val="134"/>
      </rPr>
      <t/>
    </r>
  </si>
  <si>
    <t>107</t>
  </si>
  <si>
    <t>108</t>
  </si>
  <si>
    <t>G11#楼</t>
  </si>
  <si>
    <r>
      <t>3区7号楼</t>
    </r>
    <r>
      <rPr>
        <sz val="11"/>
        <color indexed="8"/>
        <rFont val="宋体"/>
        <family val="3"/>
        <charset val="134"/>
      </rPr>
      <t/>
    </r>
    <phoneticPr fontId="3" type="noConversion"/>
  </si>
  <si>
    <t>G3#楼</t>
  </si>
  <si>
    <r>
      <t>3区8号楼</t>
    </r>
    <r>
      <rPr>
        <sz val="11"/>
        <color indexed="8"/>
        <rFont val="宋体"/>
        <family val="3"/>
        <charset val="134"/>
      </rPr>
      <t/>
    </r>
    <phoneticPr fontId="3" type="noConversion"/>
  </si>
  <si>
    <r>
      <t>3区9号楼</t>
    </r>
    <r>
      <rPr>
        <sz val="11"/>
        <color indexed="8"/>
        <rFont val="宋体"/>
        <family val="3"/>
        <charset val="134"/>
      </rPr>
      <t/>
    </r>
  </si>
  <si>
    <r>
      <t>3区10号楼</t>
    </r>
    <r>
      <rPr>
        <sz val="11"/>
        <color indexed="8"/>
        <rFont val="宋体"/>
        <family val="3"/>
        <charset val="134"/>
      </rPr>
      <t/>
    </r>
  </si>
  <si>
    <t>5#楼</t>
  </si>
  <si>
    <r>
      <t>4区5号楼</t>
    </r>
    <r>
      <rPr>
        <sz val="11"/>
        <color indexed="8"/>
        <rFont val="宋体"/>
        <family val="3"/>
        <charset val="134"/>
      </rPr>
      <t/>
    </r>
  </si>
  <si>
    <t>G2#楼</t>
  </si>
  <si>
    <r>
      <t>4区6号楼</t>
    </r>
    <r>
      <rPr>
        <sz val="11"/>
        <color indexed="8"/>
        <rFont val="宋体"/>
        <family val="3"/>
        <charset val="134"/>
      </rPr>
      <t/>
    </r>
    <phoneticPr fontId="3" type="noConversion"/>
  </si>
  <si>
    <t>G1#楼</t>
    <phoneticPr fontId="3" type="noConversion"/>
  </si>
  <si>
    <t>4区7号楼</t>
    <phoneticPr fontId="3" type="noConversion"/>
  </si>
  <si>
    <t>5层</t>
  </si>
  <si>
    <r>
      <t>4区8号楼</t>
    </r>
    <r>
      <rPr>
        <b/>
        <sz val="8"/>
        <color indexed="10"/>
        <rFont val="宋体"/>
        <family val="3"/>
        <charset val="134"/>
      </rPr>
      <t/>
    </r>
  </si>
  <si>
    <r>
      <t>4区9号楼</t>
    </r>
    <r>
      <rPr>
        <b/>
        <sz val="8"/>
        <color indexed="10"/>
        <rFont val="宋体"/>
        <family val="3"/>
        <charset val="134"/>
      </rPr>
      <t/>
    </r>
  </si>
  <si>
    <t>西区车库</t>
    <phoneticPr fontId="3" type="noConversion"/>
  </si>
  <si>
    <t>-2层</t>
    <phoneticPr fontId="143" type="noConversion"/>
  </si>
  <si>
    <t>-216</t>
  </si>
  <si>
    <t>-247</t>
  </si>
  <si>
    <t>-259</t>
  </si>
  <si>
    <t>-275</t>
  </si>
  <si>
    <t>-109</t>
  </si>
  <si>
    <t>-134</t>
  </si>
  <si>
    <t>-142</t>
  </si>
  <si>
    <t>-157</t>
  </si>
  <si>
    <t>合计</t>
    <phoneticPr fontId="3" type="noConversion"/>
  </si>
  <si>
    <t>1层</t>
  </si>
  <si>
    <t>-1层</t>
  </si>
  <si>
    <t>3层</t>
    <phoneticPr fontId="143" type="noConversion"/>
  </si>
  <si>
    <t>4层</t>
    <phoneticPr fontId="143" type="noConversion"/>
  </si>
  <si>
    <t>5层</t>
    <phoneticPr fontId="143" type="noConversion"/>
  </si>
  <si>
    <t>二层</t>
    <rPh sb="0" eb="1">
      <t>er</t>
    </rPh>
    <phoneticPr fontId="143" type="noConversion"/>
  </si>
  <si>
    <t>租金（元/平方米/天）</t>
    <phoneticPr fontId="272" type="noConversion"/>
  </si>
  <si>
    <t>焦化厂公租房商业增配面积明细表</t>
  </si>
  <si>
    <t>焦化厂公租房千配商业面积明细表</t>
  </si>
  <si>
    <t>四区增配</t>
  </si>
  <si>
    <t>地下增配</t>
  </si>
  <si>
    <t>一区千配</t>
  </si>
  <si>
    <t>二区千配</t>
  </si>
  <si>
    <t>三区千配</t>
  </si>
  <si>
    <t>四区千配</t>
  </si>
  <si>
    <t>楼号</t>
  </si>
  <si>
    <t>房间号</t>
  </si>
  <si>
    <t>面积</t>
  </si>
  <si>
    <t>千配总计</t>
  </si>
  <si>
    <t>增配总计</t>
  </si>
  <si>
    <t>增配+千配总面积</t>
  </si>
  <si>
    <t>地下商业面积</t>
  </si>
  <si>
    <t>底商面积</t>
  </si>
  <si>
    <t>地上独栋</t>
  </si>
  <si>
    <t>一区增配</t>
    <phoneticPr fontId="280" type="noConversion"/>
  </si>
  <si>
    <t>二区增配</t>
    <phoneticPr fontId="280" type="noConversion"/>
  </si>
  <si>
    <t>三区增配</t>
    <phoneticPr fontId="280" type="noConversion"/>
  </si>
  <si>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天）</t>
    </r>
    <phoneticPr fontId="25" type="noConversion"/>
  </si>
  <si>
    <t>元</t>
    <phoneticPr fontId="25" type="noConversion"/>
  </si>
  <si>
    <t>二层</t>
    <phoneticPr fontId="280" type="noConversion"/>
  </si>
  <si>
    <t>楼层</t>
    <phoneticPr fontId="280" type="noConversion"/>
  </si>
  <si>
    <t>一层</t>
    <phoneticPr fontId="280" type="noConversion"/>
  </si>
  <si>
    <t>三层</t>
    <phoneticPr fontId="280" type="noConversion"/>
  </si>
  <si>
    <t>四层</t>
    <phoneticPr fontId="280" type="noConversion"/>
  </si>
  <si>
    <t>五层</t>
    <phoneticPr fontId="280" type="noConversion"/>
  </si>
  <si>
    <t>一区千配</t>
    <phoneticPr fontId="280" type="noConversion"/>
  </si>
  <si>
    <t>地下一层</t>
    <phoneticPr fontId="280" type="noConversion"/>
  </si>
  <si>
    <t>地下二层</t>
    <phoneticPr fontId="280" type="noConversion"/>
  </si>
  <si>
    <t>业态调整</t>
    <phoneticPr fontId="272" type="noConversion"/>
  </si>
  <si>
    <t>7城市之眼商业楼(测绘为办公用途</t>
    <phoneticPr fontId="280" type="noConversion"/>
  </si>
  <si>
    <t>一区增配（下沉商业）</t>
    <phoneticPr fontId="280" type="noConversion"/>
  </si>
  <si>
    <t>二区增配（商业楼）</t>
    <phoneticPr fontId="280" type="noConversion"/>
  </si>
  <si>
    <t>三区增配（商业楼、办公楼）</t>
    <phoneticPr fontId="280" type="noConversion"/>
  </si>
  <si>
    <t>四区增配（商业楼）</t>
    <phoneticPr fontId="280" type="noConversion"/>
  </si>
  <si>
    <t>地下增配</t>
    <phoneticPr fontId="280" type="noConversion"/>
  </si>
  <si>
    <t>总面积</t>
  </si>
  <si>
    <t>千配商业面积总计</t>
  </si>
  <si>
    <t>G1商业楼</t>
  </si>
  <si>
    <t>G2商住楼</t>
  </si>
  <si>
    <t>4区</t>
  </si>
  <si>
    <t>3区</t>
  </si>
  <si>
    <t>2区</t>
  </si>
  <si>
    <t>1区</t>
  </si>
  <si>
    <t>千配商业</t>
  </si>
  <si>
    <t>增配商业面积总计</t>
  </si>
  <si>
    <t>G3</t>
  </si>
  <si>
    <t>G6商住楼</t>
  </si>
  <si>
    <t>增配商业</t>
  </si>
  <si>
    <t>实测面积</t>
  </si>
  <si>
    <t>实测楼号</t>
  </si>
  <si>
    <t>规划楼号</t>
  </si>
  <si>
    <t>区域</t>
  </si>
  <si>
    <t>商业类型</t>
  </si>
  <si>
    <t>焦化厂公租房商业面积汇总表</t>
  </si>
  <si>
    <t>公租房下沉商业用房</t>
    <phoneticPr fontId="280" type="noConversion"/>
  </si>
  <si>
    <t>分区</t>
    <phoneticPr fontId="280" type="noConversion"/>
  </si>
  <si>
    <t>商住楼</t>
    <phoneticPr fontId="280" type="noConversion"/>
  </si>
  <si>
    <t>商业楼</t>
    <phoneticPr fontId="280" type="noConversion"/>
  </si>
  <si>
    <t>办公</t>
    <phoneticPr fontId="280" type="noConversion"/>
  </si>
  <si>
    <t>业态</t>
    <phoneticPr fontId="280" type="noConversion"/>
  </si>
  <si>
    <t>楼号</t>
    <phoneticPr fontId="280" type="noConversion"/>
  </si>
  <si>
    <t>房间号</t>
    <phoneticPr fontId="280" type="noConversion"/>
  </si>
  <si>
    <t>面积</t>
    <phoneticPr fontId="280" type="noConversion"/>
  </si>
  <si>
    <t>分区</t>
    <phoneticPr fontId="280" type="noConversion"/>
  </si>
  <si>
    <t>增配商业</t>
    <phoneticPr fontId="280" type="noConversion"/>
  </si>
  <si>
    <t>一区</t>
    <phoneticPr fontId="280" type="noConversion"/>
  </si>
  <si>
    <t>二区</t>
    <phoneticPr fontId="280" type="noConversion"/>
  </si>
  <si>
    <t>三区</t>
    <phoneticPr fontId="280" type="noConversion"/>
  </si>
  <si>
    <t>四区</t>
    <phoneticPr fontId="280" type="noConversion"/>
  </si>
  <si>
    <t>地下通廊商业</t>
    <phoneticPr fontId="280" type="noConversion"/>
  </si>
  <si>
    <t>西区车库</t>
    <phoneticPr fontId="280" type="noConversion"/>
  </si>
  <si>
    <t>千配商业</t>
    <phoneticPr fontId="280" type="noConversion"/>
  </si>
  <si>
    <t>一区</t>
    <phoneticPr fontId="280" type="noConversion"/>
  </si>
  <si>
    <t>二区</t>
    <phoneticPr fontId="280" type="noConversion"/>
  </si>
  <si>
    <t>三区</t>
    <phoneticPr fontId="280" type="noConversion"/>
  </si>
  <si>
    <t>四区</t>
    <phoneticPr fontId="280" type="noConversion"/>
  </si>
  <si>
    <t>公租房下沉商业用房</t>
    <phoneticPr fontId="280" type="noConversion"/>
  </si>
  <si>
    <t>商业楼</t>
    <phoneticPr fontId="280" type="noConversion"/>
  </si>
  <si>
    <t>公租房下沉商业用房</t>
    <phoneticPr fontId="280" type="noConversion"/>
  </si>
  <si>
    <t>一区</t>
    <phoneticPr fontId="280" type="noConversion"/>
  </si>
  <si>
    <t>四区</t>
    <phoneticPr fontId="280" type="noConversion"/>
  </si>
  <si>
    <t>商住楼1-2层商业</t>
    <phoneticPr fontId="280" type="noConversion"/>
  </si>
  <si>
    <t>二区</t>
    <phoneticPr fontId="280" type="noConversion"/>
  </si>
  <si>
    <t>四区</t>
    <phoneticPr fontId="280" type="noConversion"/>
  </si>
  <si>
    <t>地下商业</t>
    <phoneticPr fontId="280" type="noConversion"/>
  </si>
  <si>
    <t>西区车库</t>
    <phoneticPr fontId="280" type="noConversion"/>
  </si>
  <si>
    <t>城市之眼商业楼(测绘为办公用途）</t>
    <phoneticPr fontId="280" type="noConversion"/>
  </si>
  <si>
    <t>增配商业用房</t>
    <phoneticPr fontId="280" type="noConversion"/>
  </si>
  <si>
    <t>二区</t>
    <phoneticPr fontId="280" type="noConversion"/>
  </si>
  <si>
    <t>四区</t>
    <phoneticPr fontId="280" type="noConversion"/>
  </si>
  <si>
    <t>三区</t>
    <phoneticPr fontId="280" type="noConversion"/>
  </si>
  <si>
    <t>商业楼1-2层</t>
    <phoneticPr fontId="280" type="noConversion"/>
  </si>
  <si>
    <t>合计</t>
    <phoneticPr fontId="280" type="noConversion"/>
  </si>
  <si>
    <t>总计</t>
    <phoneticPr fontId="280" type="noConversion"/>
  </si>
  <si>
    <t>楼层</t>
    <phoneticPr fontId="280" type="noConversion"/>
  </si>
  <si>
    <t>序号</t>
    <phoneticPr fontId="280" type="noConversion"/>
  </si>
  <si>
    <t>设定用途</t>
    <phoneticPr fontId="280" type="noConversion"/>
  </si>
  <si>
    <t>商业</t>
    <phoneticPr fontId="280" type="noConversion"/>
  </si>
  <si>
    <t>估价对象面积表</t>
    <phoneticPr fontId="280" type="noConversion"/>
  </si>
  <si>
    <t>一层</t>
    <phoneticPr fontId="272" type="noConversion"/>
  </si>
  <si>
    <t>二层</t>
    <phoneticPr fontId="272" type="noConversion"/>
  </si>
  <si>
    <t>小计</t>
    <phoneticPr fontId="272" type="noConversion"/>
  </si>
  <si>
    <t>商住楼</t>
    <phoneticPr fontId="272" type="noConversion"/>
  </si>
  <si>
    <t>公租房下沉商业用房</t>
    <rPh sb="0" eb="1">
      <t>xia chen</t>
    </rPh>
    <rPh sb="2" eb="3">
      <t>shang ye</t>
    </rPh>
    <phoneticPr fontId="143" type="noConversion"/>
  </si>
  <si>
    <t>千配商业用房（业态有一定限制）</t>
    <phoneticPr fontId="280" type="noConversion"/>
  </si>
  <si>
    <t>商业类别</t>
    <rPh sb="0" eb="1">
      <t>lei bie</t>
    </rPh>
    <phoneticPr fontId="143" type="noConversion"/>
  </si>
  <si>
    <t>增配商业用法</t>
    <phoneticPr fontId="272" type="noConversion"/>
  </si>
  <si>
    <t>千配商业用房（业态有一定限制）</t>
    <phoneticPr fontId="272" type="noConversion"/>
  </si>
  <si>
    <t>分类</t>
    <phoneticPr fontId="272" type="noConversion"/>
  </si>
  <si>
    <t>分类</t>
    <phoneticPr fontId="280" type="noConversion"/>
  </si>
  <si>
    <t>商业类型</t>
    <phoneticPr fontId="280" type="noConversion"/>
  </si>
  <si>
    <t>小计</t>
    <phoneticPr fontId="280" type="noConversion"/>
  </si>
  <si>
    <t>合计</t>
    <phoneticPr fontId="280" type="noConversion"/>
  </si>
  <si>
    <t>一层</t>
    <phoneticPr fontId="280" type="noConversion"/>
  </si>
  <si>
    <t>地下一层</t>
    <phoneticPr fontId="280" type="noConversion"/>
  </si>
  <si>
    <t>二层</t>
    <phoneticPr fontId="280" type="noConversion"/>
  </si>
  <si>
    <t>二层</t>
    <phoneticPr fontId="280" type="noConversion"/>
  </si>
  <si>
    <t>三层</t>
    <phoneticPr fontId="280" type="noConversion"/>
  </si>
  <si>
    <t>四层</t>
    <phoneticPr fontId="280" type="noConversion"/>
  </si>
  <si>
    <t>五层</t>
    <phoneticPr fontId="280" type="noConversion"/>
  </si>
  <si>
    <t>地下一层</t>
    <phoneticPr fontId="280" type="noConversion"/>
  </si>
  <si>
    <t>地下二层</t>
    <phoneticPr fontId="280" type="noConversion"/>
  </si>
  <si>
    <t>租金单价（元/平方米/天）</t>
    <phoneticPr fontId="280" type="noConversion"/>
  </si>
  <si>
    <t>租金（元/天）</t>
    <phoneticPr fontId="280" type="noConversion"/>
  </si>
  <si>
    <t>总计</t>
    <phoneticPr fontId="280" type="noConversion"/>
  </si>
  <si>
    <t>建筑面积（平方米）</t>
    <phoneticPr fontId="280" type="noConversion"/>
  </si>
  <si>
    <t>租金单价（元/平方米/天）</t>
    <phoneticPr fontId="280" type="noConversion"/>
  </si>
  <si>
    <t>G1、G2、G3、G4、G5、G6商业楼</t>
    <phoneticPr fontId="280"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</si>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</sst>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 "/>
  </numFmts>
  <fonts count="29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u/>
      <sz val="11"/>
      <color theme="10"/>
      <name val="DengXian"/>
      <family val="4"/>
      <charset val="134"/>
      <scheme val="minor"/>
    </font>
    <font>
      <u/>
      <sz val="11"/>
      <color theme="11"/>
      <name val="DengXian"/>
      <family val="4"/>
      <charset val="134"/>
      <scheme val="minor"/>
    </font>
    <font>
      <sz val="11"/>
      <color rgb="FF000000"/>
      <name val="DengXian"/>
      <family val="4"/>
      <charset val="134"/>
      <scheme val="minor"/>
    </font>
    <font>
      <sz val="10"/>
      <name val="DengXian"/>
      <family val="3"/>
      <charset val="134"/>
      <scheme val="minor"/>
    </font>
    <font>
      <sz val="10"/>
      <color rgb="FFFF0000"/>
      <name val="DengXian"/>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3"/>
      <charset val="134"/>
      <scheme val="major"/>
    </font>
    <font>
      <sz val="10"/>
      <name val="DengXian Light"/>
      <family val="3"/>
      <charset val="134"/>
      <scheme val="major"/>
    </font>
    <font>
      <sz val="9"/>
      <color theme="1"/>
      <name val="DengXian"/>
      <family val="3"/>
      <charset val="134"/>
      <scheme val="minor"/>
    </font>
    <font>
      <sz val="10"/>
      <color theme="1"/>
      <name val="DengXian Light"/>
      <family val="3"/>
      <charset val="134"/>
      <scheme val="major"/>
    </font>
    <font>
      <sz val="10"/>
      <color indexed="10"/>
      <name val="仿宋_GB2312"/>
      <family val="3"/>
      <charset val="134"/>
    </font>
    <font>
      <b/>
      <sz val="9"/>
      <name val="DengXian"/>
      <family val="3"/>
      <charset val="134"/>
      <scheme val="minor"/>
    </font>
    <font>
      <b/>
      <sz val="9"/>
      <color indexed="10"/>
      <name val="宋体"/>
      <family val="3"/>
      <charset val="134"/>
    </font>
    <font>
      <b/>
      <sz val="9"/>
      <name val="宋体"/>
      <family val="3"/>
      <charset val="134"/>
    </font>
    <font>
      <sz val="9"/>
      <color rgb="FFFF0000"/>
      <name val="DengXian"/>
      <family val="3"/>
      <charset val="134"/>
      <scheme val="minor"/>
    </font>
    <font>
      <sz val="9"/>
      <name val="DengXian"/>
      <family val="4"/>
      <charset val="134"/>
      <scheme val="minor"/>
    </font>
    <font>
      <sz val="11"/>
      <color rgb="FFFF0000"/>
      <name val="DengXian"/>
      <family val="4"/>
      <charset val="134"/>
      <scheme val="minor"/>
    </font>
    <font>
      <sz val="18"/>
      <color theme="1"/>
      <name val="DengXian"/>
      <family val="4"/>
      <charset val="134"/>
      <scheme val="minor"/>
    </font>
    <font>
      <sz val="20"/>
      <color theme="1"/>
      <name val="DengXian"/>
      <family val="4"/>
      <charset val="134"/>
      <scheme val="minor"/>
    </font>
    <font>
      <sz val="9"/>
      <name val="DengXian"/>
      <family val="4"/>
      <charset val="134"/>
      <scheme val="minor"/>
    </font>
    <font>
      <b/>
      <sz val="8"/>
      <color indexed="10"/>
      <name val="宋体"/>
      <family val="3"/>
      <charset val="134"/>
    </font>
    <font>
      <sz val="11"/>
      <color rgb="FF000000"/>
      <name val="宋体"/>
      <family val="3"/>
      <charset val="134"/>
    </font>
    <font>
      <sz val="22"/>
      <color theme="1"/>
      <name val="方正小标宋简体"/>
      <charset val="134"/>
    </font>
    <font>
      <sz val="9"/>
      <name val="DengXian"/>
      <charset val="134"/>
      <scheme val="minor"/>
    </font>
    <font>
      <sz val="14"/>
      <color theme="1"/>
      <name val="黑体"/>
      <family val="3"/>
      <charset val="134"/>
    </font>
    <font>
      <sz val="12"/>
      <color theme="1"/>
      <name val="仿宋_GB2312"/>
      <charset val="134"/>
    </font>
    <font>
      <sz val="12"/>
      <name val="仿宋_GB2312"/>
      <charset val="134"/>
    </font>
    <font>
      <sz val="12"/>
      <color indexed="8"/>
      <name val="仿宋_GB2312"/>
      <charset val="134"/>
    </font>
    <font>
      <sz val="11"/>
      <color theme="1"/>
      <name val="仿宋_GB2312"/>
      <charset val="134"/>
    </font>
    <font>
      <sz val="12"/>
      <color theme="1"/>
      <name val="黑体"/>
      <family val="3"/>
      <charset val="134"/>
    </font>
    <font>
      <sz val="14"/>
      <color theme="1"/>
      <name val="仿宋_GB2312"/>
      <charset val="134"/>
    </font>
    <font>
      <sz val="24"/>
      <color theme="1"/>
      <name val="方正小标宋简体"/>
      <charset val="134"/>
    </font>
    <font>
      <sz val="10"/>
      <color theme="1"/>
      <name val="DengXian"/>
      <charset val="134"/>
      <scheme val="minor"/>
    </font>
    <font>
      <sz val="10"/>
      <color rgb="FFFF0000"/>
      <name val="DengXian"/>
      <charset val="134"/>
      <scheme val="minor"/>
    </font>
    <font>
      <b/>
      <sz val="10"/>
      <color rgb="FFFF0000"/>
      <name val="DengXian"/>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66CCFF"/>
        <bgColor indexed="64"/>
      </patternFill>
    </fill>
    <fill>
      <patternFill patternType="solid">
        <fgColor indexed="5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DA9694"/>
        <bgColor rgb="FF000000"/>
      </patternFill>
    </fill>
    <fill>
      <patternFill patternType="solid">
        <fgColor theme="5" tint="0.39997558519241921"/>
        <bgColor rgb="FF000000"/>
      </patternFill>
    </fill>
    <fill>
      <patternFill patternType="solid">
        <fgColor theme="6" tint="0.3999755851924192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9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cellStyleXfs>
  <cellXfs count="37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0" fillId="0" borderId="1" xfId="0" applyBorder="1" applyAlignment="1">
      <alignment horizontal="center" vertical="center"/>
    </xf>
    <xf numFmtId="0" fontId="0" fillId="0" borderId="0" xfId="0" applyAlignment="1">
      <alignment horizontal="center" vertical="center"/>
    </xf>
    <xf numFmtId="0" fontId="0" fillId="5" borderId="1" xfId="0" applyFill="1" applyBorder="1" applyAlignment="1">
      <alignment horizontal="center" vertical="center"/>
    </xf>
    <xf numFmtId="0" fontId="0" fillId="0" borderId="1" xfId="0" applyFill="1" applyBorder="1" applyAlignment="1">
      <alignment horizontal="center" vertical="center"/>
    </xf>
    <xf numFmtId="0" fontId="257" fillId="0" borderId="0" xfId="0" applyFont="1" applyAlignment="1">
      <alignment horizontal="center" vertical="center"/>
    </xf>
    <xf numFmtId="0" fontId="257" fillId="0" borderId="1" xfId="0" applyFont="1"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0" xfId="0" applyFill="1" applyAlignment="1">
      <alignment horizontal="center" vertical="center"/>
    </xf>
    <xf numFmtId="0" fontId="0" fillId="17" borderId="1" xfId="0" applyFill="1" applyBorder="1" applyAlignment="1">
      <alignment horizontal="center" vertical="center"/>
    </xf>
    <xf numFmtId="0" fontId="0" fillId="17" borderId="0" xfId="0" applyFill="1" applyBorder="1" applyAlignment="1">
      <alignment horizontal="center" vertical="center" wrapText="1"/>
    </xf>
    <xf numFmtId="0" fontId="0" fillId="17" borderId="0" xfId="0" applyFill="1" applyBorder="1" applyAlignment="1">
      <alignment horizontal="center" vertical="center"/>
    </xf>
    <xf numFmtId="0" fontId="0" fillId="0" borderId="0" xfId="0" applyFont="1" applyBorder="1" applyAlignment="1">
      <alignment vertical="center"/>
    </xf>
    <xf numFmtId="0" fontId="258" fillId="0" borderId="1" xfId="0" applyNumberFormat="1" applyFont="1" applyBorder="1" applyAlignment="1">
      <alignment horizontal="left" vertical="center" wrapText="1" shrinkToFit="1"/>
    </xf>
    <xf numFmtId="9" fontId="259"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6" fillId="0" borderId="1" xfId="0" applyNumberFormat="1" applyFont="1" applyFill="1" applyBorder="1" applyAlignment="1">
      <alignment horizontal="center" vertical="center" wrapText="1" shrinkToFit="1"/>
    </xf>
    <xf numFmtId="0" fontId="116" fillId="0" borderId="1" xfId="0" applyFont="1" applyFill="1" applyBorder="1" applyAlignment="1">
      <alignment vertical="center" wrapText="1" shrinkToFit="1"/>
    </xf>
    <xf numFmtId="0" fontId="116" fillId="0" borderId="1" xfId="0" applyFont="1" applyFill="1" applyBorder="1" applyAlignment="1">
      <alignment horizontal="center" vertical="center" wrapText="1" shrinkToFit="1"/>
    </xf>
    <xf numFmtId="49" fontId="258" fillId="0" borderId="1" xfId="0" applyNumberFormat="1" applyFont="1" applyBorder="1" applyAlignment="1">
      <alignment horizontal="center" vertical="center" wrapText="1" shrinkToFit="1"/>
    </xf>
    <xf numFmtId="0" fontId="113" fillId="0" borderId="0" xfId="0" applyFont="1" applyAlignment="1">
      <alignment wrapText="1"/>
    </xf>
    <xf numFmtId="0" fontId="116" fillId="0" borderId="1" xfId="0" applyFont="1" applyBorder="1" applyAlignment="1">
      <alignment horizontal="center" vertical="center" wrapText="1" shrinkToFit="1"/>
    </xf>
    <xf numFmtId="0" fontId="116" fillId="0" borderId="1" xfId="0" applyFont="1" applyFill="1" applyBorder="1" applyAlignment="1">
      <alignment horizontal="left" vertical="center" wrapText="1" shrinkToFit="1"/>
    </xf>
    <xf numFmtId="0" fontId="116" fillId="0" borderId="1" xfId="0" applyFont="1" applyBorder="1" applyAlignment="1">
      <alignment horizontal="left" vertical="center" wrapText="1" shrinkToFit="1"/>
    </xf>
    <xf numFmtId="0" fontId="113" fillId="0" borderId="0" xfId="0" applyFont="1" applyFill="1" applyAlignment="1">
      <alignment wrapText="1"/>
    </xf>
    <xf numFmtId="9" fontId="116" fillId="0" borderId="1" xfId="0" applyNumberFormat="1" applyFont="1" applyFill="1" applyBorder="1" applyAlignment="1">
      <alignment horizontal="left" vertical="center" wrapText="1" shrinkToFit="1"/>
    </xf>
    <xf numFmtId="181" fontId="262" fillId="0" borderId="1" xfId="0" applyNumberFormat="1" applyFont="1" applyFill="1" applyBorder="1" applyAlignment="1">
      <alignment horizontal="center" vertical="center" wrapText="1" shrinkToFit="1"/>
    </xf>
    <xf numFmtId="9" fontId="263" fillId="0" borderId="1" xfId="0" applyNumberFormat="1" applyFont="1" applyFill="1" applyBorder="1" applyAlignment="1">
      <alignment horizontal="center" vertical="center" wrapText="1"/>
    </xf>
    <xf numFmtId="179" fontId="262" fillId="0" borderId="1" xfId="0" applyNumberFormat="1" applyFont="1" applyFill="1" applyBorder="1" applyAlignment="1">
      <alignment horizontal="center" vertical="center" wrapText="1" shrinkToFit="1"/>
    </xf>
    <xf numFmtId="0" fontId="116" fillId="0" borderId="0" xfId="0" applyFont="1" applyFill="1" applyBorder="1" applyAlignment="1">
      <alignment horizontal="center" vertical="center"/>
    </xf>
    <xf numFmtId="9" fontId="264" fillId="18"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6" fillId="0" borderId="0" xfId="0" applyNumberFormat="1" applyFont="1" applyBorder="1" applyAlignment="1">
      <alignment horizontal="center" vertical="center"/>
    </xf>
    <xf numFmtId="0" fontId="113" fillId="0" borderId="1" xfId="0" applyNumberFormat="1" applyFont="1" applyBorder="1" applyAlignment="1">
      <alignment vertical="center" wrapText="1"/>
    </xf>
    <xf numFmtId="0" fontId="113" fillId="0" borderId="1" xfId="0" applyNumberFormat="1" applyFont="1" applyBorder="1" applyAlignment="1">
      <alignment horizontal="center" vertical="center" wrapText="1"/>
    </xf>
    <xf numFmtId="9" fontId="258" fillId="0" borderId="1" xfId="0" applyNumberFormat="1" applyFont="1" applyFill="1" applyBorder="1" applyAlignment="1">
      <alignment horizontal="center" vertical="center" wrapText="1"/>
    </xf>
    <xf numFmtId="9" fontId="113" fillId="0" borderId="1" xfId="0" applyNumberFormat="1" applyFont="1" applyBorder="1" applyAlignment="1">
      <alignment horizontal="center" vertical="center" wrapText="1"/>
    </xf>
    <xf numFmtId="179" fontId="265" fillId="0" borderId="0" xfId="0" applyNumberFormat="1" applyFont="1" applyAlignment="1">
      <alignment vertical="center"/>
    </xf>
    <xf numFmtId="10" fontId="113" fillId="0" borderId="1" xfId="0" applyNumberFormat="1" applyFont="1" applyBorder="1" applyAlignment="1">
      <alignment horizontal="center" vertical="center" wrapText="1"/>
    </xf>
    <xf numFmtId="9" fontId="113" fillId="18" borderId="1" xfId="0" applyNumberFormat="1" applyFont="1" applyFill="1" applyBorder="1" applyAlignment="1">
      <alignment horizontal="center" vertical="center" wrapText="1"/>
    </xf>
    <xf numFmtId="10" fontId="119" fillId="0" borderId="1" xfId="0" applyNumberFormat="1" applyFont="1" applyBorder="1" applyAlignment="1">
      <alignment horizontal="center" vertical="center" wrapText="1"/>
    </xf>
    <xf numFmtId="0" fontId="113" fillId="0" borderId="1" xfId="0" applyFont="1" applyBorder="1" applyAlignment="1">
      <alignment wrapText="1"/>
    </xf>
    <xf numFmtId="0" fontId="0" fillId="0" borderId="0" xfId="0" applyFont="1" applyAlignment="1">
      <alignment vertical="center"/>
    </xf>
    <xf numFmtId="0" fontId="130" fillId="0" borderId="0" xfId="1" applyFont="1" applyBorder="1" applyAlignment="1" applyProtection="1">
      <alignment horizontal="left" vertical="center"/>
      <protection hidden="1"/>
    </xf>
    <xf numFmtId="179" fontId="265" fillId="0" borderId="0" xfId="0" applyNumberFormat="1" applyFont="1" applyAlignment="1">
      <alignment vertical="center" wrapText="1" shrinkToFit="1"/>
    </xf>
    <xf numFmtId="181" fontId="116"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6" fillId="0" borderId="13" xfId="0" applyNumberFormat="1" applyFont="1" applyFill="1" applyBorder="1" applyAlignment="1">
      <alignment horizontal="center" vertical="center" wrapText="1" shrinkToFit="1"/>
    </xf>
    <xf numFmtId="0" fontId="116" fillId="0" borderId="13" xfId="0" applyFont="1" applyFill="1" applyBorder="1" applyAlignment="1">
      <alignment vertical="center" wrapText="1" shrinkToFit="1"/>
    </xf>
    <xf numFmtId="0" fontId="116" fillId="0" borderId="5" xfId="0" applyFont="1" applyFill="1" applyBorder="1" applyAlignment="1">
      <alignment horizontal="center" vertical="center" wrapText="1" shrinkToFit="1"/>
    </xf>
    <xf numFmtId="0" fontId="116" fillId="0" borderId="54" xfId="0" applyFont="1" applyFill="1" applyBorder="1" applyAlignment="1">
      <alignment horizontal="center" vertical="center" wrapText="1" shrinkToFit="1"/>
    </xf>
    <xf numFmtId="180" fontId="116" fillId="0" borderId="54" xfId="0" applyNumberFormat="1" applyFont="1" applyFill="1" applyBorder="1" applyAlignment="1">
      <alignment horizontal="center" vertical="center" wrapText="1" shrinkToFit="1"/>
    </xf>
    <xf numFmtId="0" fontId="116" fillId="0" borderId="3" xfId="0" applyFont="1" applyFill="1" applyBorder="1" applyAlignment="1">
      <alignment horizontal="left" vertical="center" wrapText="1" shrinkToFit="1"/>
    </xf>
    <xf numFmtId="0" fontId="262" fillId="0" borderId="1" xfId="0" applyNumberFormat="1" applyFont="1" applyFill="1" applyBorder="1" applyAlignment="1">
      <alignment horizontal="center" vertical="center" wrapText="1" shrinkToFit="1"/>
    </xf>
    <xf numFmtId="10" fontId="116" fillId="0" borderId="1" xfId="0" applyNumberFormat="1" applyFont="1" applyFill="1" applyBorder="1" applyAlignment="1">
      <alignment horizontal="center" vertical="center" wrapText="1" shrinkToFit="1"/>
    </xf>
    <xf numFmtId="9" fontId="116" fillId="0" borderId="0" xfId="0" applyNumberFormat="1" applyFont="1" applyFill="1" applyBorder="1" applyAlignment="1">
      <alignment horizontal="center" vertical="center"/>
    </xf>
    <xf numFmtId="0" fontId="116" fillId="0" borderId="5" xfId="0" applyFont="1" applyFill="1" applyBorder="1" applyAlignment="1">
      <alignment horizontal="right" vertical="center" wrapText="1" shrinkToFit="1"/>
    </xf>
    <xf numFmtId="49" fontId="116" fillId="0" borderId="54" xfId="0" applyNumberFormat="1" applyFont="1" applyFill="1" applyBorder="1" applyAlignment="1">
      <alignment horizontal="center" vertical="center" wrapText="1" shrinkToFit="1"/>
    </xf>
    <xf numFmtId="10" fontId="117" fillId="0" borderId="0" xfId="0" applyNumberFormat="1" applyFont="1" applyFill="1" applyBorder="1" applyAlignment="1">
      <alignment horizontal="center" vertical="center"/>
    </xf>
    <xf numFmtId="0" fontId="266" fillId="0" borderId="0" xfId="0" applyFont="1" applyFill="1" applyAlignment="1">
      <alignment vertical="center"/>
    </xf>
    <xf numFmtId="183" fontId="116" fillId="0" borderId="0" xfId="0" applyNumberFormat="1" applyFont="1" applyFill="1" applyBorder="1" applyAlignment="1">
      <alignment horizontal="center" vertical="center"/>
    </xf>
    <xf numFmtId="9" fontId="116" fillId="0" borderId="1" xfId="0" applyNumberFormat="1" applyFont="1" applyFill="1" applyBorder="1" applyAlignment="1">
      <alignment horizontal="center" vertical="center" wrapText="1" shrinkToFit="1"/>
    </xf>
    <xf numFmtId="10" fontId="116"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6" fillId="0" borderId="0" xfId="0" applyFont="1" applyBorder="1" applyAlignment="1">
      <alignment horizontal="center" vertical="center"/>
    </xf>
    <xf numFmtId="0" fontId="265" fillId="0" borderId="0" xfId="0" applyFont="1" applyAlignment="1">
      <alignment horizontal="center" vertical="center" wrapText="1"/>
    </xf>
    <xf numFmtId="0" fontId="265" fillId="0" borderId="0" xfId="0" applyFont="1" applyAlignment="1">
      <alignment vertical="center" wrapText="1"/>
    </xf>
    <xf numFmtId="0" fontId="143" fillId="0" borderId="1" xfId="0" applyFont="1" applyBorder="1" applyAlignment="1">
      <alignment horizontal="center" vertical="center" wrapText="1"/>
    </xf>
    <xf numFmtId="0" fontId="143" fillId="0" borderId="1" xfId="0" applyFont="1" applyFill="1" applyBorder="1" applyAlignment="1">
      <alignment horizontal="center" vertical="center" wrapText="1"/>
    </xf>
    <xf numFmtId="0" fontId="265" fillId="5" borderId="0" xfId="0" applyFont="1" applyFill="1" applyAlignment="1">
      <alignment vertical="center" wrapText="1"/>
    </xf>
    <xf numFmtId="178" fontId="0" fillId="5" borderId="0" xfId="0" applyNumberFormat="1" applyFont="1" applyFill="1" applyAlignment="1">
      <alignment vertical="center" wrapText="1"/>
    </xf>
    <xf numFmtId="9" fontId="143" fillId="0" borderId="1" xfId="0" applyNumberFormat="1" applyFont="1" applyFill="1" applyBorder="1" applyAlignment="1">
      <alignment horizontal="center" vertical="center" wrapText="1"/>
    </xf>
    <xf numFmtId="0" fontId="0" fillId="5" borderId="0" xfId="0" applyFont="1" applyFill="1" applyAlignment="1">
      <alignment vertical="center" wrapText="1"/>
    </xf>
    <xf numFmtId="178" fontId="143" fillId="0" borderId="1" xfId="0" applyNumberFormat="1" applyFont="1" applyFill="1" applyBorder="1" applyAlignment="1">
      <alignment horizontal="center" vertical="center" wrapText="1"/>
    </xf>
    <xf numFmtId="0" fontId="271" fillId="0" borderId="0" xfId="0" applyFont="1" applyFill="1" applyAlignment="1">
      <alignment horizontal="center" vertical="center" wrapText="1"/>
    </xf>
    <xf numFmtId="0" fontId="265" fillId="0" borderId="1" xfId="0" applyFont="1" applyBorder="1" applyAlignment="1">
      <alignment horizontal="center" vertical="center" wrapText="1"/>
    </xf>
    <xf numFmtId="0" fontId="265" fillId="0" borderId="0" xfId="0" applyFont="1" applyAlignment="1">
      <alignment horizontal="left" vertical="center" wrapText="1"/>
    </xf>
    <xf numFmtId="179" fontId="265" fillId="0" borderId="0" xfId="0" applyNumberFormat="1" applyFont="1" applyFill="1" applyAlignment="1">
      <alignment vertical="center" wrapText="1"/>
    </xf>
    <xf numFmtId="0" fontId="265"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1" xfId="0" applyBorder="1" applyAlignment="1">
      <alignment vertical="center"/>
    </xf>
    <xf numFmtId="0" fontId="0" fillId="0" borderId="0" xfId="0" applyAlignment="1">
      <alignment vertical="center"/>
    </xf>
    <xf numFmtId="0" fontId="0" fillId="5" borderId="0" xfId="0" applyFill="1" applyAlignment="1">
      <alignment horizontal="center" vertical="center"/>
    </xf>
    <xf numFmtId="0" fontId="0" fillId="17" borderId="0" xfId="0" applyFill="1" applyAlignment="1">
      <alignment vertical="center"/>
    </xf>
    <xf numFmtId="0" fontId="0" fillId="17" borderId="1" xfId="0" applyFill="1" applyBorder="1" applyAlignment="1">
      <alignment vertical="center"/>
    </xf>
    <xf numFmtId="0" fontId="0" fillId="0" borderId="1" xfId="0" applyFont="1" applyBorder="1" applyAlignment="1" applyProtection="1">
      <alignment horizontal="left" vertical="center"/>
      <protection locked="0"/>
    </xf>
    <xf numFmtId="177" fontId="137" fillId="0" borderId="3" xfId="1" applyNumberFormat="1" applyFont="1" applyFill="1" applyBorder="1" applyAlignment="1" applyProtection="1">
      <alignment vertical="center"/>
      <protection locked="0"/>
    </xf>
    <xf numFmtId="177" fontId="137" fillId="0" borderId="1" xfId="1" applyNumberFormat="1" applyFont="1" applyFill="1" applyBorder="1" applyAlignment="1" applyProtection="1">
      <alignment vertical="center"/>
      <protection locked="0"/>
    </xf>
    <xf numFmtId="0" fontId="273" fillId="0" borderId="0" xfId="0" applyFont="1" applyAlignment="1">
      <alignment vertical="center" wrapText="1"/>
    </xf>
    <xf numFmtId="179" fontId="116" fillId="20" borderId="1" xfId="0" applyNumberFormat="1" applyFont="1" applyFill="1" applyBorder="1" applyAlignment="1">
      <alignment horizontal="center" vertical="center" wrapText="1" shrinkToFit="1"/>
    </xf>
    <xf numFmtId="0" fontId="0" fillId="0" borderId="1" xfId="0" applyBorder="1" applyAlignment="1">
      <alignment horizontal="center" vertical="center"/>
    </xf>
    <xf numFmtId="0" fontId="211" fillId="0" borderId="1" xfId="0" applyFont="1" applyBorder="1" applyAlignment="1">
      <alignment horizontal="center" vertical="center"/>
    </xf>
    <xf numFmtId="0" fontId="211" fillId="0" borderId="1" xfId="0" applyFont="1" applyBorder="1" applyAlignment="1">
      <alignment horizontal="center" vertical="center" wrapText="1"/>
    </xf>
    <xf numFmtId="179" fontId="19" fillId="0" borderId="0" xfId="0" applyNumberFormat="1" applyFont="1" applyFill="1" applyBorder="1" applyAlignment="1" applyProtection="1">
      <alignment horizontal="center" vertical="center" shrinkToFit="1"/>
    </xf>
    <xf numFmtId="179" fontId="0" fillId="0" borderId="0" xfId="0" applyNumberFormat="1" applyBorder="1">
      <alignment vertical="center"/>
    </xf>
    <xf numFmtId="0" fontId="0" fillId="0" borderId="0" xfId="0" applyBorder="1">
      <alignment vertical="center"/>
    </xf>
    <xf numFmtId="0" fontId="0" fillId="0" borderId="1" xfId="0" applyBorder="1" applyAlignment="1">
      <alignment horizontal="center" vertical="center" wrapText="1"/>
    </xf>
    <xf numFmtId="0" fontId="211" fillId="21" borderId="1" xfId="0" applyFont="1" applyFill="1" applyBorder="1" applyAlignment="1">
      <alignment horizontal="center" vertical="center"/>
    </xf>
    <xf numFmtId="0" fontId="0" fillId="5" borderId="1" xfId="0" applyFill="1" applyBorder="1" applyAlignment="1">
      <alignment horizontal="center" vertical="center" wrapText="1"/>
    </xf>
    <xf numFmtId="0" fontId="0" fillId="21" borderId="1" xfId="0" applyFill="1" applyBorder="1" applyAlignment="1">
      <alignment horizontal="center" vertical="center" wrapText="1"/>
    </xf>
    <xf numFmtId="0" fontId="257"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5" xfId="0" applyBorder="1" applyAlignment="1">
      <alignment vertical="center" wrapText="1"/>
    </xf>
    <xf numFmtId="0" fontId="0" fillId="0" borderId="2" xfId="0" applyBorder="1" applyAlignment="1">
      <alignment vertical="center" wrapText="1"/>
    </xf>
    <xf numFmtId="0" fontId="0" fillId="0" borderId="1" xfId="0" applyFill="1" applyBorder="1" applyAlignment="1">
      <alignment vertical="center" wrapText="1"/>
    </xf>
    <xf numFmtId="0" fontId="0" fillId="5" borderId="0" xfId="0" applyFill="1" applyAlignment="1">
      <alignment horizontal="center" vertical="center" wrapText="1"/>
    </xf>
    <xf numFmtId="0" fontId="0" fillId="0" borderId="3" xfId="0" applyBorder="1" applyAlignment="1">
      <alignment horizontal="center" vertical="center" wrapText="1"/>
    </xf>
    <xf numFmtId="0" fontId="0" fillId="0" borderId="13" xfId="0" applyFill="1" applyBorder="1" applyAlignment="1">
      <alignment vertical="center" wrapText="1"/>
    </xf>
    <xf numFmtId="0" fontId="0" fillId="0" borderId="13" xfId="0" applyFill="1" applyBorder="1" applyAlignment="1">
      <alignment horizontal="center" vertical="center" wrapText="1"/>
    </xf>
    <xf numFmtId="0" fontId="0" fillId="21" borderId="0" xfId="0" applyFill="1" applyAlignment="1">
      <alignment horizontal="center" vertical="center" wrapText="1"/>
    </xf>
    <xf numFmtId="0" fontId="0" fillId="0" borderId="1" xfId="0" applyBorder="1" applyAlignment="1">
      <alignment horizontal="center"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22" borderId="5" xfId="0" applyFont="1" applyFill="1" applyBorder="1" applyAlignment="1" applyProtection="1">
      <alignment horizontal="center" vertical="center" wrapText="1"/>
    </xf>
    <xf numFmtId="0" fontId="0" fillId="17" borderId="1" xfId="0" applyFill="1" applyBorder="1" applyAlignment="1">
      <alignment horizontal="center" vertical="center" wrapText="1"/>
    </xf>
    <xf numFmtId="0" fontId="0" fillId="15" borderId="1" xfId="0" applyFill="1" applyBorder="1" applyAlignment="1">
      <alignment horizontal="center" vertical="center" wrapText="1"/>
    </xf>
    <xf numFmtId="0" fontId="0" fillId="0" borderId="1" xfId="0" applyBorder="1" applyAlignment="1">
      <alignment horizontal="center" vertical="center" wrapText="1"/>
    </xf>
    <xf numFmtId="0" fontId="0" fillId="15" borderId="1" xfId="0" applyFill="1" applyBorder="1" applyAlignment="1">
      <alignment horizontal="center" vertical="center" wrapText="1"/>
    </xf>
    <xf numFmtId="0" fontId="137" fillId="0" borderId="0" xfId="0" applyFont="1" applyFill="1" applyBorder="1" applyAlignment="1">
      <alignment horizontal="center" vertical="center"/>
    </xf>
    <xf numFmtId="0" fontId="202" fillId="0" borderId="1" xfId="0" applyFont="1" applyFill="1" applyBorder="1" applyAlignment="1">
      <alignment horizontal="center" vertical="center" wrapText="1"/>
    </xf>
    <xf numFmtId="49" fontId="202" fillId="0" borderId="1" xfId="0" applyNumberFormat="1" applyFont="1" applyFill="1" applyBorder="1" applyAlignment="1">
      <alignment horizontal="center" vertical="center" wrapText="1"/>
    </xf>
    <xf numFmtId="0" fontId="100" fillId="0" borderId="1" xfId="0" applyFont="1" applyBorder="1" applyAlignment="1">
      <alignment horizontal="center" vertical="center" wrapText="1"/>
    </xf>
    <xf numFmtId="0" fontId="137" fillId="0" borderId="0" xfId="0" applyFont="1" applyFill="1" applyBorder="1" applyAlignment="1">
      <alignment horizontal="center" vertical="center" wrapText="1"/>
    </xf>
    <xf numFmtId="49" fontId="137" fillId="0" borderId="1" xfId="0" applyNumberFormat="1" applyFont="1" applyFill="1" applyBorder="1" applyAlignment="1">
      <alignment horizontal="center" vertical="center"/>
    </xf>
    <xf numFmtId="176" fontId="137" fillId="0" borderId="1" xfId="0" applyNumberFormat="1" applyFont="1" applyFill="1" applyBorder="1" applyAlignment="1">
      <alignment horizontal="center" vertical="center"/>
    </xf>
    <xf numFmtId="10" fontId="137" fillId="0" borderId="1" xfId="0" applyNumberFormat="1" applyFont="1" applyFill="1" applyBorder="1" applyAlignment="1">
      <alignment horizontal="center" vertical="center"/>
    </xf>
    <xf numFmtId="0" fontId="202" fillId="0" borderId="1" xfId="0" applyFont="1" applyFill="1" applyBorder="1" applyAlignment="1">
      <alignment horizontal="center" vertical="center"/>
    </xf>
    <xf numFmtId="0" fontId="137" fillId="0" borderId="1" xfId="0" applyFont="1" applyFill="1" applyBorder="1" applyAlignment="1">
      <alignment horizontal="center" vertical="center"/>
    </xf>
    <xf numFmtId="49" fontId="98" fillId="0" borderId="1" xfId="0" applyNumberFormat="1" applyFont="1" applyFill="1" applyBorder="1" applyAlignment="1" applyProtection="1">
      <alignment horizontal="center" vertical="center" shrinkToFit="1"/>
    </xf>
    <xf numFmtId="0" fontId="98" fillId="0" borderId="1" xfId="0" applyNumberFormat="1" applyFont="1" applyFill="1" applyBorder="1" applyAlignment="1" applyProtection="1">
      <alignment horizontal="center" vertical="center" shrinkToFit="1"/>
    </xf>
    <xf numFmtId="0" fontId="137" fillId="0" borderId="1" xfId="0" applyNumberFormat="1" applyFont="1" applyFill="1" applyBorder="1" applyAlignment="1" applyProtection="1">
      <alignment horizontal="center" vertical="center" shrinkToFit="1"/>
    </xf>
    <xf numFmtId="179" fontId="98" fillId="0" borderId="1" xfId="0" applyNumberFormat="1" applyFont="1" applyFill="1" applyBorder="1" applyAlignment="1" applyProtection="1">
      <alignment horizontal="center" vertical="center" shrinkToFit="1"/>
    </xf>
    <xf numFmtId="176" fontId="137" fillId="0" borderId="1" xfId="0" applyNumberFormat="1" applyFont="1" applyFill="1" applyBorder="1" applyAlignment="1" applyProtection="1">
      <alignment horizontal="center" vertical="center" shrinkToFit="1"/>
    </xf>
    <xf numFmtId="197" fontId="98" fillId="0" borderId="1" xfId="0" applyNumberFormat="1" applyFont="1" applyFill="1" applyBorder="1" applyAlignment="1" applyProtection="1">
      <alignment horizontal="center" vertical="center" shrinkToFit="1"/>
    </xf>
    <xf numFmtId="176" fontId="155" fillId="0" borderId="1" xfId="0" applyNumberFormat="1" applyFont="1" applyFill="1" applyBorder="1" applyAlignment="1">
      <alignment horizontal="center" vertical="center"/>
    </xf>
    <xf numFmtId="0" fontId="202" fillId="0" borderId="0" xfId="0" applyFont="1" applyFill="1" applyBorder="1" applyAlignment="1">
      <alignment horizontal="center" vertical="center"/>
    </xf>
    <xf numFmtId="49" fontId="137" fillId="0" borderId="0" xfId="0" applyNumberFormat="1" applyFont="1" applyFill="1" applyBorder="1" applyAlignment="1">
      <alignment horizontal="center" vertical="center" wrapText="1"/>
    </xf>
    <xf numFmtId="49" fontId="137" fillId="0" borderId="0" xfId="0" applyNumberFormat="1" applyFont="1" applyFill="1" applyBorder="1" applyAlignment="1">
      <alignment horizontal="center" vertical="center"/>
    </xf>
    <xf numFmtId="176" fontId="137" fillId="0" borderId="0" xfId="0" applyNumberFormat="1" applyFont="1" applyFill="1" applyBorder="1" applyAlignment="1">
      <alignment horizontal="center" vertical="center"/>
    </xf>
    <xf numFmtId="0" fontId="278" fillId="0" borderId="0" xfId="0" applyFont="1" applyAlignment="1">
      <alignment horizontal="center" vertical="center"/>
    </xf>
    <xf numFmtId="0" fontId="100" fillId="5" borderId="1" xfId="0" applyFont="1" applyFill="1" applyBorder="1" applyAlignment="1">
      <alignment horizontal="center" vertical="center" wrapText="1"/>
    </xf>
    <xf numFmtId="176" fontId="137" fillId="5" borderId="1" xfId="0" applyNumberFormat="1" applyFont="1" applyFill="1" applyBorder="1" applyAlignment="1">
      <alignment horizontal="center" vertical="center"/>
    </xf>
    <xf numFmtId="0" fontId="137" fillId="5" borderId="1" xfId="0" applyFont="1" applyFill="1" applyBorder="1" applyAlignment="1">
      <alignment horizontal="center" vertical="center"/>
    </xf>
    <xf numFmtId="0" fontId="98" fillId="5" borderId="1" xfId="0" applyNumberFormat="1" applyFont="1" applyFill="1" applyBorder="1" applyAlignment="1" applyProtection="1">
      <alignment horizontal="center" vertical="center" shrinkToFit="1"/>
    </xf>
    <xf numFmtId="179" fontId="98" fillId="5" borderId="1" xfId="0" applyNumberFormat="1" applyFont="1" applyFill="1" applyBorder="1" applyAlignment="1" applyProtection="1">
      <alignment horizontal="center" vertical="center" shrinkToFit="1"/>
    </xf>
    <xf numFmtId="176" fontId="155" fillId="5" borderId="1" xfId="0" applyNumberFormat="1" applyFont="1" applyFill="1" applyBorder="1" applyAlignment="1">
      <alignment horizontal="center" vertical="center"/>
    </xf>
    <xf numFmtId="0" fontId="137" fillId="5" borderId="0" xfId="0" applyFont="1" applyFill="1" applyBorder="1" applyAlignment="1">
      <alignment horizontal="center" vertical="center"/>
    </xf>
    <xf numFmtId="0" fontId="202" fillId="22" borderId="1" xfId="0" applyFont="1" applyFill="1" applyBorder="1" applyAlignment="1">
      <alignment horizontal="center" vertical="center"/>
    </xf>
    <xf numFmtId="49" fontId="137" fillId="22" borderId="1" xfId="0" applyNumberFormat="1" applyFont="1" applyFill="1" applyBorder="1" applyAlignment="1">
      <alignment horizontal="center" vertical="center"/>
    </xf>
    <xf numFmtId="176" fontId="137" fillId="22" borderId="1" xfId="0" applyNumberFormat="1" applyFont="1" applyFill="1" applyBorder="1" applyAlignment="1">
      <alignment horizontal="center" vertical="center"/>
    </xf>
    <xf numFmtId="10" fontId="137" fillId="22" borderId="1" xfId="0" applyNumberFormat="1" applyFont="1" applyFill="1" applyBorder="1" applyAlignment="1">
      <alignment horizontal="center" vertical="center"/>
    </xf>
    <xf numFmtId="0" fontId="202" fillId="23" borderId="1" xfId="0" applyFont="1" applyFill="1" applyBorder="1" applyAlignment="1">
      <alignment horizontal="center" vertical="center"/>
    </xf>
    <xf numFmtId="0" fontId="202" fillId="23" borderId="3" xfId="0" applyFont="1" applyFill="1" applyBorder="1" applyAlignment="1">
      <alignment horizontal="center" vertical="center"/>
    </xf>
    <xf numFmtId="49" fontId="278" fillId="23" borderId="3" xfId="0" applyNumberFormat="1" applyFont="1" applyFill="1" applyBorder="1" applyAlignment="1">
      <alignment horizontal="center" vertical="center"/>
    </xf>
    <xf numFmtId="176" fontId="278" fillId="23" borderId="3" xfId="0" applyNumberFormat="1" applyFont="1" applyFill="1" applyBorder="1" applyAlignment="1">
      <alignment horizontal="center" vertical="center"/>
    </xf>
    <xf numFmtId="10" fontId="278" fillId="23" borderId="3" xfId="0" applyNumberFormat="1" applyFont="1" applyFill="1" applyBorder="1" applyAlignment="1">
      <alignment horizontal="center" vertical="center"/>
    </xf>
    <xf numFmtId="0" fontId="202" fillId="23" borderId="2" xfId="0" applyFont="1" applyFill="1" applyBorder="1" applyAlignment="1">
      <alignment horizontal="center" vertical="center"/>
    </xf>
    <xf numFmtId="0" fontId="202" fillId="23" borderId="7" xfId="0" applyFont="1" applyFill="1" applyBorder="1" applyAlignment="1">
      <alignment horizontal="center" vertical="center"/>
    </xf>
    <xf numFmtId="49" fontId="278" fillId="23" borderId="7" xfId="0" applyNumberFormat="1" applyFont="1" applyFill="1" applyBorder="1" applyAlignment="1">
      <alignment horizontal="center" vertical="center"/>
    </xf>
    <xf numFmtId="176" fontId="278" fillId="23" borderId="7" xfId="0" applyNumberFormat="1" applyFont="1" applyFill="1" applyBorder="1" applyAlignment="1">
      <alignment horizontal="center" vertical="center"/>
    </xf>
    <xf numFmtId="10" fontId="278" fillId="23" borderId="7" xfId="0" applyNumberFormat="1" applyFont="1" applyFill="1" applyBorder="1" applyAlignment="1">
      <alignment horizontal="center" vertical="center"/>
    </xf>
    <xf numFmtId="0" fontId="202" fillId="24" borderId="3" xfId="0" applyFont="1" applyFill="1" applyBorder="1" applyAlignment="1">
      <alignment horizontal="center" vertical="center"/>
    </xf>
    <xf numFmtId="49" fontId="278" fillId="24" borderId="3" xfId="0" applyNumberFormat="1" applyFont="1" applyFill="1" applyBorder="1" applyAlignment="1">
      <alignment horizontal="center" vertical="center"/>
    </xf>
    <xf numFmtId="0" fontId="202" fillId="24" borderId="7" xfId="0" applyFont="1" applyFill="1" applyBorder="1" applyAlignment="1">
      <alignment horizontal="center" vertical="center"/>
    </xf>
    <xf numFmtId="0" fontId="202" fillId="0" borderId="2" xfId="0" applyFont="1" applyFill="1" applyBorder="1" applyAlignment="1">
      <alignment horizontal="center" vertical="center"/>
    </xf>
    <xf numFmtId="0" fontId="202" fillId="0" borderId="7" xfId="0" applyFont="1" applyFill="1" applyBorder="1" applyAlignment="1">
      <alignment horizontal="center" vertical="center"/>
    </xf>
    <xf numFmtId="49" fontId="278" fillId="0" borderId="7" xfId="0" applyNumberFormat="1" applyFont="1" applyFill="1" applyBorder="1" applyAlignment="1">
      <alignment horizontal="center" vertical="center"/>
    </xf>
    <xf numFmtId="176" fontId="278" fillId="0" borderId="7" xfId="0" applyNumberFormat="1" applyFont="1" applyFill="1" applyBorder="1" applyAlignment="1">
      <alignment horizontal="center" vertical="center"/>
    </xf>
    <xf numFmtId="10" fontId="278" fillId="0" borderId="7" xfId="0" applyNumberFormat="1" applyFont="1" applyFill="1" applyBorder="1" applyAlignment="1">
      <alignment horizontal="center" vertical="center"/>
    </xf>
    <xf numFmtId="176" fontId="0" fillId="15" borderId="1" xfId="0" applyNumberFormat="1" applyFill="1" applyBorder="1" applyAlignment="1">
      <alignment horizontal="center" vertical="center" wrapText="1"/>
    </xf>
    <xf numFmtId="176" fontId="278" fillId="25" borderId="3" xfId="0" applyNumberFormat="1" applyFont="1" applyFill="1" applyBorder="1" applyAlignment="1">
      <alignment horizontal="center" vertical="center"/>
    </xf>
    <xf numFmtId="176" fontId="278" fillId="25" borderId="7" xfId="0" applyNumberFormat="1" applyFont="1" applyFill="1" applyBorder="1" applyAlignment="1">
      <alignment horizontal="center" vertical="center"/>
    </xf>
    <xf numFmtId="176" fontId="137" fillId="16" borderId="1" xfId="0" applyNumberFormat="1" applyFont="1" applyFill="1" applyBorder="1" applyAlignment="1">
      <alignment horizontal="center" vertical="center"/>
    </xf>
    <xf numFmtId="0" fontId="0" fillId="0" borderId="1" xfId="0" applyBorder="1" applyAlignment="1">
      <alignment horizontal="center" vertical="center" wrapText="1"/>
    </xf>
    <xf numFmtId="0" fontId="0" fillId="15" borderId="1" xfId="0" applyFill="1" applyBorder="1" applyAlignment="1">
      <alignment horizontal="center" vertical="center" wrapText="1"/>
    </xf>
    <xf numFmtId="0" fontId="0" fillId="17" borderId="1" xfId="0" applyFill="1" applyBorder="1" applyAlignment="1">
      <alignment horizontal="center" vertical="center"/>
    </xf>
    <xf numFmtId="0" fontId="0" fillId="0" borderId="1" xfId="0" applyBorder="1" applyAlignment="1">
      <alignment horizontal="center" vertical="center"/>
    </xf>
    <xf numFmtId="0" fontId="281" fillId="0" borderId="1" xfId="0" applyFont="1" applyBorder="1" applyAlignment="1">
      <alignment horizontal="center" vertical="center"/>
    </xf>
    <xf numFmtId="0" fontId="281" fillId="0" borderId="1" xfId="0" applyFont="1" applyBorder="1">
      <alignment vertical="center"/>
    </xf>
    <xf numFmtId="0" fontId="283" fillId="0" borderId="1" xfId="0" applyNumberFormat="1" applyFont="1" applyFill="1" applyBorder="1" applyAlignment="1" applyProtection="1">
      <alignment horizontal="center" vertical="center" shrinkToFit="1"/>
    </xf>
    <xf numFmtId="0" fontId="282" fillId="0" borderId="1" xfId="0" applyFont="1" applyBorder="1" applyAlignment="1">
      <alignment horizontal="center" vertical="center"/>
    </xf>
    <xf numFmtId="0" fontId="282" fillId="0" borderId="46" xfId="0" applyFont="1" applyBorder="1">
      <alignment vertical="center"/>
    </xf>
    <xf numFmtId="0" fontId="282" fillId="0" borderId="36" xfId="0" applyFont="1" applyBorder="1">
      <alignment vertical="center"/>
    </xf>
    <xf numFmtId="176" fontId="284" fillId="0" borderId="22" xfId="0" applyNumberFormat="1" applyFont="1" applyFill="1" applyBorder="1" applyAlignment="1" applyProtection="1">
      <alignment horizontal="center" vertical="center" shrinkToFit="1"/>
    </xf>
    <xf numFmtId="0" fontId="282" fillId="0" borderId="58" xfId="0" applyFont="1" applyBorder="1">
      <alignment vertical="center"/>
    </xf>
    <xf numFmtId="0" fontId="282" fillId="0" borderId="0" xfId="0" applyFont="1" applyBorder="1">
      <alignment vertical="center"/>
    </xf>
    <xf numFmtId="176" fontId="284" fillId="0" borderId="35" xfId="0" applyNumberFormat="1" applyFont="1" applyFill="1" applyBorder="1" applyAlignment="1" applyProtection="1">
      <alignment horizontal="center" vertical="center" shrinkToFit="1"/>
    </xf>
    <xf numFmtId="0" fontId="283" fillId="0" borderId="13" xfId="0" applyNumberFormat="1" applyFont="1" applyFill="1" applyBorder="1" applyAlignment="1" applyProtection="1">
      <alignment horizontal="center" vertical="center" shrinkToFit="1"/>
    </xf>
    <xf numFmtId="0" fontId="282" fillId="0" borderId="22" xfId="0" applyFont="1" applyBorder="1">
      <alignment vertical="center"/>
    </xf>
    <xf numFmtId="0" fontId="282" fillId="0" borderId="3" xfId="0" applyFont="1" applyFill="1" applyBorder="1" applyAlignment="1">
      <alignment horizontal="center" vertical="center"/>
    </xf>
    <xf numFmtId="0" fontId="0" fillId="0" borderId="46" xfId="0" applyBorder="1">
      <alignment vertical="center"/>
    </xf>
    <xf numFmtId="0" fontId="0" fillId="0" borderId="36" xfId="0" applyBorder="1">
      <alignment vertical="center"/>
    </xf>
    <xf numFmtId="0" fontId="282" fillId="0" borderId="22" xfId="0" applyFont="1" applyBorder="1" applyAlignment="1">
      <alignment horizontal="center" vertical="center"/>
    </xf>
    <xf numFmtId="0" fontId="282" fillId="0" borderId="35" xfId="0" applyFont="1" applyBorder="1">
      <alignment vertical="center"/>
    </xf>
    <xf numFmtId="0" fontId="282" fillId="0" borderId="58" xfId="0" applyFont="1" applyBorder="1" applyAlignment="1">
      <alignment horizontal="center" vertical="center"/>
    </xf>
    <xf numFmtId="0" fontId="282" fillId="0" borderId="0" xfId="0" applyFont="1" applyBorder="1" applyAlignment="1">
      <alignment horizontal="center" vertical="center"/>
    </xf>
    <xf numFmtId="0" fontId="282" fillId="0" borderId="35" xfId="0" applyFont="1" applyBorder="1" applyAlignment="1">
      <alignment horizontal="center" vertical="center"/>
    </xf>
    <xf numFmtId="0" fontId="282" fillId="0" borderId="4" xfId="0" applyFont="1" applyBorder="1">
      <alignment vertical="center"/>
    </xf>
    <xf numFmtId="0" fontId="282" fillId="0" borderId="60" xfId="0" applyFont="1" applyBorder="1">
      <alignment vertical="center"/>
    </xf>
    <xf numFmtId="0" fontId="282" fillId="0" borderId="7" xfId="0" applyFont="1" applyBorder="1">
      <alignment vertical="center"/>
    </xf>
    <xf numFmtId="0" fontId="0" fillId="0" borderId="46" xfId="0" applyFill="1" applyBorder="1">
      <alignment vertical="center"/>
    </xf>
    <xf numFmtId="0" fontId="0" fillId="0" borderId="36" xfId="0" applyFill="1" applyBorder="1">
      <alignment vertical="center"/>
    </xf>
    <xf numFmtId="0" fontId="0" fillId="0" borderId="22" xfId="0" applyFill="1" applyBorder="1">
      <alignment vertical="center"/>
    </xf>
    <xf numFmtId="0" fontId="282" fillId="0" borderId="58" xfId="0" applyFont="1" applyFill="1" applyBorder="1">
      <alignment vertical="center"/>
    </xf>
    <xf numFmtId="0" fontId="282" fillId="0" borderId="0" xfId="0" applyFont="1" applyFill="1" applyBorder="1">
      <alignment vertical="center"/>
    </xf>
    <xf numFmtId="0" fontId="282" fillId="0" borderId="35" xfId="0" applyFont="1" applyFill="1" applyBorder="1">
      <alignment vertical="center"/>
    </xf>
    <xf numFmtId="0" fontId="283" fillId="0" borderId="5" xfId="0" applyNumberFormat="1" applyFont="1" applyFill="1" applyBorder="1" applyAlignment="1" applyProtection="1">
      <alignment horizontal="center" vertical="center" shrinkToFit="1"/>
    </xf>
    <xf numFmtId="0" fontId="283" fillId="0" borderId="1" xfId="0" applyNumberFormat="1" applyFont="1" applyFill="1" applyBorder="1" applyAlignment="1" applyProtection="1">
      <alignment horizontal="center" vertical="center" shrinkToFit="1"/>
      <protection locked="0"/>
    </xf>
    <xf numFmtId="0" fontId="282" fillId="0" borderId="1" xfId="0"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83" fillId="0" borderId="13" xfId="0" applyNumberFormat="1" applyFont="1" applyFill="1" applyBorder="1" applyAlignment="1" applyProtection="1">
      <alignment horizontal="center" vertical="center" shrinkToFit="1"/>
      <protection locked="0"/>
    </xf>
    <xf numFmtId="0" fontId="50" fillId="10" borderId="9" xfId="0" applyNumberFormat="1" applyFont="1" applyFill="1" applyBorder="1" applyAlignment="1" applyProtection="1">
      <alignment horizontal="center" vertical="center" wrapText="1"/>
    </xf>
    <xf numFmtId="0" fontId="80" fillId="6" borderId="0" xfId="0" applyFont="1" applyFill="1" applyAlignment="1" applyProtection="1">
      <alignment horizontal="center" vertical="center"/>
      <protection locked="0"/>
    </xf>
    <xf numFmtId="0" fontId="0" fillId="7" borderId="0" xfId="0" applyFill="1">
      <alignment vertical="center"/>
    </xf>
    <xf numFmtId="0" fontId="283" fillId="7" borderId="1" xfId="0" applyNumberFormat="1" applyFont="1" applyFill="1" applyBorder="1" applyAlignment="1" applyProtection="1">
      <alignment horizontal="center" vertical="center" shrinkToFit="1"/>
    </xf>
    <xf numFmtId="0" fontId="283" fillId="7" borderId="13" xfId="0" applyNumberFormat="1" applyFont="1" applyFill="1" applyBorder="1" applyAlignment="1" applyProtection="1">
      <alignment horizontal="center" vertical="center" shrinkToFit="1"/>
    </xf>
    <xf numFmtId="0" fontId="281" fillId="7" borderId="1" xfId="0" applyFont="1" applyFill="1" applyBorder="1" applyAlignment="1">
      <alignment horizontal="center" vertical="center"/>
    </xf>
    <xf numFmtId="0" fontId="281" fillId="7" borderId="1" xfId="0" applyFont="1" applyFill="1" applyBorder="1">
      <alignment vertical="center"/>
    </xf>
    <xf numFmtId="0" fontId="282" fillId="7" borderId="1" xfId="0" applyFont="1" applyFill="1" applyBorder="1" applyAlignment="1">
      <alignment horizontal="center" vertical="center"/>
    </xf>
    <xf numFmtId="0" fontId="282" fillId="7" borderId="46" xfId="0" applyFont="1" applyFill="1" applyBorder="1">
      <alignment vertical="center"/>
    </xf>
    <xf numFmtId="0" fontId="282" fillId="7" borderId="36" xfId="0" applyFont="1" applyFill="1" applyBorder="1">
      <alignment vertical="center"/>
    </xf>
    <xf numFmtId="176" fontId="284" fillId="7" borderId="22" xfId="0" applyNumberFormat="1" applyFont="1" applyFill="1" applyBorder="1" applyAlignment="1" applyProtection="1">
      <alignment horizontal="center" vertical="center" shrinkToFit="1"/>
    </xf>
    <xf numFmtId="0" fontId="282" fillId="7" borderId="58" xfId="0" applyFont="1" applyFill="1" applyBorder="1">
      <alignment vertical="center"/>
    </xf>
    <xf numFmtId="0" fontId="282" fillId="7" borderId="0" xfId="0" applyFont="1" applyFill="1" applyBorder="1">
      <alignment vertical="center"/>
    </xf>
    <xf numFmtId="176" fontId="284" fillId="7" borderId="35" xfId="0" applyNumberFormat="1" applyFont="1" applyFill="1" applyBorder="1" applyAlignment="1" applyProtection="1">
      <alignment horizontal="center" vertical="center" shrinkToFit="1"/>
    </xf>
    <xf numFmtId="0" fontId="282" fillId="7" borderId="22" xfId="0" applyFont="1" applyFill="1" applyBorder="1">
      <alignment vertical="center"/>
    </xf>
    <xf numFmtId="0" fontId="282" fillId="7" borderId="3" xfId="0" applyFont="1" applyFill="1" applyBorder="1" applyAlignment="1">
      <alignment horizontal="center" vertical="center"/>
    </xf>
    <xf numFmtId="0" fontId="0" fillId="7" borderId="46" xfId="0" applyFill="1" applyBorder="1">
      <alignment vertical="center"/>
    </xf>
    <xf numFmtId="0" fontId="0" fillId="7" borderId="36" xfId="0" applyFill="1" applyBorder="1">
      <alignment vertical="center"/>
    </xf>
    <xf numFmtId="0" fontId="282" fillId="7" borderId="22" xfId="0" applyFont="1" applyFill="1" applyBorder="1" applyAlignment="1">
      <alignment horizontal="center" vertical="center"/>
    </xf>
    <xf numFmtId="0" fontId="282" fillId="7" borderId="35" xfId="0" applyFont="1" applyFill="1" applyBorder="1">
      <alignment vertical="center"/>
    </xf>
    <xf numFmtId="0" fontId="282" fillId="7" borderId="58" xfId="0" applyFont="1" applyFill="1" applyBorder="1" applyAlignment="1">
      <alignment horizontal="center" vertical="center"/>
    </xf>
    <xf numFmtId="0" fontId="282" fillId="7" borderId="0" xfId="0" applyFont="1" applyFill="1" applyBorder="1" applyAlignment="1">
      <alignment horizontal="center" vertical="center"/>
    </xf>
    <xf numFmtId="0" fontId="282" fillId="7" borderId="35" xfId="0" applyFont="1" applyFill="1" applyBorder="1" applyAlignment="1">
      <alignment horizontal="center" vertical="center"/>
    </xf>
    <xf numFmtId="0" fontId="282" fillId="7" borderId="4" xfId="0" applyFont="1" applyFill="1" applyBorder="1">
      <alignment vertical="center"/>
    </xf>
    <xf numFmtId="0" fontId="282" fillId="7" borderId="60" xfId="0" applyFont="1" applyFill="1" applyBorder="1">
      <alignment vertical="center"/>
    </xf>
    <xf numFmtId="0" fontId="282" fillId="7" borderId="7" xfId="0" applyFont="1" applyFill="1" applyBorder="1">
      <alignment vertical="center"/>
    </xf>
    <xf numFmtId="0" fontId="0" fillId="7" borderId="22" xfId="0" applyFill="1" applyBorder="1">
      <alignment vertical="center"/>
    </xf>
    <xf numFmtId="0" fontId="0" fillId="7" borderId="0" xfId="0" applyFill="1" applyAlignment="1">
      <alignment horizontal="center" vertical="center"/>
    </xf>
    <xf numFmtId="0" fontId="0" fillId="7" borderId="0" xfId="0" applyFill="1" applyBorder="1">
      <alignment vertical="center"/>
    </xf>
    <xf numFmtId="0" fontId="281" fillId="0" borderId="1" xfId="0" applyFont="1" applyBorder="1" applyAlignment="1">
      <alignment horizontal="center" vertical="center"/>
    </xf>
    <xf numFmtId="0" fontId="282" fillId="7" borderId="1" xfId="0" applyFont="1" applyFill="1" applyBorder="1" applyAlignment="1">
      <alignment horizontal="center" vertical="center"/>
    </xf>
    <xf numFmtId="0" fontId="282" fillId="7" borderId="3"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283" fillId="17" borderId="1" xfId="0" applyNumberFormat="1" applyFont="1" applyFill="1" applyBorder="1" applyAlignment="1" applyProtection="1">
      <alignment horizontal="center" vertical="center" shrinkToFit="1"/>
    </xf>
    <xf numFmtId="0" fontId="287" fillId="0" borderId="1" xfId="0" applyFont="1" applyBorder="1" applyAlignment="1">
      <alignment horizontal="center" vertical="center"/>
    </xf>
    <xf numFmtId="0" fontId="283" fillId="7" borderId="1" xfId="0" applyNumberFormat="1" applyFont="1" applyFill="1" applyBorder="1" applyAlignment="1" applyProtection="1">
      <alignment horizontal="center" vertical="center" wrapText="1" shrinkToFit="1"/>
    </xf>
    <xf numFmtId="0" fontId="282" fillId="7" borderId="1" xfId="0" applyFont="1" applyFill="1" applyBorder="1" applyAlignment="1">
      <alignment horizontal="center" vertical="center" wrapText="1"/>
    </xf>
    <xf numFmtId="0" fontId="0" fillId="0" borderId="1" xfId="0" applyBorder="1" applyAlignment="1">
      <alignment vertical="center" wrapText="1"/>
    </xf>
    <xf numFmtId="0" fontId="283" fillId="17" borderId="1" xfId="0" applyNumberFormat="1" applyFont="1" applyFill="1" applyBorder="1" applyAlignment="1" applyProtection="1">
      <alignment horizontal="center" vertical="center" wrapText="1" shrinkToFit="1"/>
    </xf>
    <xf numFmtId="0" fontId="282" fillId="7" borderId="3" xfId="0" applyFont="1" applyFill="1" applyBorder="1" applyAlignment="1">
      <alignment horizontal="center" vertical="center" wrapText="1"/>
    </xf>
    <xf numFmtId="0" fontId="283" fillId="5" borderId="1" xfId="0" applyNumberFormat="1" applyFont="1" applyFill="1" applyBorder="1" applyAlignment="1" applyProtection="1">
      <alignment horizontal="center" vertical="center" wrapText="1" shrinkToFit="1"/>
    </xf>
    <xf numFmtId="0" fontId="282" fillId="5" borderId="1" xfId="0" applyFont="1" applyFill="1" applyBorder="1" applyAlignment="1">
      <alignment horizontal="center" vertical="center" wrapText="1"/>
    </xf>
    <xf numFmtId="0" fontId="282" fillId="5" borderId="3"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9" borderId="1" xfId="0" applyFill="1" applyBorder="1" applyAlignment="1">
      <alignment horizontal="center" vertical="center" wrapText="1"/>
    </xf>
    <xf numFmtId="0" fontId="283" fillId="7" borderId="5" xfId="0" applyNumberFormat="1" applyFont="1" applyFill="1" applyBorder="1" applyAlignment="1" applyProtection="1">
      <alignment horizontal="center" vertical="center" wrapText="1" shrinkToFit="1"/>
    </xf>
    <xf numFmtId="0" fontId="283" fillId="5" borderId="5" xfId="0" applyNumberFormat="1" applyFont="1" applyFill="1" applyBorder="1" applyAlignment="1" applyProtection="1">
      <alignment horizontal="center" vertical="center" wrapText="1" shrinkToFit="1"/>
    </xf>
    <xf numFmtId="0" fontId="0" fillId="5" borderId="5" xfId="0" applyFill="1" applyBorder="1" applyAlignment="1">
      <alignment horizontal="center" vertical="center" wrapText="1"/>
    </xf>
    <xf numFmtId="0" fontId="282" fillId="7" borderId="5" xfId="0" applyFont="1" applyFill="1" applyBorder="1" applyAlignment="1">
      <alignment horizontal="center" vertical="center" wrapText="1"/>
    </xf>
    <xf numFmtId="0" fontId="282" fillId="5" borderId="5" xfId="0" applyFont="1" applyFill="1" applyBorder="1" applyAlignment="1">
      <alignment horizontal="center" vertical="center" wrapText="1"/>
    </xf>
    <xf numFmtId="0" fontId="0" fillId="0" borderId="1" xfId="0" applyBorder="1" applyAlignment="1">
      <alignment horizontal="center" vertical="center" wrapText="1"/>
    </xf>
    <xf numFmtId="0" fontId="282" fillId="7" borderId="1" xfId="0" applyFont="1" applyFill="1" applyBorder="1" applyAlignment="1">
      <alignment horizontal="center" vertical="center" wrapText="1"/>
    </xf>
    <xf numFmtId="0" fontId="0" fillId="7" borderId="1" xfId="0" applyFill="1" applyBorder="1" applyAlignment="1">
      <alignment horizontal="center" vertical="center"/>
    </xf>
    <xf numFmtId="0" fontId="0" fillId="0" borderId="0" xfId="0" applyBorder="1" applyAlignment="1">
      <alignment horizontal="center" vertical="center" wrapText="1"/>
    </xf>
    <xf numFmtId="0" fontId="0" fillId="7" borderId="0" xfId="0" applyFill="1" applyAlignment="1">
      <alignment horizontal="center" vertical="center" wrapText="1"/>
    </xf>
    <xf numFmtId="0" fontId="283" fillId="7" borderId="3" xfId="0" applyNumberFormat="1" applyFont="1" applyFill="1" applyBorder="1" applyAlignment="1" applyProtection="1">
      <alignment horizontal="center" vertical="center" wrapText="1" shrinkToFit="1"/>
    </xf>
    <xf numFmtId="0" fontId="283" fillId="9" borderId="1" xfId="0" applyNumberFormat="1" applyFont="1" applyFill="1" applyBorder="1" applyAlignment="1" applyProtection="1">
      <alignment horizontal="center" vertical="center" wrapText="1" shrinkToFit="1"/>
    </xf>
    <xf numFmtId="0" fontId="0" fillId="9" borderId="1" xfId="0" applyFill="1" applyBorder="1" applyAlignment="1">
      <alignment vertical="center" wrapText="1"/>
    </xf>
    <xf numFmtId="0" fontId="0" fillId="9" borderId="0" xfId="0" applyFill="1" applyAlignment="1">
      <alignment horizontal="center" vertical="center" wrapText="1"/>
    </xf>
    <xf numFmtId="0" fontId="0" fillId="0" borderId="0" xfId="0" applyBorder="1" applyAlignment="1">
      <alignment horizontal="center" vertical="center" wrapText="1"/>
    </xf>
    <xf numFmtId="0" fontId="289" fillId="0" borderId="0" xfId="0" applyFont="1" applyAlignment="1">
      <alignment horizontal="center" vertical="center" wrapText="1"/>
    </xf>
    <xf numFmtId="0" fontId="289" fillId="0" borderId="1" xfId="0" applyFont="1" applyBorder="1" applyAlignment="1">
      <alignment horizontal="center" vertical="center" wrapText="1"/>
    </xf>
    <xf numFmtId="0" fontId="289" fillId="7" borderId="1" xfId="0" applyFont="1" applyFill="1" applyBorder="1" applyAlignment="1">
      <alignment horizontal="center" vertical="center" wrapText="1"/>
    </xf>
    <xf numFmtId="0" fontId="289" fillId="0" borderId="1" xfId="0" applyFont="1" applyFill="1" applyBorder="1" applyAlignment="1">
      <alignment horizontal="center" vertical="center" wrapText="1"/>
    </xf>
    <xf numFmtId="0" fontId="289" fillId="0" borderId="0" xfId="0" applyFont="1" applyAlignment="1">
      <alignment vertical="center" wrapText="1"/>
    </xf>
    <xf numFmtId="0" fontId="289" fillId="28" borderId="1" xfId="0" applyFont="1" applyFill="1" applyBorder="1" applyAlignment="1">
      <alignment horizontal="center" vertical="center" wrapText="1"/>
    </xf>
    <xf numFmtId="0" fontId="289" fillId="28" borderId="1" xfId="0" applyFont="1" applyFill="1" applyBorder="1" applyAlignment="1">
      <alignment horizontal="center" vertical="center"/>
    </xf>
    <xf numFmtId="0" fontId="289" fillId="0" borderId="0" xfId="0" applyFont="1">
      <alignment vertical="center"/>
    </xf>
    <xf numFmtId="0" fontId="289" fillId="0" borderId="1" xfId="0" applyFont="1" applyBorder="1" applyAlignment="1">
      <alignment horizontal="center" vertical="center"/>
    </xf>
    <xf numFmtId="0" fontId="289" fillId="7" borderId="1" xfId="0" applyFont="1" applyFill="1" applyBorder="1" applyAlignment="1">
      <alignment horizontal="center" vertical="center"/>
    </xf>
    <xf numFmtId="0" fontId="289" fillId="30" borderId="1" xfId="0" applyFont="1" applyFill="1" applyBorder="1" applyAlignment="1">
      <alignment horizontal="center" vertical="center" wrapText="1"/>
    </xf>
    <xf numFmtId="0" fontId="289" fillId="30" borderId="1" xfId="0" applyFont="1" applyFill="1" applyBorder="1" applyAlignment="1">
      <alignment horizontal="center" vertical="center"/>
    </xf>
    <xf numFmtId="0" fontId="290" fillId="7" borderId="1" xfId="0" applyFont="1" applyFill="1" applyBorder="1" applyAlignment="1">
      <alignment horizontal="center" vertical="center" wrapText="1"/>
    </xf>
    <xf numFmtId="0" fontId="289" fillId="29" borderId="1" xfId="0" applyFont="1" applyFill="1" applyBorder="1" applyAlignment="1">
      <alignment horizontal="center" vertical="center" wrapText="1"/>
    </xf>
    <xf numFmtId="0" fontId="289" fillId="29" borderId="1" xfId="0" applyFont="1" applyFill="1" applyBorder="1" applyAlignment="1">
      <alignment horizontal="center" vertical="center"/>
    </xf>
    <xf numFmtId="0" fontId="289" fillId="27" borderId="1" xfId="0" applyFont="1" applyFill="1" applyBorder="1" applyAlignment="1">
      <alignment horizontal="center" vertical="center" wrapText="1"/>
    </xf>
    <xf numFmtId="0" fontId="289" fillId="27" borderId="1" xfId="0" applyFont="1" applyFill="1" applyBorder="1" applyAlignment="1">
      <alignment horizontal="center" vertical="center"/>
    </xf>
    <xf numFmtId="0" fontId="289" fillId="26" borderId="1" xfId="0" applyFont="1" applyFill="1" applyBorder="1" applyAlignment="1">
      <alignment horizontal="center" vertical="center" wrapText="1"/>
    </xf>
    <xf numFmtId="0" fontId="289" fillId="26" borderId="1" xfId="0" applyFont="1" applyFill="1" applyBorder="1" applyAlignment="1">
      <alignment horizontal="center" vertical="center"/>
    </xf>
    <xf numFmtId="0" fontId="291" fillId="7" borderId="1" xfId="0" applyFont="1" applyFill="1" applyBorder="1" applyAlignment="1">
      <alignment horizontal="center" vertical="center" wrapText="1"/>
    </xf>
    <xf numFmtId="0" fontId="290" fillId="0" borderId="1" xfId="0" applyFont="1" applyBorder="1" applyAlignment="1">
      <alignment horizontal="center" vertical="center"/>
    </xf>
    <xf numFmtId="0" fontId="289" fillId="7" borderId="0" xfId="0" applyFont="1" applyFill="1" applyAlignment="1">
      <alignment horizontal="center" vertical="center" wrapText="1"/>
    </xf>
    <xf numFmtId="0" fontId="289" fillId="7" borderId="0" xfId="0" applyFont="1" applyFill="1">
      <alignment vertical="center"/>
    </xf>
    <xf numFmtId="0" fontId="289" fillId="0" borderId="0" xfId="0" applyFont="1" applyBorder="1" applyAlignment="1">
      <alignment horizontal="center" vertical="center"/>
    </xf>
    <xf numFmtId="0" fontId="289" fillId="17" borderId="0"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86" fillId="0" borderId="0" xfId="0" applyFont="1" applyBorder="1" applyAlignment="1">
      <alignment horizontal="left" vertical="center"/>
    </xf>
    <xf numFmtId="0" fontId="282" fillId="0" borderId="0" xfId="0" applyFont="1" applyBorder="1" applyAlignment="1">
      <alignment horizontal="left" vertical="center"/>
    </xf>
    <xf numFmtId="0" fontId="282" fillId="0" borderId="1" xfId="0" applyFont="1" applyBorder="1" applyAlignment="1">
      <alignment horizontal="center" vertical="center"/>
    </xf>
    <xf numFmtId="0" fontId="285" fillId="0" borderId="1" xfId="0" applyFont="1" applyBorder="1" applyAlignment="1">
      <alignment horizontal="center" vertical="center"/>
    </xf>
    <xf numFmtId="0" fontId="282" fillId="0" borderId="5" xfId="0" applyFont="1" applyBorder="1" applyAlignment="1">
      <alignment horizontal="center" vertical="center"/>
    </xf>
    <xf numFmtId="0" fontId="282" fillId="0" borderId="1" xfId="0" applyFont="1" applyFill="1" applyBorder="1" applyAlignment="1">
      <alignment horizontal="center" vertical="center"/>
    </xf>
    <xf numFmtId="0" fontId="282" fillId="0" borderId="13" xfId="0" applyFont="1" applyFill="1" applyBorder="1" applyAlignment="1">
      <alignment horizontal="center" vertical="center"/>
    </xf>
    <xf numFmtId="0" fontId="282" fillId="0" borderId="46" xfId="0" applyFont="1" applyBorder="1" applyAlignment="1">
      <alignment horizontal="center" vertical="center"/>
    </xf>
    <xf numFmtId="0" fontId="282" fillId="0" borderId="3" xfId="0" applyFont="1" applyFill="1" applyBorder="1" applyAlignment="1">
      <alignment horizontal="center" vertical="center"/>
    </xf>
    <xf numFmtId="0" fontId="282" fillId="0" borderId="5" xfId="0" applyFont="1" applyFill="1" applyBorder="1" applyAlignment="1">
      <alignment horizontal="center" vertical="center"/>
    </xf>
    <xf numFmtId="0" fontId="282" fillId="0" borderId="3" xfId="0" applyFont="1" applyBorder="1" applyAlignment="1">
      <alignment horizontal="center" vertical="center"/>
    </xf>
    <xf numFmtId="0" fontId="282" fillId="0" borderId="22" xfId="0" applyFont="1" applyBorder="1" applyAlignment="1">
      <alignment horizontal="center" vertical="center"/>
    </xf>
    <xf numFmtId="0" fontId="282" fillId="0" borderId="3" xfId="0" applyFont="1" applyBorder="1">
      <alignment vertical="center"/>
    </xf>
    <xf numFmtId="0" fontId="282" fillId="0" borderId="4" xfId="0" applyFont="1" applyBorder="1" applyAlignment="1">
      <alignment horizontal="center" vertical="center"/>
    </xf>
    <xf numFmtId="0" fontId="282" fillId="0" borderId="60" xfId="0" applyFont="1" applyBorder="1" applyAlignment="1">
      <alignment horizontal="center" vertical="center"/>
    </xf>
    <xf numFmtId="0" fontId="282" fillId="0" borderId="7" xfId="0" applyFont="1" applyBorder="1" applyAlignment="1">
      <alignment horizontal="center" vertical="center"/>
    </xf>
    <xf numFmtId="0" fontId="282" fillId="0" borderId="13" xfId="0" applyFont="1" applyBorder="1" applyAlignment="1">
      <alignment horizontal="center" vertical="center"/>
    </xf>
    <xf numFmtId="0" fontId="279" fillId="0" borderId="0" xfId="0" applyFont="1" applyAlignment="1">
      <alignment horizontal="center" vertical="center"/>
    </xf>
    <xf numFmtId="0" fontId="281" fillId="0" borderId="1" xfId="0" applyFont="1" applyBorder="1" applyAlignment="1">
      <alignment horizontal="center" vertical="center"/>
    </xf>
    <xf numFmtId="0" fontId="281" fillId="0" borderId="5" xfId="0" applyFont="1" applyBorder="1" applyAlignment="1">
      <alignment horizontal="center" vertical="center"/>
    </xf>
    <xf numFmtId="0" fontId="281" fillId="0" borderId="54" xfId="0" applyFont="1" applyBorder="1" applyAlignment="1">
      <alignment horizontal="center" vertical="center"/>
    </xf>
    <xf numFmtId="0" fontId="281" fillId="0" borderId="3" xfId="0" applyFont="1" applyBorder="1" applyAlignment="1">
      <alignment horizontal="center" vertical="center"/>
    </xf>
    <xf numFmtId="0" fontId="0" fillId="0" borderId="3" xfId="0" applyBorder="1" applyAlignment="1">
      <alignment horizontal="center" vertical="center" wrapText="1"/>
    </xf>
    <xf numFmtId="0" fontId="282" fillId="7" borderId="1" xfId="0" applyFont="1" applyFill="1" applyBorder="1" applyAlignment="1">
      <alignment horizontal="center" vertical="center" wrapText="1"/>
    </xf>
    <xf numFmtId="0" fontId="0" fillId="0" borderId="1" xfId="0" applyBorder="1" applyAlignment="1">
      <alignment horizontal="center" vertical="center" wrapText="1"/>
    </xf>
    <xf numFmtId="0" fontId="282" fillId="7" borderId="3" xfId="0" applyFont="1" applyFill="1" applyBorder="1" applyAlignment="1">
      <alignment horizontal="center" vertical="center" wrapText="1"/>
    </xf>
    <xf numFmtId="0" fontId="0" fillId="9" borderId="5" xfId="0" applyFill="1" applyBorder="1" applyAlignment="1">
      <alignment horizontal="center" vertical="center" wrapText="1"/>
    </xf>
    <xf numFmtId="0" fontId="0" fillId="9" borderId="54" xfId="0" applyFill="1" applyBorder="1" applyAlignment="1">
      <alignment horizontal="center" vertical="center" wrapText="1"/>
    </xf>
    <xf numFmtId="0" fontId="0" fillId="9" borderId="3" xfId="0" applyFill="1" applyBorder="1" applyAlignment="1">
      <alignment horizontal="center" vertical="center" wrapText="1"/>
    </xf>
    <xf numFmtId="0" fontId="0" fillId="0" borderId="60" xfId="0" applyBorder="1" applyAlignment="1">
      <alignment horizontal="center" vertical="center" wrapText="1"/>
    </xf>
    <xf numFmtId="0" fontId="0" fillId="0" borderId="46" xfId="0" applyBorder="1" applyAlignment="1">
      <alignment horizontal="center" vertical="center" wrapText="1"/>
    </xf>
    <xf numFmtId="0" fontId="0" fillId="0" borderId="36" xfId="0" applyBorder="1" applyAlignment="1">
      <alignment horizontal="center" vertical="center" wrapText="1"/>
    </xf>
    <xf numFmtId="0" fontId="0" fillId="0" borderId="22" xfId="0"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5" borderId="58" xfId="0" applyFill="1" applyBorder="1" applyAlignment="1">
      <alignment horizontal="center" vertical="center" wrapText="1"/>
    </xf>
    <xf numFmtId="0" fontId="0" fillId="5" borderId="0" xfId="0" applyFill="1" applyBorder="1" applyAlignment="1">
      <alignment horizontal="center" vertical="center" wrapText="1"/>
    </xf>
    <xf numFmtId="0" fontId="0" fillId="5" borderId="0" xfId="0" applyFill="1" applyAlignment="1">
      <alignment horizontal="center" vertical="center" wrapText="1"/>
    </xf>
    <xf numFmtId="0" fontId="0" fillId="5" borderId="60" xfId="0" applyFill="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282" fillId="7" borderId="1" xfId="0" applyFont="1" applyFill="1" applyBorder="1" applyAlignment="1">
      <alignment horizontal="center" vertical="center"/>
    </xf>
    <xf numFmtId="0" fontId="282" fillId="7" borderId="3" xfId="0" applyFont="1" applyFill="1" applyBorder="1" applyAlignment="1">
      <alignment horizontal="center" vertical="center"/>
    </xf>
    <xf numFmtId="0" fontId="282" fillId="17" borderId="1" xfId="0" applyFont="1" applyFill="1" applyBorder="1" applyAlignment="1">
      <alignment horizontal="center" vertical="center" wrapText="1"/>
    </xf>
    <xf numFmtId="0" fontId="289" fillId="0" borderId="1" xfId="0" applyFont="1" applyBorder="1" applyAlignment="1">
      <alignment horizontal="center" vertical="center" wrapText="1"/>
    </xf>
    <xf numFmtId="0" fontId="289" fillId="28" borderId="1" xfId="0" applyFont="1" applyFill="1" applyBorder="1" applyAlignment="1">
      <alignment horizontal="center" vertical="center" wrapText="1"/>
    </xf>
    <xf numFmtId="0" fontId="289" fillId="30" borderId="13" xfId="0" applyFont="1" applyFill="1" applyBorder="1" applyAlignment="1">
      <alignment horizontal="center" vertical="center" wrapText="1"/>
    </xf>
    <xf numFmtId="0" fontId="289" fillId="30" borderId="2" xfId="0" applyFont="1" applyFill="1" applyBorder="1" applyAlignment="1">
      <alignment horizontal="center" vertical="center" wrapText="1"/>
    </xf>
    <xf numFmtId="0" fontId="289" fillId="29" borderId="1" xfId="0" applyFont="1" applyFill="1" applyBorder="1" applyAlignment="1">
      <alignment horizontal="center" vertical="center" wrapText="1"/>
    </xf>
    <xf numFmtId="0" fontId="289" fillId="27" borderId="1" xfId="0" applyFont="1" applyFill="1" applyBorder="1" applyAlignment="1">
      <alignment horizontal="center" vertical="center" wrapText="1"/>
    </xf>
    <xf numFmtId="0" fontId="289" fillId="26" borderId="1"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19"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6" fillId="0" borderId="5" xfId="0" applyFont="1" applyFill="1" applyBorder="1" applyAlignment="1">
      <alignment horizontal="center" vertical="center" wrapText="1" shrinkToFit="1"/>
    </xf>
    <xf numFmtId="0" fontId="116" fillId="0" borderId="54" xfId="0" applyFont="1" applyFill="1" applyBorder="1" applyAlignment="1">
      <alignment horizontal="center" vertical="center" wrapText="1" shrinkToFit="1"/>
    </xf>
    <xf numFmtId="0" fontId="116" fillId="0" borderId="3" xfId="0" applyFont="1" applyFill="1" applyBorder="1" applyAlignment="1">
      <alignment horizontal="center" vertical="center" wrapText="1" shrinkToFit="1"/>
    </xf>
    <xf numFmtId="0" fontId="116" fillId="0" borderId="1" xfId="0" applyFont="1" applyFill="1" applyBorder="1" applyAlignment="1">
      <alignment horizontal="center" vertical="center" wrapText="1" shrinkToFit="1"/>
    </xf>
    <xf numFmtId="0" fontId="116" fillId="22" borderId="5" xfId="0" applyFont="1" applyFill="1" applyBorder="1" applyAlignment="1">
      <alignment horizontal="center" vertical="center" wrapText="1" shrinkToFit="1"/>
    </xf>
    <xf numFmtId="0" fontId="116" fillId="22" borderId="54" xfId="0" applyFont="1" applyFill="1" applyBorder="1" applyAlignment="1">
      <alignment horizontal="center" vertical="center" wrapText="1" shrinkToFit="1"/>
    </xf>
    <xf numFmtId="0" fontId="116" fillId="22" borderId="3" xfId="0" applyFont="1" applyFill="1" applyBorder="1" applyAlignment="1">
      <alignment horizontal="center" vertical="center" wrapText="1" shrinkToFit="1"/>
    </xf>
    <xf numFmtId="0" fontId="116" fillId="0" borderId="1" xfId="0" applyFont="1" applyBorder="1" applyAlignment="1">
      <alignment horizontal="center" vertical="center" wrapText="1" shrinkToFit="1"/>
    </xf>
    <xf numFmtId="0" fontId="116" fillId="0" borderId="1" xfId="0" applyFont="1" applyFill="1" applyBorder="1" applyAlignment="1">
      <alignment horizontal="left" vertical="center" wrapText="1" shrinkToFit="1"/>
    </xf>
    <xf numFmtId="0" fontId="116" fillId="0" borderId="46" xfId="0" applyFont="1" applyFill="1" applyBorder="1" applyAlignment="1">
      <alignment horizontal="center" vertical="center" wrapText="1" shrinkToFit="1"/>
    </xf>
    <xf numFmtId="0" fontId="116" fillId="0" borderId="36" xfId="0" applyFont="1" applyFill="1" applyBorder="1" applyAlignment="1">
      <alignment horizontal="center" vertical="center" wrapText="1" shrinkToFit="1"/>
    </xf>
    <xf numFmtId="0" fontId="116" fillId="0" borderId="22" xfId="0" applyFont="1" applyFill="1" applyBorder="1" applyAlignment="1">
      <alignment horizontal="center" vertical="center" wrapText="1" shrinkToFit="1"/>
    </xf>
    <xf numFmtId="0" fontId="116" fillId="0" borderId="58" xfId="0" applyFont="1" applyFill="1" applyBorder="1" applyAlignment="1">
      <alignment horizontal="center" vertical="center" wrapText="1" shrinkToFit="1"/>
    </xf>
    <xf numFmtId="0" fontId="116" fillId="0" borderId="0" xfId="0" applyFont="1" applyFill="1" applyBorder="1" applyAlignment="1">
      <alignment horizontal="center" vertical="center" wrapText="1" shrinkToFit="1"/>
    </xf>
    <xf numFmtId="0" fontId="116" fillId="0" borderId="35" xfId="0" applyFont="1" applyFill="1" applyBorder="1" applyAlignment="1">
      <alignment horizontal="center" vertical="center" wrapText="1" shrinkToFit="1"/>
    </xf>
    <xf numFmtId="0" fontId="116" fillId="0" borderId="4" xfId="0" applyFont="1" applyFill="1" applyBorder="1" applyAlignment="1">
      <alignment horizontal="center" vertical="center" wrapText="1" shrinkToFit="1"/>
    </xf>
    <xf numFmtId="0" fontId="116" fillId="0" borderId="60" xfId="0" applyFont="1" applyFill="1" applyBorder="1" applyAlignment="1">
      <alignment horizontal="center" vertical="center" wrapText="1" shrinkToFit="1"/>
    </xf>
    <xf numFmtId="0" fontId="116"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6" fillId="0" borderId="1" xfId="0" applyNumberFormat="1" applyFont="1" applyFill="1" applyBorder="1" applyAlignment="1">
      <alignment horizontal="center" vertical="center" wrapText="1" shrinkToFit="1"/>
    </xf>
    <xf numFmtId="180" fontId="116" fillId="0" borderId="5" xfId="0" applyNumberFormat="1" applyFont="1" applyFill="1" applyBorder="1" applyAlignment="1">
      <alignment horizontal="right" vertical="center" wrapText="1" shrinkToFit="1"/>
    </xf>
    <xf numFmtId="180" fontId="116" fillId="0" borderId="54" xfId="0" applyNumberFormat="1" applyFont="1" applyFill="1" applyBorder="1" applyAlignment="1">
      <alignment horizontal="right" vertical="center" wrapText="1" shrinkToFit="1"/>
    </xf>
    <xf numFmtId="0" fontId="116" fillId="0" borderId="54" xfId="0" applyFont="1" applyFill="1" applyBorder="1" applyAlignment="1">
      <alignment horizontal="left" vertical="center" wrapText="1" shrinkToFit="1"/>
    </xf>
    <xf numFmtId="0" fontId="116" fillId="0" borderId="3" xfId="0" applyFont="1" applyFill="1" applyBorder="1" applyAlignment="1">
      <alignment horizontal="left" vertical="center" wrapText="1" shrinkToFit="1"/>
    </xf>
    <xf numFmtId="181" fontId="262" fillId="0" borderId="1" xfId="0" applyNumberFormat="1" applyFont="1" applyFill="1" applyBorder="1" applyAlignment="1">
      <alignment horizontal="center" vertical="center" wrapText="1" shrinkToFit="1"/>
    </xf>
    <xf numFmtId="0" fontId="116" fillId="0" borderId="5" xfId="0" applyFont="1" applyFill="1" applyBorder="1" applyAlignment="1">
      <alignment horizontal="right" vertical="center" wrapText="1" shrinkToFit="1"/>
    </xf>
    <xf numFmtId="0" fontId="116" fillId="0" borderId="54" xfId="0" applyFont="1" applyFill="1" applyBorder="1" applyAlignment="1">
      <alignment horizontal="right" vertical="center" wrapText="1" shrinkToFit="1"/>
    </xf>
    <xf numFmtId="185" fontId="116" fillId="0" borderId="54" xfId="0" applyNumberFormat="1" applyFont="1" applyFill="1" applyBorder="1" applyAlignment="1">
      <alignment horizontal="left" vertical="center" wrapText="1" shrinkToFit="1"/>
    </xf>
    <xf numFmtId="10" fontId="116" fillId="0" borderId="3" xfId="0" applyNumberFormat="1" applyFont="1" applyFill="1" applyBorder="1" applyAlignment="1">
      <alignment horizontal="left" vertical="center" wrapText="1" shrinkToFit="1"/>
    </xf>
    <xf numFmtId="9" fontId="116" fillId="0" borderId="13" xfId="0" applyNumberFormat="1" applyFont="1" applyFill="1" applyBorder="1" applyAlignment="1">
      <alignment horizontal="left" vertical="center" wrapText="1" shrinkToFit="1"/>
    </xf>
    <xf numFmtId="9" fontId="116" fillId="0" borderId="2" xfId="0" applyNumberFormat="1" applyFont="1" applyFill="1" applyBorder="1" applyAlignment="1">
      <alignment horizontal="left" vertical="center" wrapText="1" shrinkToFit="1"/>
    </xf>
    <xf numFmtId="9" fontId="116" fillId="0" borderId="1" xfId="0" applyNumberFormat="1" applyFont="1" applyFill="1" applyBorder="1" applyAlignment="1">
      <alignment horizontal="center" vertical="center" wrapText="1" shrinkToFit="1"/>
    </xf>
    <xf numFmtId="0" fontId="116" fillId="0" borderId="5" xfId="0" applyNumberFormat="1" applyFont="1" applyFill="1" applyBorder="1" applyAlignment="1">
      <alignment horizontal="right" vertical="center" wrapText="1" shrinkToFit="1"/>
    </xf>
    <xf numFmtId="0" fontId="116" fillId="0" borderId="54" xfId="0" applyNumberFormat="1" applyFont="1" applyFill="1" applyBorder="1" applyAlignment="1">
      <alignment horizontal="right" vertical="center" wrapText="1" shrinkToFit="1"/>
    </xf>
    <xf numFmtId="10" fontId="116" fillId="7" borderId="54" xfId="0" applyNumberFormat="1" applyFont="1" applyFill="1" applyBorder="1" applyAlignment="1">
      <alignment horizontal="left" vertical="center" wrapText="1" shrinkToFit="1"/>
    </xf>
    <xf numFmtId="10" fontId="116" fillId="7" borderId="3" xfId="0" applyNumberFormat="1" applyFont="1" applyFill="1" applyBorder="1" applyAlignment="1">
      <alignment horizontal="left" vertical="center" wrapText="1" shrinkToFit="1"/>
    </xf>
    <xf numFmtId="10" fontId="116" fillId="0" borderId="1" xfId="0" applyNumberFormat="1" applyFont="1" applyFill="1" applyBorder="1" applyAlignment="1">
      <alignment horizontal="center" vertical="center" wrapText="1" shrinkToFit="1"/>
    </xf>
    <xf numFmtId="10" fontId="116" fillId="0" borderId="54" xfId="0" applyNumberFormat="1" applyFont="1" applyFill="1" applyBorder="1" applyAlignment="1">
      <alignment horizontal="left" vertical="center" wrapText="1" shrinkToFit="1"/>
    </xf>
    <xf numFmtId="10" fontId="116" fillId="0" borderId="5" xfId="0" applyNumberFormat="1" applyFont="1" applyFill="1" applyBorder="1" applyAlignment="1">
      <alignment horizontal="center" vertical="center" wrapText="1" shrinkToFit="1"/>
    </xf>
    <xf numFmtId="10" fontId="116" fillId="0" borderId="3" xfId="0" applyNumberFormat="1" applyFont="1" applyFill="1" applyBorder="1" applyAlignment="1">
      <alignment horizontal="center" vertical="center" wrapText="1" shrinkToFit="1"/>
    </xf>
    <xf numFmtId="10" fontId="262" fillId="0" borderId="1" xfId="0" applyNumberFormat="1" applyFont="1" applyFill="1" applyBorder="1" applyAlignment="1">
      <alignment horizontal="center" vertical="center" wrapText="1" shrinkToFit="1"/>
    </xf>
    <xf numFmtId="183" fontId="262" fillId="0" borderId="1" xfId="0" applyNumberFormat="1" applyFont="1" applyFill="1" applyBorder="1" applyAlignment="1">
      <alignment horizontal="center" vertical="center" wrapText="1" shrinkToFit="1"/>
    </xf>
    <xf numFmtId="179" fontId="116" fillId="29" borderId="46" xfId="0" applyNumberFormat="1" applyFont="1" applyFill="1" applyBorder="1" applyAlignment="1">
      <alignment horizontal="center" vertical="center" wrapText="1" shrinkToFit="1"/>
    </xf>
    <xf numFmtId="179" fontId="116" fillId="29" borderId="36" xfId="0" applyNumberFormat="1" applyFont="1" applyFill="1" applyBorder="1" applyAlignment="1">
      <alignment horizontal="center" vertical="center" wrapText="1" shrinkToFit="1"/>
    </xf>
    <xf numFmtId="179" fontId="116" fillId="29" borderId="22" xfId="0" applyNumberFormat="1" applyFont="1" applyFill="1" applyBorder="1" applyAlignment="1">
      <alignment horizontal="center" vertical="center" wrapText="1" shrinkToFit="1"/>
    </xf>
    <xf numFmtId="179" fontId="116" fillId="29" borderId="4" xfId="0" applyNumberFormat="1" applyFont="1" applyFill="1" applyBorder="1" applyAlignment="1">
      <alignment horizontal="center" vertical="center" wrapText="1" shrinkToFit="1"/>
    </xf>
    <xf numFmtId="179" fontId="116" fillId="29" borderId="60" xfId="0" applyNumberFormat="1" applyFont="1" applyFill="1" applyBorder="1" applyAlignment="1">
      <alignment horizontal="center" vertical="center" wrapText="1" shrinkToFit="1"/>
    </xf>
    <xf numFmtId="179" fontId="116" fillId="29" borderId="7" xfId="0" applyNumberFormat="1" applyFont="1" applyFill="1" applyBorder="1" applyAlignment="1">
      <alignment horizontal="center" vertical="center" wrapText="1" shrinkToFit="1"/>
    </xf>
    <xf numFmtId="0" fontId="0" fillId="17" borderId="1" xfId="0" applyFill="1" applyBorder="1" applyAlignment="1">
      <alignment horizontal="center" vertical="center"/>
    </xf>
    <xf numFmtId="178" fontId="143" fillId="0" borderId="1" xfId="0" applyNumberFormat="1" applyFont="1" applyFill="1" applyBorder="1" applyAlignment="1">
      <alignment horizontal="center" vertical="center" wrapText="1"/>
    </xf>
    <xf numFmtId="0" fontId="268" fillId="19" borderId="0" xfId="0" applyFont="1" applyFill="1" applyBorder="1" applyAlignment="1">
      <alignment horizontal="center" vertical="center" wrapText="1"/>
    </xf>
    <xf numFmtId="0" fontId="143" fillId="0" borderId="1" xfId="0" applyFont="1" applyFill="1" applyBorder="1" applyAlignment="1">
      <alignment horizontal="center" vertical="center" wrapText="1"/>
    </xf>
    <xf numFmtId="179" fontId="143" fillId="0" borderId="1" xfId="0" applyNumberFormat="1" applyFont="1" applyFill="1" applyBorder="1" applyAlignment="1">
      <alignment horizontal="center" vertical="center" wrapText="1"/>
    </xf>
    <xf numFmtId="0" fontId="143" fillId="0" borderId="1" xfId="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11" fillId="0" borderId="5" xfId="0" applyFont="1" applyBorder="1" applyAlignment="1">
      <alignment horizontal="center" vertical="center"/>
    </xf>
    <xf numFmtId="0" fontId="211" fillId="0" borderId="3" xfId="0" applyFont="1" applyBorder="1" applyAlignment="1">
      <alignment horizontal="center" vertical="center"/>
    </xf>
    <xf numFmtId="0" fontId="211" fillId="0" borderId="54" xfId="0" applyFont="1" applyBorder="1" applyAlignment="1">
      <alignment horizontal="center" vertical="center"/>
    </xf>
    <xf numFmtId="0" fontId="211" fillId="0" borderId="46" xfId="0" applyFont="1" applyBorder="1" applyAlignment="1">
      <alignment horizontal="center" vertical="center"/>
    </xf>
    <xf numFmtId="0" fontId="211" fillId="0" borderId="36" xfId="0" applyFont="1" applyBorder="1" applyAlignment="1">
      <alignment horizontal="center" vertical="center"/>
    </xf>
    <xf numFmtId="0" fontId="211" fillId="0" borderId="22" xfId="0" applyFont="1" applyBorder="1" applyAlignment="1">
      <alignment horizontal="center" vertical="center"/>
    </xf>
    <xf numFmtId="0" fontId="211" fillId="0" borderId="58" xfId="0" applyFont="1" applyBorder="1" applyAlignment="1">
      <alignment horizontal="center" vertical="center"/>
    </xf>
    <xf numFmtId="0" fontId="211" fillId="0" borderId="0" xfId="0" applyFont="1" applyAlignment="1">
      <alignment horizontal="center" vertical="center"/>
    </xf>
    <xf numFmtId="0" fontId="211" fillId="0" borderId="35" xfId="0" applyFont="1" applyBorder="1" applyAlignment="1">
      <alignment horizontal="center" vertical="center"/>
    </xf>
    <xf numFmtId="0" fontId="211" fillId="0" borderId="4" xfId="0" applyFont="1" applyBorder="1" applyAlignment="1">
      <alignment horizontal="center" vertical="center"/>
    </xf>
    <xf numFmtId="0" fontId="211" fillId="0" borderId="60" xfId="0" applyFont="1" applyBorder="1" applyAlignment="1">
      <alignment horizontal="center" vertical="center"/>
    </xf>
    <xf numFmtId="0" fontId="211" fillId="0" borderId="7" xfId="0" applyFont="1" applyBorder="1" applyAlignment="1">
      <alignment horizontal="center" vertical="center"/>
    </xf>
    <xf numFmtId="0" fontId="275" fillId="0" borderId="0" xfId="0" applyFont="1" applyAlignment="1">
      <alignment horizontal="center" vertical="center"/>
    </xf>
    <xf numFmtId="0" fontId="274" fillId="0" borderId="1" xfId="0" applyFont="1" applyBorder="1" applyAlignment="1">
      <alignment horizontal="center" vertical="center"/>
    </xf>
    <xf numFmtId="0" fontId="274" fillId="0" borderId="5" xfId="0" applyFont="1" applyBorder="1" applyAlignment="1">
      <alignment horizontal="center" vertical="center"/>
    </xf>
    <xf numFmtId="0" fontId="274" fillId="0" borderId="54" xfId="0" applyFont="1" applyBorder="1" applyAlignment="1">
      <alignment horizontal="center" vertical="center"/>
    </xf>
    <xf numFmtId="0" fontId="274" fillId="0" borderId="3" xfId="0" applyFont="1" applyBorder="1" applyAlignment="1">
      <alignment horizontal="center" vertical="center"/>
    </xf>
    <xf numFmtId="0" fontId="0" fillId="0" borderId="5" xfId="0" applyBorder="1" applyAlignment="1">
      <alignment horizontal="center" vertical="center" wrapText="1"/>
    </xf>
    <xf numFmtId="0" fontId="0" fillId="0" borderId="54" xfId="0" applyBorder="1" applyAlignment="1">
      <alignment horizontal="center" vertical="center" wrapText="1"/>
    </xf>
    <xf numFmtId="0" fontId="0" fillId="15" borderId="1" xfId="0" applyFill="1" applyBorder="1" applyAlignment="1">
      <alignment horizontal="center" vertical="center" wrapText="1"/>
    </xf>
    <xf numFmtId="0" fontId="0" fillId="0" borderId="0" xfId="0" applyBorder="1" applyAlignment="1">
      <alignment horizontal="center" vertical="center" wrapText="1"/>
    </xf>
    <xf numFmtId="0" fontId="257" fillId="0" borderId="0" xfId="0" applyFont="1" applyBorder="1" applyAlignment="1">
      <alignment horizontal="center" vertical="center" wrapText="1"/>
    </xf>
    <xf numFmtId="0" fontId="0" fillId="21" borderId="13" xfId="0" applyFill="1" applyBorder="1" applyAlignment="1">
      <alignment horizontal="center" vertical="center" wrapText="1"/>
    </xf>
    <xf numFmtId="0" fontId="0" fillId="21" borderId="2" xfId="0" applyFill="1" applyBorder="1" applyAlignment="1">
      <alignment horizontal="center" vertical="center" wrapText="1"/>
    </xf>
    <xf numFmtId="0" fontId="257" fillId="21" borderId="13" xfId="0" applyFont="1" applyFill="1" applyBorder="1" applyAlignment="1">
      <alignment horizontal="center" vertical="center" wrapText="1"/>
    </xf>
    <xf numFmtId="0" fontId="257" fillId="21" borderId="2" xfId="0" applyFont="1" applyFill="1" applyBorder="1" applyAlignment="1">
      <alignment horizontal="center" vertical="center" wrapText="1"/>
    </xf>
    <xf numFmtId="0" fontId="0" fillId="21" borderId="15" xfId="0" applyFill="1" applyBorder="1" applyAlignment="1">
      <alignment horizontal="center" vertical="center" wrapText="1"/>
    </xf>
    <xf numFmtId="0" fontId="202" fillId="0" borderId="1" xfId="0" applyFont="1" applyFill="1" applyBorder="1" applyAlignment="1">
      <alignment horizontal="center" vertical="center"/>
    </xf>
    <xf numFmtId="0" fontId="135" fillId="0" borderId="0" xfId="0" applyFont="1" applyFill="1" applyBorder="1" applyAlignment="1">
      <alignment horizontal="center" vertical="center"/>
    </xf>
    <xf numFmtId="0" fontId="287" fillId="0" borderId="1" xfId="0" applyFont="1" applyBorder="1" applyAlignment="1">
      <alignment horizontal="center" vertical="center"/>
    </xf>
    <xf numFmtId="0" fontId="288" fillId="0" borderId="0" xfId="0" applyFont="1" applyAlignment="1">
      <alignment horizontal="center" vertical="center"/>
    </xf>
    <xf numFmtId="0" fontId="287" fillId="0" borderId="1" xfId="0" applyFont="1" applyFill="1" applyBorder="1" applyAlignment="1">
      <alignment horizontal="center" vertical="center"/>
    </xf>
    <xf numFmtId="0" fontId="287" fillId="0" borderId="13" xfId="0" applyFont="1" applyBorder="1" applyAlignment="1">
      <alignment horizontal="center" vertical="center"/>
    </xf>
    <xf numFmtId="0" fontId="287" fillId="0" borderId="15" xfId="0" applyFont="1" applyBorder="1" applyAlignment="1">
      <alignment horizontal="center" vertical="center"/>
    </xf>
    <xf numFmtId="0" fontId="287" fillId="0" borderId="2" xfId="0" applyFont="1" applyBorder="1" applyAlignment="1">
      <alignment horizontal="center" vertical="center"/>
    </xf>
    <xf numFmtId="0" fontId="0" fillId="7" borderId="1" xfId="0" applyFill="1" applyBorder="1" applyAlignment="1">
      <alignment horizontal="center" vertical="center" wrapText="1"/>
    </xf>
    <xf numFmtId="0" fontId="286" fillId="7" borderId="0" xfId="0" applyFont="1" applyFill="1" applyBorder="1" applyAlignment="1">
      <alignment horizontal="left" vertical="center"/>
    </xf>
    <xf numFmtId="0" fontId="282" fillId="7" borderId="0" xfId="0" applyFont="1" applyFill="1" applyBorder="1" applyAlignment="1">
      <alignment horizontal="left" vertical="center"/>
    </xf>
    <xf numFmtId="0" fontId="285" fillId="7" borderId="1" xfId="0" applyFont="1" applyFill="1" applyBorder="1" applyAlignment="1">
      <alignment horizontal="center" vertical="center"/>
    </xf>
    <xf numFmtId="0" fontId="282" fillId="7" borderId="5" xfId="0" applyFont="1" applyFill="1" applyBorder="1" applyAlignment="1">
      <alignment horizontal="center" vertical="center"/>
    </xf>
    <xf numFmtId="0" fontId="282" fillId="7" borderId="13" xfId="0" applyFont="1" applyFill="1" applyBorder="1" applyAlignment="1">
      <alignment horizontal="center" vertical="center"/>
    </xf>
    <xf numFmtId="0" fontId="282" fillId="7" borderId="46" xfId="0" applyFont="1" applyFill="1" applyBorder="1" applyAlignment="1">
      <alignment horizontal="center" vertical="center"/>
    </xf>
    <xf numFmtId="0" fontId="282" fillId="7" borderId="22" xfId="0" applyFont="1" applyFill="1" applyBorder="1" applyAlignment="1">
      <alignment horizontal="center" vertical="center"/>
    </xf>
    <xf numFmtId="0" fontId="282" fillId="7" borderId="3" xfId="0" applyFont="1" applyFill="1" applyBorder="1">
      <alignment vertical="center"/>
    </xf>
    <xf numFmtId="0" fontId="282" fillId="17" borderId="13" xfId="0" applyFont="1" applyFill="1" applyBorder="1" applyAlignment="1">
      <alignment horizontal="center" vertical="center" wrapText="1"/>
    </xf>
    <xf numFmtId="0" fontId="282" fillId="17" borderId="15" xfId="0" applyFont="1" applyFill="1" applyBorder="1" applyAlignment="1">
      <alignment horizontal="center" vertical="center" wrapText="1"/>
    </xf>
    <xf numFmtId="0" fontId="282" fillId="17" borderId="2" xfId="0" applyFont="1" applyFill="1" applyBorder="1" applyAlignment="1">
      <alignment horizontal="center" vertical="center" wrapText="1"/>
    </xf>
    <xf numFmtId="0" fontId="282" fillId="17" borderId="1" xfId="0" applyFont="1" applyFill="1" applyBorder="1" applyAlignment="1">
      <alignment horizontal="center" vertical="center"/>
    </xf>
    <xf numFmtId="0" fontId="282" fillId="7" borderId="4" xfId="0" applyFont="1" applyFill="1" applyBorder="1" applyAlignment="1">
      <alignment horizontal="center" vertical="center"/>
    </xf>
    <xf numFmtId="0" fontId="282" fillId="7" borderId="60" xfId="0" applyFont="1" applyFill="1" applyBorder="1" applyAlignment="1">
      <alignment horizontal="center" vertical="center"/>
    </xf>
    <xf numFmtId="0" fontId="282" fillId="7" borderId="7" xfId="0" applyFont="1" applyFill="1" applyBorder="1" applyAlignment="1">
      <alignment horizontal="center" vertical="center"/>
    </xf>
    <xf numFmtId="0" fontId="279" fillId="7" borderId="0" xfId="0" applyFont="1" applyFill="1" applyAlignment="1">
      <alignment horizontal="center" vertical="center"/>
    </xf>
    <xf numFmtId="0" fontId="281" fillId="7" borderId="1" xfId="0" applyFont="1" applyFill="1" applyBorder="1" applyAlignment="1">
      <alignment horizontal="center" vertical="center"/>
    </xf>
    <xf numFmtId="0" fontId="281" fillId="7" borderId="5" xfId="0" applyFont="1" applyFill="1" applyBorder="1" applyAlignment="1">
      <alignment horizontal="center" vertical="center"/>
    </xf>
    <xf numFmtId="0" fontId="281" fillId="7" borderId="54" xfId="0" applyFont="1" applyFill="1" applyBorder="1" applyAlignment="1">
      <alignment horizontal="center" vertical="center"/>
    </xf>
    <xf numFmtId="0" fontId="281" fillId="7" borderId="3" xfId="0" applyFont="1" applyFill="1" applyBorder="1" applyAlignment="1">
      <alignment horizontal="center" vertical="center"/>
    </xf>
  </cellXfs>
  <cellStyles count="90">
    <cellStyle name="百分比 2" xfId="14"/>
    <cellStyle name="常规" xfId="0" builtinId="0"/>
    <cellStyle name="常规 11 2" xfId="21"/>
    <cellStyle name="常规 16" xfId="10"/>
    <cellStyle name="常规 2" xfId="1"/>
    <cellStyle name="常规 2 2" xfId="8"/>
    <cellStyle name="常规 2 2 2 2 3" xfId="15"/>
    <cellStyle name="常规 3" xfId="2"/>
    <cellStyle name="常规 3 10" xfId="22"/>
    <cellStyle name="常规 3 11" xfId="23"/>
    <cellStyle name="常规 3 12" xfId="24"/>
    <cellStyle name="常规 3 2" xfId="3"/>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7" builtinId="8" hidden="1"/>
    <cellStyle name="超链接" xfId="19" builtinId="8" hidden="1"/>
    <cellStyle name="超链接" xfId="54" builtinId="8" hidden="1"/>
    <cellStyle name="超链接" xfId="56" builtinId="8" hidden="1"/>
    <cellStyle name="超链接" xfId="58" builtinId="8" hidden="1"/>
    <cellStyle name="超链接" xfId="60" builtinId="8" hidden="1"/>
    <cellStyle name="超链接" xfId="62" builtinId="8" hidden="1"/>
    <cellStyle name="超链接" xfId="64" builtinId="8" hidden="1"/>
    <cellStyle name="超链接" xfId="66" builtinId="8" hidden="1"/>
    <cellStyle name="超链接" xfId="68" builtinId="8" hidden="1"/>
    <cellStyle name="超链接" xfId="70" builtinId="8" hidden="1"/>
    <cellStyle name="超链接" xfId="72" builtinId="8" hidden="1"/>
    <cellStyle name="超链接" xfId="74" builtinId="8" hidden="1"/>
    <cellStyle name="超链接" xfId="76" builtinId="8" hidden="1"/>
    <cellStyle name="超链接" xfId="78" builtinId="8" hidden="1"/>
    <cellStyle name="超链接" xfId="80" builtinId="8" hidden="1"/>
    <cellStyle name="超链接" xfId="82" builtinId="8" hidden="1"/>
    <cellStyle name="超链接" xfId="84" builtinId="8" hidden="1"/>
    <cellStyle name="超链接" xfId="86" builtinId="8" hidden="1"/>
    <cellStyle name="超链接" xfId="88" builtinId="8" hidden="1"/>
    <cellStyle name="已访问的超链接" xfId="18" builtinId="9" hidden="1"/>
    <cellStyle name="已访问的超链接" xfId="20" builtinId="9" hidden="1"/>
    <cellStyle name="已访问的超链接" xfId="55" builtinId="9" hidden="1"/>
    <cellStyle name="已访问的超链接" xfId="57" builtinId="9" hidden="1"/>
    <cellStyle name="已访问的超链接" xfId="59" builtinId="9" hidden="1"/>
    <cellStyle name="已访问的超链接" xfId="61" builtinId="9" hidden="1"/>
    <cellStyle name="已访问的超链接" xfId="63" builtinId="9" hidden="1"/>
    <cellStyle name="已访问的超链接" xfId="65" builtinId="9" hidden="1"/>
    <cellStyle name="已访问的超链接" xfId="67" builtinId="9" hidden="1"/>
    <cellStyle name="已访问的超链接" xfId="69" builtinId="9" hidden="1"/>
    <cellStyle name="已访问的超链接" xfId="71" builtinId="9" hidden="1"/>
    <cellStyle name="已访问的超链接" xfId="73" builtinId="9" hidden="1"/>
    <cellStyle name="已访问的超链接" xfId="75" builtinId="9" hidden="1"/>
    <cellStyle name="已访问的超链接" xfId="77" builtinId="9" hidden="1"/>
    <cellStyle name="已访问的超链接" xfId="79" builtinId="9" hidden="1"/>
    <cellStyle name="已访问的超链接" xfId="81" builtinId="9" hidden="1"/>
    <cellStyle name="已访问的超链接" xfId="83" builtinId="9" hidden="1"/>
    <cellStyle name="已访问的超链接" xfId="85" builtinId="9" hidden="1"/>
    <cellStyle name="已访问的超链接" xfId="87" builtinId="9" hidden="1"/>
    <cellStyle name="已访问的超链接" xfId="89" builtinId="9" hidden="1"/>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75591</xdr:colOff>
      <xdr:row>9</xdr:row>
      <xdr:rowOff>85522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76191" cy="1628572"/>
        </a:xfrm>
        <a:prstGeom prst="rect">
          <a:avLst/>
        </a:prstGeom>
      </xdr:spPr>
    </xdr:pic>
    <xdr:clientData/>
  </xdr:twoCellAnchor>
  <xdr:twoCellAnchor editAs="oneCell">
    <xdr:from>
      <xdr:col>0</xdr:col>
      <xdr:colOff>0</xdr:colOff>
      <xdr:row>9</xdr:row>
      <xdr:rowOff>104775</xdr:rowOff>
    </xdr:from>
    <xdr:to>
      <xdr:col>7</xdr:col>
      <xdr:colOff>208924</xdr:colOff>
      <xdr:row>38</xdr:row>
      <xdr:rowOff>85106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47825"/>
          <a:ext cx="4942849" cy="4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156722</xdr:colOff>
      <xdr:row>31</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00522" cy="533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95250</xdr:colOff>
      <xdr:row>0</xdr:row>
      <xdr:rowOff>228600</xdr:rowOff>
    </xdr:from>
    <xdr:to>
      <xdr:col>13</xdr:col>
      <xdr:colOff>666336</xdr:colOff>
      <xdr:row>11</xdr:row>
      <xdr:rowOff>114086</xdr:rowOff>
    </xdr:to>
    <xdr:pic>
      <xdr:nvPicPr>
        <xdr:cNvPr id="2" name="图片 1"/>
        <xdr:cNvPicPr>
          <a:picLocks noChangeAspect="1"/>
        </xdr:cNvPicPr>
      </xdr:nvPicPr>
      <xdr:blipFill>
        <a:blip xmlns:r="http://schemas.openxmlformats.org/officeDocument/2006/relationships" r:embed="rId1"/>
        <a:stretch>
          <a:fillRect/>
        </a:stretch>
      </xdr:blipFill>
      <xdr:spPr>
        <a:xfrm>
          <a:off x="8010525" y="228600"/>
          <a:ext cx="331428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15</xdr:col>
      <xdr:colOff>269875</xdr:colOff>
      <xdr:row>59</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14795500" cy="7766050"/>
        </a:xfrm>
        <a:prstGeom prst="rect">
          <a:avLst/>
        </a:prstGeom>
      </xdr:spPr>
    </xdr:pic>
    <xdr:clientData/>
  </xdr:twoCellAnchor>
  <xdr:twoCellAnchor editAs="oneCell">
    <xdr:from>
      <xdr:col>0</xdr:col>
      <xdr:colOff>0</xdr:colOff>
      <xdr:row>46</xdr:row>
      <xdr:rowOff>0</xdr:rowOff>
    </xdr:from>
    <xdr:to>
      <xdr:col>15</xdr:col>
      <xdr:colOff>269875</xdr:colOff>
      <xdr:row>65</xdr:row>
      <xdr:rowOff>88900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63000"/>
          <a:ext cx="14579600" cy="3708400"/>
        </a:xfrm>
        <a:prstGeom prst="rect">
          <a:avLst/>
        </a:prstGeom>
      </xdr:spPr>
    </xdr:pic>
    <xdr:clientData/>
  </xdr:twoCellAnchor>
  <xdr:twoCellAnchor editAs="oneCell">
    <xdr:from>
      <xdr:col>0</xdr:col>
      <xdr:colOff>0</xdr:colOff>
      <xdr:row>68</xdr:row>
      <xdr:rowOff>0</xdr:rowOff>
    </xdr:from>
    <xdr:to>
      <xdr:col>5</xdr:col>
      <xdr:colOff>177800</xdr:colOff>
      <xdr:row>78</xdr:row>
      <xdr:rowOff>127000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54000"/>
          <a:ext cx="5549900" cy="2032000"/>
        </a:xfrm>
        <a:prstGeom prst="rect">
          <a:avLst/>
        </a:prstGeom>
      </xdr:spPr>
    </xdr:pic>
    <xdr:clientData/>
  </xdr:twoCellAnchor>
  <xdr:twoCellAnchor editAs="oneCell">
    <xdr:from>
      <xdr:col>9</xdr:col>
      <xdr:colOff>0</xdr:colOff>
      <xdr:row>68</xdr:row>
      <xdr:rowOff>0</xdr:rowOff>
    </xdr:from>
    <xdr:to>
      <xdr:col>17</xdr:col>
      <xdr:colOff>342900</xdr:colOff>
      <xdr:row>79</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6604000" y="12954000"/>
          <a:ext cx="6946900" cy="2247900"/>
        </a:xfrm>
        <a:prstGeom prst="rect">
          <a:avLst/>
        </a:prstGeom>
        <a:solidFill>
          <a:schemeClr val="tx2">
            <a:lumMod val="20000"/>
            <a:lumOff val="80000"/>
          </a:schemeClr>
        </a:solidFill>
      </xdr:spPr>
    </xdr:pic>
    <xdr:clientData/>
  </xdr:twoCellAnchor>
  <xdr:twoCellAnchor editAs="oneCell">
    <xdr:from>
      <xdr:col>9</xdr:col>
      <xdr:colOff>0</xdr:colOff>
      <xdr:row>80</xdr:row>
      <xdr:rowOff>0</xdr:rowOff>
    </xdr:from>
    <xdr:to>
      <xdr:col>15</xdr:col>
      <xdr:colOff>152400</xdr:colOff>
      <xdr:row>81</xdr:row>
      <xdr:rowOff>127000</xdr:rowOff>
    </xdr:to>
    <xdr:pic>
      <xdr:nvPicPr>
        <xdr:cNvPr id="6" name="图片 5"/>
        <xdr:cNvPicPr>
          <a:picLocks noChangeAspect="1"/>
        </xdr:cNvPicPr>
      </xdr:nvPicPr>
      <xdr:blipFill>
        <a:blip xmlns:r="http://schemas.openxmlformats.org/officeDocument/2006/relationships" r:embed="rId5"/>
        <a:stretch>
          <a:fillRect/>
        </a:stretch>
      </xdr:blipFill>
      <xdr:spPr>
        <a:xfrm>
          <a:off x="6604000" y="15240000"/>
          <a:ext cx="5105400" cy="317500"/>
        </a:xfrm>
        <a:prstGeom prst="rect">
          <a:avLst/>
        </a:prstGeom>
      </xdr:spPr>
    </xdr:pic>
    <xdr:clientData/>
  </xdr:twoCellAnchor>
  <xdr:twoCellAnchor editAs="oneCell">
    <xdr:from>
      <xdr:col>0</xdr:col>
      <xdr:colOff>0</xdr:colOff>
      <xdr:row>84</xdr:row>
      <xdr:rowOff>0</xdr:rowOff>
    </xdr:from>
    <xdr:to>
      <xdr:col>12</xdr:col>
      <xdr:colOff>142875</xdr:colOff>
      <xdr:row>120</xdr:row>
      <xdr:rowOff>168275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002000"/>
          <a:ext cx="11976100" cy="703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85183</xdr:colOff>
      <xdr:row>7</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28983" cy="1228725"/>
        </a:xfrm>
        <a:prstGeom prst="rect">
          <a:avLst/>
        </a:prstGeom>
      </xdr:spPr>
    </xdr:pic>
    <xdr:clientData/>
  </xdr:twoCellAnchor>
  <xdr:twoCellAnchor editAs="oneCell">
    <xdr:from>
      <xdr:col>0</xdr:col>
      <xdr:colOff>0</xdr:colOff>
      <xdr:row>6</xdr:row>
      <xdr:rowOff>95250</xdr:rowOff>
    </xdr:from>
    <xdr:to>
      <xdr:col>9</xdr:col>
      <xdr:colOff>19050</xdr:colOff>
      <xdr:row>26</xdr:row>
      <xdr:rowOff>85203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23950"/>
          <a:ext cx="6191250" cy="3418953"/>
        </a:xfrm>
        <a:prstGeom prst="rect">
          <a:avLst/>
        </a:prstGeom>
      </xdr:spPr>
    </xdr:pic>
    <xdr:clientData/>
  </xdr:twoCellAnchor>
  <xdr:twoCellAnchor editAs="oneCell">
    <xdr:from>
      <xdr:col>0</xdr:col>
      <xdr:colOff>1</xdr:colOff>
      <xdr:row>26</xdr:row>
      <xdr:rowOff>19050</xdr:rowOff>
    </xdr:from>
    <xdr:to>
      <xdr:col>11</xdr:col>
      <xdr:colOff>6961</xdr:colOff>
      <xdr:row>40</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1" y="4476750"/>
          <a:ext cx="7550760" cy="2505075"/>
        </a:xfrm>
        <a:prstGeom prst="rect">
          <a:avLst/>
        </a:prstGeom>
      </xdr:spPr>
    </xdr:pic>
    <xdr:clientData/>
  </xdr:twoCellAnchor>
  <xdr:twoCellAnchor editAs="oneCell">
    <xdr:from>
      <xdr:col>9</xdr:col>
      <xdr:colOff>19051</xdr:colOff>
      <xdr:row>7</xdr:row>
      <xdr:rowOff>0</xdr:rowOff>
    </xdr:from>
    <xdr:to>
      <xdr:col>15</xdr:col>
      <xdr:colOff>297057</xdr:colOff>
      <xdr:row>25</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6191251" y="1200150"/>
          <a:ext cx="4392806" cy="3228975"/>
        </a:xfrm>
        <a:prstGeom prst="rect">
          <a:avLst/>
        </a:prstGeom>
      </xdr:spPr>
    </xdr:pic>
    <xdr:clientData/>
  </xdr:twoCellAnchor>
  <xdr:twoCellAnchor editAs="oneCell">
    <xdr:from>
      <xdr:col>15</xdr:col>
      <xdr:colOff>47625</xdr:colOff>
      <xdr:row>1</xdr:row>
      <xdr:rowOff>123825</xdr:rowOff>
    </xdr:from>
    <xdr:to>
      <xdr:col>29</xdr:col>
      <xdr:colOff>208330</xdr:colOff>
      <xdr:row>28</xdr:row>
      <xdr:rowOff>37532</xdr:rowOff>
    </xdr:to>
    <xdr:pic>
      <xdr:nvPicPr>
        <xdr:cNvPr id="6" name="图片 5"/>
        <xdr:cNvPicPr>
          <a:picLocks noChangeAspect="1"/>
        </xdr:cNvPicPr>
      </xdr:nvPicPr>
      <xdr:blipFill>
        <a:blip xmlns:r="http://schemas.openxmlformats.org/officeDocument/2006/relationships" r:embed="rId5"/>
        <a:stretch>
          <a:fillRect/>
        </a:stretch>
      </xdr:blipFill>
      <xdr:spPr>
        <a:xfrm>
          <a:off x="10334625" y="295275"/>
          <a:ext cx="9761905" cy="4542857"/>
        </a:xfrm>
        <a:prstGeom prst="rect">
          <a:avLst/>
        </a:prstGeom>
      </xdr:spPr>
    </xdr:pic>
    <xdr:clientData/>
  </xdr:twoCellAnchor>
  <xdr:twoCellAnchor editAs="oneCell">
    <xdr:from>
      <xdr:col>0</xdr:col>
      <xdr:colOff>0</xdr:colOff>
      <xdr:row>41</xdr:row>
      <xdr:rowOff>0</xdr:rowOff>
    </xdr:from>
    <xdr:to>
      <xdr:col>12</xdr:col>
      <xdr:colOff>419100</xdr:colOff>
      <xdr:row>48</xdr:row>
      <xdr:rowOff>141139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029450"/>
          <a:ext cx="8648700" cy="1341289"/>
        </a:xfrm>
        <a:prstGeom prst="rect">
          <a:avLst/>
        </a:prstGeom>
      </xdr:spPr>
    </xdr:pic>
    <xdr:clientData/>
  </xdr:twoCellAnchor>
  <xdr:twoCellAnchor editAs="oneCell">
    <xdr:from>
      <xdr:col>0</xdr:col>
      <xdr:colOff>28575</xdr:colOff>
      <xdr:row>48</xdr:row>
      <xdr:rowOff>95250</xdr:rowOff>
    </xdr:from>
    <xdr:to>
      <xdr:col>10</xdr:col>
      <xdr:colOff>533117</xdr:colOff>
      <xdr:row>67</xdr:row>
      <xdr:rowOff>123203</xdr:rowOff>
    </xdr:to>
    <xdr:pic>
      <xdr:nvPicPr>
        <xdr:cNvPr id="8" name="图片 7"/>
        <xdr:cNvPicPr>
          <a:picLocks noChangeAspect="1"/>
        </xdr:cNvPicPr>
      </xdr:nvPicPr>
      <xdr:blipFill>
        <a:blip xmlns:r="http://schemas.openxmlformats.org/officeDocument/2006/relationships" r:embed="rId7"/>
        <a:stretch>
          <a:fillRect/>
        </a:stretch>
      </xdr:blipFill>
      <xdr:spPr>
        <a:xfrm>
          <a:off x="28575" y="8324850"/>
          <a:ext cx="7362542" cy="3285503"/>
        </a:xfrm>
        <a:prstGeom prst="rect">
          <a:avLst/>
        </a:prstGeom>
      </xdr:spPr>
    </xdr:pic>
    <xdr:clientData/>
  </xdr:twoCellAnchor>
  <xdr:twoCellAnchor editAs="oneCell">
    <xdr:from>
      <xdr:col>0</xdr:col>
      <xdr:colOff>47625</xdr:colOff>
      <xdr:row>67</xdr:row>
      <xdr:rowOff>128082</xdr:rowOff>
    </xdr:from>
    <xdr:to>
      <xdr:col>9</xdr:col>
      <xdr:colOff>247650</xdr:colOff>
      <xdr:row>80</xdr:row>
      <xdr:rowOff>56818</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 y="11615232"/>
          <a:ext cx="6372225" cy="2157586"/>
        </a:xfrm>
        <a:prstGeom prst="rect">
          <a:avLst/>
        </a:prstGeom>
      </xdr:spPr>
    </xdr:pic>
    <xdr:clientData/>
  </xdr:twoCellAnchor>
  <xdr:twoCellAnchor editAs="oneCell">
    <xdr:from>
      <xdr:col>11</xdr:col>
      <xdr:colOff>0</xdr:colOff>
      <xdr:row>49</xdr:row>
      <xdr:rowOff>0</xdr:rowOff>
    </xdr:from>
    <xdr:to>
      <xdr:col>15</xdr:col>
      <xdr:colOff>609181</xdr:colOff>
      <xdr:row>65</xdr:row>
      <xdr:rowOff>37753</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8401050"/>
          <a:ext cx="3352381" cy="2780953"/>
        </a:xfrm>
        <a:prstGeom prst="rect">
          <a:avLst/>
        </a:prstGeom>
      </xdr:spPr>
    </xdr:pic>
    <xdr:clientData/>
  </xdr:twoCellAnchor>
  <xdr:twoCellAnchor editAs="oneCell">
    <xdr:from>
      <xdr:col>0</xdr:col>
      <xdr:colOff>0</xdr:colOff>
      <xdr:row>81</xdr:row>
      <xdr:rowOff>0</xdr:rowOff>
    </xdr:from>
    <xdr:to>
      <xdr:col>13</xdr:col>
      <xdr:colOff>189363</xdr:colOff>
      <xdr:row>89</xdr:row>
      <xdr:rowOff>133162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3887450"/>
          <a:ext cx="9104763" cy="1504762"/>
        </a:xfrm>
        <a:prstGeom prst="rect">
          <a:avLst/>
        </a:prstGeom>
      </xdr:spPr>
    </xdr:pic>
    <xdr:clientData/>
  </xdr:twoCellAnchor>
  <xdr:twoCellAnchor editAs="oneCell">
    <xdr:from>
      <xdr:col>0</xdr:col>
      <xdr:colOff>0</xdr:colOff>
      <xdr:row>89</xdr:row>
      <xdr:rowOff>152400</xdr:rowOff>
    </xdr:from>
    <xdr:to>
      <xdr:col>11</xdr:col>
      <xdr:colOff>421901</xdr:colOff>
      <xdr:row>113</xdr:row>
      <xdr:rowOff>161298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411450"/>
          <a:ext cx="7965701" cy="4123698"/>
        </a:xfrm>
        <a:prstGeom prst="rect">
          <a:avLst/>
        </a:prstGeom>
      </xdr:spPr>
    </xdr:pic>
    <xdr:clientData/>
  </xdr:twoCellAnchor>
  <xdr:twoCellAnchor editAs="oneCell">
    <xdr:from>
      <xdr:col>0</xdr:col>
      <xdr:colOff>0</xdr:colOff>
      <xdr:row>114</xdr:row>
      <xdr:rowOff>0</xdr:rowOff>
    </xdr:from>
    <xdr:to>
      <xdr:col>11</xdr:col>
      <xdr:colOff>113343</xdr:colOff>
      <xdr:row>128</xdr:row>
      <xdr:rowOff>152081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19545300"/>
          <a:ext cx="7657143" cy="2552381"/>
        </a:xfrm>
        <a:prstGeom prst="rect">
          <a:avLst/>
        </a:prstGeom>
      </xdr:spPr>
    </xdr:pic>
    <xdr:clientData/>
  </xdr:twoCellAnchor>
  <xdr:twoCellAnchor editAs="oneCell">
    <xdr:from>
      <xdr:col>0</xdr:col>
      <xdr:colOff>0</xdr:colOff>
      <xdr:row>131</xdr:row>
      <xdr:rowOff>0</xdr:rowOff>
    </xdr:from>
    <xdr:to>
      <xdr:col>11</xdr:col>
      <xdr:colOff>551439</xdr:colOff>
      <xdr:row>156</xdr:row>
      <xdr:rowOff>28036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2459950"/>
          <a:ext cx="8095239" cy="43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238125</xdr:colOff>
      <xdr:row>21</xdr:row>
      <xdr:rowOff>130968</xdr:rowOff>
    </xdr:from>
    <xdr:to>
      <xdr:col>25</xdr:col>
      <xdr:colOff>471028</xdr:colOff>
      <xdr:row>37</xdr:row>
      <xdr:rowOff>159182</xdr:rowOff>
    </xdr:to>
    <xdr:pic>
      <xdr:nvPicPr>
        <xdr:cNvPr id="2" name="图片 1"/>
        <xdr:cNvPicPr>
          <a:picLocks noChangeAspect="1"/>
        </xdr:cNvPicPr>
      </xdr:nvPicPr>
      <xdr:blipFill>
        <a:blip xmlns:r="http://schemas.openxmlformats.org/officeDocument/2006/relationships" r:embed="rId1"/>
        <a:stretch>
          <a:fillRect/>
        </a:stretch>
      </xdr:blipFill>
      <xdr:spPr>
        <a:xfrm>
          <a:off x="15978188" y="4167187"/>
          <a:ext cx="3685715" cy="2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ow r="39">
          <cell r="N39">
            <v>9.33</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1214</v>
      </c>
      <c r="B1" s="1581" t="s">
        <v>1293</v>
      </c>
    </row>
    <row r="2" spans="1:2" s="1586" customFormat="1" ht="15" thickTop="1">
      <c r="A2" s="1584" t="s">
        <v>1215</v>
      </c>
      <c r="B2" s="1585" t="str">
        <f>'预评函-封皮'!B37:I37</f>
        <v>北京市房地产市场价值预评估</v>
      </c>
    </row>
    <row r="3" spans="1:2" s="1589" customFormat="1">
      <c r="A3" s="1587" t="s">
        <v>1216</v>
      </c>
      <c r="B3" s="1588" t="str">
        <f>'预评函-封皮'!B40</f>
        <v>保障房中心</v>
      </c>
    </row>
    <row r="4" spans="1:2" s="1589" customFormat="1">
      <c r="A4" s="1587" t="s">
        <v>1217</v>
      </c>
      <c r="B4" s="1588" t="str">
        <f ca="1">'预评函-封皮'!B46</f>
        <v>叶凌（注册号：1119970111)、陈颖（注册号：1120060040)</v>
      </c>
    </row>
    <row r="5" spans="1:2" s="1583" customFormat="1" ht="15" thickBot="1">
      <c r="A5" s="1590" t="s">
        <v>1218</v>
      </c>
      <c r="B5" s="1591" t="str">
        <f>'预评函-封皮'!B49</f>
        <v>康正预评字号</v>
      </c>
    </row>
    <row r="6" spans="1:2" s="1586" customFormat="1" ht="15" thickTop="1">
      <c r="A6" s="1584" t="s">
        <v>1219</v>
      </c>
      <c r="B6" s="1585" t="str">
        <f>'预评函-1'!A4</f>
        <v>受贵公司委托，我公司对北京市房地产市场价值进行了预评估。</v>
      </c>
    </row>
    <row r="7" spans="1:2" s="1589" customFormat="1">
      <c r="A7" s="1587" t="s">
        <v>1259</v>
      </c>
      <c r="B7" s="1588" t="str">
        <f>'预评函-1'!A7</f>
        <v>估价对象为北京市房地产，为所有。根据《国有土地使用证》[]，估价对象（分摊）出让国有建设用地使用权面积为45212.18平方米，建筑面积为135636.54平方米。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估价对象为北京市房地产,属开发建设的，该项目尚在开发建设中。根据《国有土地使用证》[]，估价对象（分摊）出让国有建设用地使用权面积为45212.18平方米，规划建筑面积为135636.54平方米。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为估价委托人了解估价对象房地产市场价值提供参考依据。</v>
      </c>
    </row>
    <row r="12" spans="1:2" s="1589" customFormat="1">
      <c r="A12" s="1587" t="s">
        <v>1221</v>
      </c>
      <c r="B12" s="1588" t="str">
        <f>'预评函-1'!A15</f>
        <v>2020年6月29日（评估专业人员实地查勘之日）</v>
      </c>
    </row>
    <row r="13" spans="1:2" s="1589" customFormat="1">
      <c r="A13" s="1587" t="s">
        <v>1222</v>
      </c>
      <c r="B13" s="1588" t="str">
        <f>'预评函-1'!A18</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4" spans="1:2" s="1589" customFormat="1">
      <c r="A14" s="1587" t="s">
        <v>1223</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v>
      </c>
    </row>
    <row r="16" spans="1:2" s="1589" customFormat="1">
      <c r="A16" s="1587" t="s">
        <v>1225</v>
      </c>
      <c r="B16" s="1588" t="str">
        <f>'预评函-1'!A21</f>
        <v>——</v>
      </c>
    </row>
    <row r="17" spans="1:2" s="1589" customFormat="1">
      <c r="A17" s="1587" t="s">
        <v>1226</v>
      </c>
      <c r="B17" s="1588" t="str">
        <f>'预评函-1'!A22</f>
        <v>——</v>
      </c>
    </row>
    <row r="18" spans="1:2" s="1583" customFormat="1" ht="15" thickBot="1">
      <c r="A18" s="1590" t="s">
        <v>1227</v>
      </c>
      <c r="B18" s="1591" t="str">
        <f>'预评函-1'!A24</f>
        <v>本次评估采用的主估价方法为比较法和成本法。</v>
      </c>
    </row>
    <row r="19" spans="1:2" s="1586" customFormat="1" ht="15" thickTop="1">
      <c r="A19" s="1584" t="s">
        <v>1228</v>
      </c>
      <c r="B19" s="1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9" customFormat="1">
      <c r="A20" s="1587" t="s">
        <v>1229</v>
      </c>
      <c r="B20" s="1588">
        <f ca="1">'预评函-2'!D5</f>
        <v>305676</v>
      </c>
    </row>
    <row r="21" spans="1:2" s="1589" customFormat="1">
      <c r="A21" s="1587" t="s">
        <v>1230</v>
      </c>
      <c r="B21" s="1588">
        <f ca="1">'预评函-2'!D7</f>
        <v>22536</v>
      </c>
    </row>
    <row r="22" spans="1:2" s="1589" customFormat="1">
      <c r="A22" s="1587" t="s">
        <v>1231</v>
      </c>
      <c r="B22" s="1588" t="str">
        <f ca="1">'预评函-2'!D6</f>
        <v>叁拾亿伍仟陆佰柒拾陆万元整</v>
      </c>
    </row>
    <row r="23" spans="1:2" s="1589" customFormat="1">
      <c r="A23" s="1587" t="s">
        <v>1282</v>
      </c>
      <c r="B23" s="1588" t="str">
        <f>'预评函-2'!B8</f>
        <v>2.估价师知悉的法定优先受偿款</v>
      </c>
    </row>
    <row r="24" spans="1:2" s="1589" customFormat="1">
      <c r="A24" s="1587" t="s">
        <v>1288</v>
      </c>
      <c r="B24" s="1588">
        <f>'预评函-2'!D8</f>
        <v>0</v>
      </c>
    </row>
    <row r="25" spans="1:2" s="1589" customFormat="1">
      <c r="A25" s="1587" t="s">
        <v>1232</v>
      </c>
      <c r="B25" s="1588" t="str">
        <f>'预评函-2'!D9</f>
        <v>零元整</v>
      </c>
    </row>
    <row r="26" spans="1:2" s="1589" customFormat="1">
      <c r="A26" s="1587" t="s">
        <v>1233</v>
      </c>
      <c r="B26" s="1588">
        <f>'预评函-2'!D10</f>
        <v>0</v>
      </c>
    </row>
    <row r="27" spans="1:2" s="1589" customFormat="1">
      <c r="A27" s="1587" t="s">
        <v>1234</v>
      </c>
      <c r="B27" s="1588">
        <f>'预评函-2'!D11</f>
        <v>0</v>
      </c>
    </row>
    <row r="28" spans="1:2" s="1589" customFormat="1">
      <c r="A28" s="1587" t="s">
        <v>1235</v>
      </c>
      <c r="B28" s="1588">
        <f>'预评函-2'!D12</f>
        <v>0</v>
      </c>
    </row>
    <row r="29" spans="1:2" s="1589" customFormat="1">
      <c r="A29" s="1587" t="s">
        <v>1286</v>
      </c>
      <c r="B29" s="1588" t="str">
        <f>'预评函-2'!B13</f>
        <v>3.房地产抵押价值</v>
      </c>
    </row>
    <row r="30" spans="1:2" s="1589" customFormat="1">
      <c r="A30" s="1587" t="s">
        <v>1287</v>
      </c>
      <c r="B30" s="1588">
        <f ca="1">'预评函-2'!D13</f>
        <v>305676</v>
      </c>
    </row>
    <row r="31" spans="1:2" s="1589" customFormat="1">
      <c r="A31" s="1587" t="s">
        <v>1269</v>
      </c>
      <c r="B31" s="1588">
        <f ca="1">'预评函-2'!D15</f>
        <v>22536</v>
      </c>
    </row>
    <row r="32" spans="1:2" s="1589" customFormat="1">
      <c r="A32" s="1587" t="s">
        <v>1236</v>
      </c>
      <c r="B32" s="1588" t="str">
        <f ca="1">'预评函-2'!D14</f>
        <v>叁拾亿伍仟陆佰柒拾陆万元整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北京市房地产</v>
      </c>
    </row>
    <row r="42" spans="1:2" s="1589" customFormat="1">
      <c r="A42" s="1587" t="s">
        <v>1283</v>
      </c>
      <c r="B42" s="1588" t="str">
        <f>'预评函-3'!B2</f>
        <v>建筑面积</v>
      </c>
    </row>
    <row r="43" spans="1:2" s="1589" customFormat="1">
      <c r="A43" s="1587" t="s">
        <v>1284</v>
      </c>
      <c r="B43" s="1588">
        <f>'预评函-3'!B4</f>
        <v>135636.54</v>
      </c>
    </row>
    <row r="44" spans="1:2" s="1589" customFormat="1">
      <c r="A44" s="1587" t="s">
        <v>1268</v>
      </c>
      <c r="B44" s="1588" t="str">
        <f>'预评函-3'!C2</f>
        <v>(分摊)土地面积</v>
      </c>
    </row>
    <row r="45" spans="1:2" s="1589" customFormat="1">
      <c r="A45" s="1587" t="s">
        <v>1240</v>
      </c>
      <c r="B45" s="1588">
        <f>'预评函-3'!C4</f>
        <v>45212.18</v>
      </c>
    </row>
    <row r="46" spans="1:2" s="1589" customFormat="1">
      <c r="A46" s="1587" t="s">
        <v>1266</v>
      </c>
      <c r="B46" s="1588" t="str">
        <f>'预评函-3'!D2</f>
        <v>出让国有建设用地使用权价值</v>
      </c>
    </row>
    <row r="47" spans="1:2" s="1589" customFormat="1">
      <c r="A47" s="1587" t="s">
        <v>1241</v>
      </c>
      <c r="B47" s="1588" t="e">
        <f ca="1">'预评函-3'!D4</f>
        <v>#REF!</v>
      </c>
    </row>
    <row r="48" spans="1:2" s="1589" customFormat="1">
      <c r="A48" s="1587" t="s">
        <v>1242</v>
      </c>
      <c r="B48" s="1588" t="e">
        <f ca="1">'预评函-3'!E4</f>
        <v>#REF!</v>
      </c>
    </row>
    <row r="49" spans="1:2" s="1589" customFormat="1">
      <c r="A49" s="1587" t="s">
        <v>1243</v>
      </c>
      <c r="B49" s="1588" t="e">
        <f ca="1">'预评函-3'!D5</f>
        <v>#REF!</v>
      </c>
    </row>
    <row r="50" spans="1:2" s="1589" customFormat="1">
      <c r="A50" s="1587" t="s">
        <v>1267</v>
      </c>
      <c r="B50" s="1588" t="str">
        <f>'预评函-3'!F2</f>
        <v>在建建筑物价值</v>
      </c>
    </row>
    <row r="51" spans="1:2" s="1589" customFormat="1">
      <c r="A51" s="1587" t="s">
        <v>1244</v>
      </c>
      <c r="B51" s="1588" t="e">
        <f ca="1">'预评函-3'!F4</f>
        <v>#REF!</v>
      </c>
    </row>
    <row r="52" spans="1:2" s="1589" customFormat="1">
      <c r="A52" s="1587" t="s">
        <v>1245</v>
      </c>
      <c r="B52" s="1588" t="e">
        <f ca="1">'预评函-3'!G4</f>
        <v>#REF!</v>
      </c>
    </row>
    <row r="53" spans="1:2" s="1589" customFormat="1">
      <c r="A53" s="1587" t="s">
        <v>1273</v>
      </c>
      <c r="B53" s="1588" t="e">
        <f ca="1">'预评函-3'!F5</f>
        <v>#REF!</v>
      </c>
    </row>
    <row r="54" spans="1:2" s="1589" customFormat="1">
      <c r="A54" s="1587" t="s">
        <v>1291</v>
      </c>
      <c r="B54" s="1588" t="str">
        <f>'预评函-3'!A8</f>
        <v/>
      </c>
    </row>
    <row r="55" spans="1:2" s="1589" customFormat="1">
      <c r="A55" s="1587" t="s">
        <v>1274</v>
      </c>
      <c r="B55" s="1588" t="str">
        <f>'预评函-3'!A10</f>
        <v/>
      </c>
    </row>
    <row r="56" spans="1:2" s="1589" customFormat="1">
      <c r="A56" s="1587" t="s">
        <v>1275</v>
      </c>
      <c r="B56" s="1588" t="str">
        <f>'预评函-3'!A12</f>
        <v/>
      </c>
    </row>
    <row r="57" spans="1:2" s="1583" customFormat="1" ht="15" thickBot="1">
      <c r="A57" s="1590" t="s">
        <v>1292</v>
      </c>
      <c r="B57" s="1591" t="str">
        <f>'预评函-3'!A6</f>
        <v/>
      </c>
    </row>
    <row r="58" spans="1:2" s="1586" customFormat="1" ht="15" thickTop="1">
      <c r="A58" s="1584" t="s">
        <v>1246</v>
      </c>
      <c r="B58" s="1585" t="str">
        <f>'预评函-4'!A12</f>
        <v>2.本次评估设定估价对象房地产权属无争议，未被查封或者以其他形式限制其房地产权利，未设定抵押权等他项权利，不涉及第三方权利义务。</v>
      </c>
    </row>
    <row r="59" spans="1:2" s="1589" customFormat="1">
      <c r="A59" s="1587" t="s">
        <v>1247</v>
      </c>
      <c r="B59" s="1588" t="str">
        <f>'预评函-4'!A13</f>
        <v>——</v>
      </c>
    </row>
    <row r="60" spans="1:2" s="1589" customFormat="1">
      <c r="A60" s="1587" t="s">
        <v>1248</v>
      </c>
      <c r="B60" s="1588" t="str">
        <f>'预评函-4'!A14</f>
        <v>——</v>
      </c>
    </row>
    <row r="61" spans="1:2" s="1589" customFormat="1">
      <c r="A61" s="1587" t="s">
        <v>1249</v>
      </c>
      <c r="B61" s="1588" t="str">
        <f>'预评函-4'!A15</f>
        <v>——</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v>
      </c>
    </row>
    <row r="65" spans="1:2" s="1589" customFormat="1">
      <c r="A65" s="1587" t="s">
        <v>1252</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v>
      </c>
    </row>
    <row r="67" spans="1:2" s="1589" customFormat="1">
      <c r="A67" s="1587" t="s">
        <v>1264</v>
      </c>
      <c r="B67" s="1588" t="str">
        <f>'预评函-4'!A21</f>
        <v>——</v>
      </c>
    </row>
    <row r="68" spans="1:2" s="1589" customFormat="1">
      <c r="A68" s="1587" t="s">
        <v>1265</v>
      </c>
      <c r="B68" s="1588" t="str">
        <f>'预评函-4'!A22</f>
        <v>8.其他需特殊说明事项：无（注意调整序号）</v>
      </c>
    </row>
    <row r="69" spans="1:2" s="1583" customFormat="1" ht="15" thickBot="1">
      <c r="A69" s="1590" t="s">
        <v>1254</v>
      </c>
      <c r="B69" s="1592">
        <f>'预评函-4'!C31</f>
        <v>42551</v>
      </c>
    </row>
    <row r="70" spans="1:2" ht="15" thickTop="1">
      <c r="A70" s="1593" t="s">
        <v>1255</v>
      </c>
      <c r="B70" s="1594" t="str">
        <f>'预评函-4'!A4</f>
        <v>叶凌</v>
      </c>
    </row>
    <row r="71" spans="1:2">
      <c r="A71" s="1587" t="s">
        <v>1256</v>
      </c>
      <c r="B71" s="1588">
        <f ca="1">'预评函-4'!B4</f>
        <v>1119970111</v>
      </c>
    </row>
    <row r="72" spans="1:2">
      <c r="A72" s="1587" t="s">
        <v>1257</v>
      </c>
      <c r="B72" s="1596" t="str">
        <f>'预评函-4'!A5</f>
        <v>陈颖</v>
      </c>
    </row>
    <row r="73" spans="1:2" s="1583" customFormat="1" ht="15" thickBot="1">
      <c r="A73" s="1590" t="s">
        <v>1258</v>
      </c>
      <c r="B73" s="1591">
        <f ca="1">'预评函-4'!B5</f>
        <v>1120060040</v>
      </c>
    </row>
    <row r="74" spans="1:2" ht="15"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C35" sqref="C35"/>
    </sheetView>
  </sheetViews>
  <sheetFormatPr defaultColWidth="9" defaultRowHeight="13.5"/>
  <cols>
    <col min="1" max="1" width="20.625" style="2011" customWidth="1"/>
    <col min="2" max="2" width="23.125" style="1962" customWidth="1"/>
    <col min="3" max="3" width="13" style="2006" customWidth="1"/>
    <col min="4" max="4" width="5.8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1684</v>
      </c>
      <c r="C1" s="1996" t="s">
        <v>759</v>
      </c>
      <c r="D1" s="1997" t="s">
        <v>1685</v>
      </c>
      <c r="E1" s="1997" t="s">
        <v>1686</v>
      </c>
      <c r="F1" s="1997" t="s">
        <v>1687</v>
      </c>
      <c r="G1" s="1997" t="s">
        <v>1688</v>
      </c>
      <c r="H1" s="1997" t="s">
        <v>1689</v>
      </c>
      <c r="I1" s="1997" t="s">
        <v>1690</v>
      </c>
      <c r="J1" s="1997" t="s">
        <v>1691</v>
      </c>
      <c r="K1" s="1997" t="s">
        <v>1692</v>
      </c>
      <c r="L1" s="1997" t="s">
        <v>1693</v>
      </c>
      <c r="M1" s="1997" t="s">
        <v>1694</v>
      </c>
      <c r="N1" s="1997" t="s">
        <v>1695</v>
      </c>
      <c r="O1" s="1997" t="s">
        <v>1696</v>
      </c>
      <c r="P1" s="1998" t="s">
        <v>753</v>
      </c>
      <c r="Q1" s="1998" t="s">
        <v>1140</v>
      </c>
      <c r="R1" s="1997" t="s">
        <v>1134</v>
      </c>
      <c r="S1" s="1997" t="s">
        <v>1697</v>
      </c>
      <c r="T1" s="1999" t="s">
        <v>1698</v>
      </c>
      <c r="U1" s="1997" t="s">
        <v>1699</v>
      </c>
      <c r="V1" s="1997" t="s">
        <v>1700</v>
      </c>
      <c r="W1" s="1997" t="s">
        <v>755</v>
      </c>
    </row>
    <row r="2" spans="1:23">
      <c r="A2" s="2001" t="s">
        <v>22</v>
      </c>
      <c r="B2" s="2001" t="s">
        <v>1701</v>
      </c>
      <c r="C2" s="2002" t="s">
        <v>760</v>
      </c>
      <c r="D2" s="2003" t="s">
        <v>1702</v>
      </c>
      <c r="E2" s="2003" t="s">
        <v>1703</v>
      </c>
      <c r="F2" s="2003" t="s">
        <v>1704</v>
      </c>
      <c r="G2" s="2003">
        <v>40</v>
      </c>
      <c r="H2" s="2003" t="s">
        <v>1704</v>
      </c>
      <c r="I2" s="2003" t="s">
        <v>1705</v>
      </c>
      <c r="J2" s="2003" t="s">
        <v>1706</v>
      </c>
      <c r="K2" s="2003" t="s">
        <v>1707</v>
      </c>
      <c r="L2" s="2003" t="s">
        <v>1707</v>
      </c>
      <c r="M2" s="2003" t="s">
        <v>1707</v>
      </c>
      <c r="N2" s="2003" t="s">
        <v>1707</v>
      </c>
      <c r="O2" s="2003" t="s">
        <v>1707</v>
      </c>
      <c r="P2" s="2003" t="s">
        <v>1707</v>
      </c>
      <c r="Q2" s="2003" t="s">
        <v>1707</v>
      </c>
      <c r="R2" s="2003" t="s">
        <v>1136</v>
      </c>
      <c r="S2" s="2003" t="s">
        <v>1707</v>
      </c>
      <c r="T2" s="2003" t="s">
        <v>1708</v>
      </c>
      <c r="U2" s="2003" t="s">
        <v>1707</v>
      </c>
      <c r="V2" s="2003" t="s">
        <v>1709</v>
      </c>
      <c r="W2" s="2003" t="s">
        <v>1707</v>
      </c>
    </row>
    <row r="3" spans="1:23">
      <c r="A3" s="2001" t="s">
        <v>1710</v>
      </c>
      <c r="B3" s="2004" t="s">
        <v>1141</v>
      </c>
      <c r="C3" s="2005" t="s">
        <v>761</v>
      </c>
      <c r="D3" s="2003" t="s">
        <v>1711</v>
      </c>
      <c r="E3" s="2003" t="s">
        <v>16</v>
      </c>
      <c r="F3" s="2003" t="s">
        <v>1712</v>
      </c>
      <c r="G3" s="2003">
        <v>50</v>
      </c>
      <c r="H3" s="2003" t="s">
        <v>1712</v>
      </c>
      <c r="I3" s="2003" t="s">
        <v>1713</v>
      </c>
      <c r="J3" s="2003" t="s">
        <v>1714</v>
      </c>
      <c r="K3" s="2003" t="s">
        <v>1715</v>
      </c>
      <c r="L3" s="2003" t="s">
        <v>1715</v>
      </c>
      <c r="M3" s="2003" t="s">
        <v>1715</v>
      </c>
      <c r="N3" s="2003" t="s">
        <v>1715</v>
      </c>
      <c r="O3" s="2003" t="s">
        <v>1715</v>
      </c>
      <c r="P3" s="2003" t="s">
        <v>1715</v>
      </c>
      <c r="Q3" s="2003" t="s">
        <v>1715</v>
      </c>
      <c r="R3" s="2003" t="s">
        <v>1135</v>
      </c>
      <c r="S3" s="2003" t="s">
        <v>1715</v>
      </c>
      <c r="T3" s="2003" t="s">
        <v>1716</v>
      </c>
      <c r="U3" s="2003" t="s">
        <v>1715</v>
      </c>
      <c r="V3" s="2003" t="s">
        <v>1717</v>
      </c>
      <c r="W3" s="2003" t="s">
        <v>1715</v>
      </c>
    </row>
    <row r="4" spans="1:23">
      <c r="A4" s="2001" t="s">
        <v>1718</v>
      </c>
      <c r="B4" s="2001" t="s">
        <v>1719</v>
      </c>
      <c r="C4" s="2002" t="s">
        <v>762</v>
      </c>
      <c r="D4" s="2003" t="s">
        <v>864</v>
      </c>
      <c r="E4" s="2003" t="s">
        <v>1720</v>
      </c>
      <c r="F4" s="2003" t="s">
        <v>1721</v>
      </c>
      <c r="G4" s="2003">
        <v>70</v>
      </c>
      <c r="H4" s="2003" t="s">
        <v>1721</v>
      </c>
      <c r="I4" s="2003" t="s">
        <v>1722</v>
      </c>
      <c r="K4" s="2003" t="s">
        <v>1723</v>
      </c>
      <c r="L4" s="2003" t="s">
        <v>1723</v>
      </c>
      <c r="M4" s="2003" t="s">
        <v>1723</v>
      </c>
      <c r="N4" s="2003" t="s">
        <v>1723</v>
      </c>
      <c r="O4" s="2003" t="s">
        <v>1723</v>
      </c>
      <c r="P4" s="2003" t="s">
        <v>1723</v>
      </c>
      <c r="Q4" s="2003" t="s">
        <v>1723</v>
      </c>
      <c r="R4" s="2003" t="s">
        <v>1137</v>
      </c>
      <c r="S4" s="2003" t="s">
        <v>1723</v>
      </c>
      <c r="T4" s="2003" t="s">
        <v>1724</v>
      </c>
      <c r="U4" s="2003" t="s">
        <v>1723</v>
      </c>
      <c r="W4" s="2003" t="s">
        <v>1723</v>
      </c>
    </row>
    <row r="5" spans="1:23">
      <c r="A5" s="2001" t="s">
        <v>1725</v>
      </c>
      <c r="B5" s="2001" t="s">
        <v>1726</v>
      </c>
      <c r="C5" s="2002" t="s">
        <v>763</v>
      </c>
      <c r="F5" s="2003" t="s">
        <v>1727</v>
      </c>
      <c r="H5" s="2003" t="s">
        <v>1728</v>
      </c>
      <c r="I5" s="2003" t="s">
        <v>1729</v>
      </c>
      <c r="K5" s="2003" t="s">
        <v>1730</v>
      </c>
      <c r="L5" s="2003" t="s">
        <v>1730</v>
      </c>
      <c r="M5" s="2003" t="s">
        <v>1730</v>
      </c>
      <c r="N5" s="2003" t="s">
        <v>1730</v>
      </c>
      <c r="O5" s="2003" t="s">
        <v>1730</v>
      </c>
      <c r="P5" s="2003" t="s">
        <v>1730</v>
      </c>
      <c r="Q5" s="2003" t="s">
        <v>1730</v>
      </c>
      <c r="R5" s="2003" t="s">
        <v>1138</v>
      </c>
      <c r="S5" s="2003" t="s">
        <v>1730</v>
      </c>
      <c r="T5" s="2003" t="s">
        <v>1731</v>
      </c>
      <c r="U5" s="2003" t="s">
        <v>1730</v>
      </c>
      <c r="W5" s="2003" t="s">
        <v>1730</v>
      </c>
    </row>
    <row r="6" spans="1:23">
      <c r="A6" s="2001" t="s">
        <v>1732</v>
      </c>
      <c r="B6" s="2004" t="s">
        <v>1142</v>
      </c>
      <c r="C6" s="2007" t="s">
        <v>30</v>
      </c>
      <c r="F6" s="2003" t="s">
        <v>1728</v>
      </c>
      <c r="H6" s="2003" t="s">
        <v>1733</v>
      </c>
      <c r="I6" s="2003" t="s">
        <v>1734</v>
      </c>
      <c r="K6" s="2003" t="s">
        <v>1735</v>
      </c>
      <c r="L6" s="2003" t="s">
        <v>1735</v>
      </c>
      <c r="M6" s="2003" t="s">
        <v>1735</v>
      </c>
      <c r="N6" s="2003" t="s">
        <v>1735</v>
      </c>
      <c r="O6" s="2003" t="s">
        <v>1735</v>
      </c>
      <c r="P6" s="2003" t="s">
        <v>1735</v>
      </c>
      <c r="Q6" s="2003" t="s">
        <v>1735</v>
      </c>
      <c r="R6" s="2003" t="s">
        <v>1139</v>
      </c>
      <c r="S6" s="2003" t="s">
        <v>1735</v>
      </c>
      <c r="T6" s="2003"/>
      <c r="U6" s="2003" t="s">
        <v>1735</v>
      </c>
      <c r="W6" s="2003" t="s">
        <v>1735</v>
      </c>
    </row>
    <row r="7" spans="1:23">
      <c r="A7" s="2001" t="s">
        <v>1736</v>
      </c>
      <c r="B7" s="2004" t="s">
        <v>1143</v>
      </c>
      <c r="C7" s="2002" t="s">
        <v>31</v>
      </c>
      <c r="F7" s="2003" t="s">
        <v>1737</v>
      </c>
      <c r="H7" s="2003" t="s">
        <v>1738</v>
      </c>
      <c r="I7" s="2003" t="s">
        <v>1739</v>
      </c>
    </row>
    <row r="8" spans="1:23">
      <c r="A8" s="2001" t="s">
        <v>1740</v>
      </c>
      <c r="B8" s="2001" t="s">
        <v>1741</v>
      </c>
      <c r="C8" s="2002" t="s">
        <v>764</v>
      </c>
      <c r="F8" s="2003" t="s">
        <v>1742</v>
      </c>
      <c r="H8" s="2003"/>
      <c r="I8" s="2003" t="s">
        <v>1743</v>
      </c>
    </row>
    <row r="9" spans="1:23">
      <c r="A9" s="2001" t="s">
        <v>1744</v>
      </c>
      <c r="B9" s="2001" t="s">
        <v>1745</v>
      </c>
      <c r="C9" s="2002" t="s">
        <v>765</v>
      </c>
      <c r="F9" s="2003" t="s">
        <v>1746</v>
      </c>
      <c r="H9" s="2003"/>
    </row>
    <row r="10" spans="1:23">
      <c r="A10" s="2001" t="s">
        <v>1747</v>
      </c>
      <c r="B10" s="2001" t="s">
        <v>1748</v>
      </c>
      <c r="C10" s="2002" t="s">
        <v>766</v>
      </c>
      <c r="F10" s="2003" t="s">
        <v>16</v>
      </c>
    </row>
    <row r="11" spans="1:23">
      <c r="A11" s="2001" t="s">
        <v>1749</v>
      </c>
      <c r="B11" s="2001" t="s">
        <v>1750</v>
      </c>
      <c r="C11" s="2002" t="s">
        <v>767</v>
      </c>
    </row>
    <row r="12" spans="1:23">
      <c r="A12" s="2001" t="s">
        <v>1751</v>
      </c>
      <c r="B12" s="2001" t="s">
        <v>1752</v>
      </c>
      <c r="C12" s="2002" t="s">
        <v>768</v>
      </c>
    </row>
    <row r="13" spans="1:23">
      <c r="A13" s="2001" t="s">
        <v>1753</v>
      </c>
      <c r="B13" s="2001" t="s">
        <v>1754</v>
      </c>
      <c r="C13" s="2002" t="s">
        <v>769</v>
      </c>
    </row>
    <row r="14" spans="1:23">
      <c r="A14" s="2001" t="s">
        <v>1755</v>
      </c>
      <c r="B14" s="2001" t="s">
        <v>1756</v>
      </c>
      <c r="C14" s="2003" t="s">
        <v>16</v>
      </c>
    </row>
    <row r="15" spans="1:23">
      <c r="A15" s="2001" t="s">
        <v>1757</v>
      </c>
      <c r="B15" s="2001" t="s">
        <v>1758</v>
      </c>
      <c r="C15" s="2002"/>
    </row>
    <row r="16" spans="1:23">
      <c r="A16" s="2001" t="s">
        <v>1759</v>
      </c>
      <c r="B16" s="2001" t="s">
        <v>756</v>
      </c>
      <c r="C16" s="2002"/>
    </row>
    <row r="17" spans="1:3">
      <c r="A17" s="2001" t="s">
        <v>1760</v>
      </c>
      <c r="B17" s="2001" t="s">
        <v>757</v>
      </c>
      <c r="C17" s="2002"/>
    </row>
    <row r="18" spans="1:3">
      <c r="A18" s="2001" t="s">
        <v>1761</v>
      </c>
      <c r="B18" s="2001" t="s">
        <v>757</v>
      </c>
      <c r="C18" s="2002"/>
    </row>
    <row r="19" spans="1:3">
      <c r="A19" s="2001" t="s">
        <v>1762</v>
      </c>
      <c r="B19" s="2001" t="s">
        <v>757</v>
      </c>
      <c r="C19" s="2002"/>
    </row>
    <row r="20" spans="1:3">
      <c r="A20" s="2001" t="s">
        <v>1763</v>
      </c>
      <c r="B20" s="2001" t="s">
        <v>757</v>
      </c>
      <c r="C20" s="2002"/>
    </row>
    <row r="21" spans="1:3">
      <c r="A21" s="2001" t="s">
        <v>1764</v>
      </c>
      <c r="B21" s="2001" t="s">
        <v>757</v>
      </c>
      <c r="C21" s="2002"/>
    </row>
    <row r="22" spans="1:3">
      <c r="A22" s="2001" t="s">
        <v>1765</v>
      </c>
      <c r="B22" s="2001" t="s">
        <v>757</v>
      </c>
      <c r="C22" s="2002"/>
    </row>
    <row r="23" spans="1:3">
      <c r="A23" s="2001" t="s">
        <v>1766</v>
      </c>
      <c r="B23" s="2001" t="s">
        <v>757</v>
      </c>
      <c r="C23" s="2002"/>
    </row>
    <row r="24" spans="1:3">
      <c r="A24" s="2001" t="s">
        <v>1767</v>
      </c>
      <c r="B24" s="2001" t="s">
        <v>757</v>
      </c>
      <c r="C24" s="2002"/>
    </row>
    <row r="25" spans="1:3">
      <c r="A25" s="2001" t="s">
        <v>1768</v>
      </c>
      <c r="B25" s="2001" t="s">
        <v>757</v>
      </c>
      <c r="C25" s="2002"/>
    </row>
    <row r="26" spans="1:3">
      <c r="A26" s="2001" t="s">
        <v>1769</v>
      </c>
      <c r="B26" s="2001" t="s">
        <v>757</v>
      </c>
      <c r="C26" s="2002"/>
    </row>
    <row r="27" spans="1:3">
      <c r="A27" s="2001" t="s">
        <v>757</v>
      </c>
      <c r="B27" s="2001" t="s">
        <v>757</v>
      </c>
      <c r="C27" s="2002"/>
    </row>
    <row r="28" spans="1:3">
      <c r="A28" s="2001" t="s">
        <v>3358</v>
      </c>
      <c r="B28" s="2001" t="s">
        <v>757</v>
      </c>
      <c r="C28" s="2002"/>
    </row>
    <row r="29" spans="1:3">
      <c r="A29" s="2001" t="s">
        <v>3360</v>
      </c>
      <c r="B29" s="2001" t="s">
        <v>757</v>
      </c>
      <c r="C29" s="2002"/>
    </row>
    <row r="30" spans="1:3">
      <c r="A30" s="2001" t="s">
        <v>3361</v>
      </c>
      <c r="B30" s="2001" t="s">
        <v>757</v>
      </c>
      <c r="C30" s="2002"/>
    </row>
    <row r="31" spans="1:3">
      <c r="A31" s="2001" t="s">
        <v>3362</v>
      </c>
      <c r="B31" s="2001" t="s">
        <v>757</v>
      </c>
      <c r="C31" s="2002"/>
    </row>
    <row r="32" spans="1:3">
      <c r="A32" s="2001"/>
      <c r="B32" s="2001" t="s">
        <v>757</v>
      </c>
      <c r="C32" s="2002"/>
    </row>
    <row r="33" spans="1:3">
      <c r="A33" s="2001"/>
      <c r="B33" s="2001" t="s">
        <v>757</v>
      </c>
      <c r="C33" s="2002"/>
    </row>
    <row r="34" spans="1:3">
      <c r="A34" s="3042" t="s">
        <v>3366</v>
      </c>
      <c r="B34" s="2001" t="s">
        <v>757</v>
      </c>
      <c r="C34" s="2002"/>
    </row>
    <row r="35" spans="1:3">
      <c r="A35" s="2001" t="s">
        <v>3368</v>
      </c>
      <c r="B35" s="2001" t="s">
        <v>757</v>
      </c>
      <c r="C35" s="2002"/>
    </row>
    <row r="36" spans="1:3">
      <c r="A36" s="2001" t="s">
        <v>3370</v>
      </c>
      <c r="B36" s="2001" t="s">
        <v>757</v>
      </c>
      <c r="C36" s="2002"/>
    </row>
    <row r="37" spans="1:3">
      <c r="A37" s="2001" t="s">
        <v>3372</v>
      </c>
      <c r="B37" s="2001" t="s">
        <v>757</v>
      </c>
      <c r="C37" s="2002"/>
    </row>
    <row r="38" spans="1:3">
      <c r="A38" s="2001" t="s">
        <v>3374</v>
      </c>
      <c r="B38" s="2001" t="s">
        <v>757</v>
      </c>
      <c r="C38" s="2002"/>
    </row>
    <row r="39" spans="1:3">
      <c r="A39" s="2001" t="s">
        <v>3376</v>
      </c>
      <c r="B39" s="2001" t="s">
        <v>757</v>
      </c>
      <c r="C39" s="2002"/>
    </row>
    <row r="40" spans="1:3">
      <c r="A40" s="2001" t="s">
        <v>3378</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853</v>
      </c>
      <c r="B51" s="2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9" t="s">
        <v>1279</v>
      </c>
    </row>
    <row r="52" spans="1:4">
      <c r="A52" s="2008" t="s">
        <v>854</v>
      </c>
      <c r="B52" s="2008" t="s">
        <v>855</v>
      </c>
      <c r="C52" s="2006" t="s">
        <v>856</v>
      </c>
      <c r="D52" s="2006" t="s">
        <v>857</v>
      </c>
    </row>
    <row r="53" spans="1:4">
      <c r="A53" s="3312" t="s">
        <v>858</v>
      </c>
      <c r="B53" s="2009" t="s">
        <v>859</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2009" t="s">
        <v>860</v>
      </c>
      <c r="C54" s="2006" t="s">
        <v>1276</v>
      </c>
    </row>
    <row r="55" spans="1:4">
      <c r="A55" s="3312"/>
      <c r="B55" s="2009" t="s">
        <v>861</v>
      </c>
      <c r="C55" s="2006" t="s">
        <v>1277</v>
      </c>
    </row>
    <row r="56" spans="1:4">
      <c r="A56" s="3312"/>
      <c r="B56" s="2009" t="s">
        <v>862</v>
      </c>
      <c r="C56" s="2006" t="s">
        <v>1281</v>
      </c>
    </row>
    <row r="57" spans="1:4">
      <c r="A57" s="3312"/>
      <c r="B57" s="2009" t="s">
        <v>863</v>
      </c>
      <c r="C57" s="2006" t="s">
        <v>1278</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workbookViewId="0">
      <selection activeCell="L39" sqref="L39"/>
    </sheetView>
  </sheetViews>
  <sheetFormatPr defaultColWidth="8.875" defaultRowHeight="13.5"/>
  <sheetData/>
  <phoneticPr fontId="27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FFFF00"/>
  </sheetPr>
  <dimension ref="A1"/>
  <sheetViews>
    <sheetView workbookViewId="0"/>
  </sheetViews>
  <sheetFormatPr defaultColWidth="11" defaultRowHeight="13.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I47" sqref="I47"/>
    </sheetView>
  </sheetViews>
  <sheetFormatPr defaultColWidth="10" defaultRowHeight="18" customHeight="1"/>
  <cols>
    <col min="1" max="1" width="14.875" style="2019" customWidth="1"/>
    <col min="2" max="2" width="15.125" style="2019" customWidth="1"/>
    <col min="3" max="3" width="11.5" style="2019" customWidth="1"/>
    <col min="4" max="6" width="10" style="2019" customWidth="1"/>
    <col min="7" max="7" width="10.875" style="2019" customWidth="1"/>
    <col min="8" max="8" width="10" style="2019" customWidth="1"/>
    <col min="9" max="9" width="11.125" style="2146" customWidth="1"/>
    <col min="10" max="10" width="10" style="2019" customWidth="1"/>
    <col min="11" max="11" width="10" style="2147" customWidth="1"/>
    <col min="12" max="13" width="10" style="2148" customWidth="1"/>
    <col min="14" max="14" width="10" style="2019" customWidth="1"/>
    <col min="15" max="15" width="10" style="2146" customWidth="1"/>
    <col min="16" max="17" width="10" style="2019"/>
    <col min="18" max="18" width="10" style="2019" customWidth="1"/>
    <col min="19" max="16384" width="10" style="2019"/>
  </cols>
  <sheetData>
    <row r="1" spans="1:19" ht="38.25" customHeight="1" thickBot="1">
      <c r="A1" s="2012" t="s">
        <v>1770</v>
      </c>
      <c r="B1" s="3313" t="str">
        <f>IF(B10="北京市","北京市",C10)&amp;F10&amp;IF(结果表!G1="在建","出让国有建设用地使用权及在建建筑物",IF(结果表!G1="土地","出让国有建设用地使用权",))&amp;B9&amp;"预评估"</f>
        <v>北京市房地产市场价值预评估</v>
      </c>
      <c r="C1" s="3314"/>
      <c r="D1" s="3314"/>
      <c r="E1" s="3314"/>
      <c r="F1" s="3314"/>
      <c r="G1" s="3314"/>
      <c r="H1" s="3314"/>
      <c r="I1" s="3315"/>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13" t="s">
        <v>1771</v>
      </c>
      <c r="B2" s="1038"/>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北京市房地产</v>
      </c>
    </row>
    <row r="3" spans="1:19" ht="18" customHeight="1">
      <c r="A3" s="2022" t="s">
        <v>1772</v>
      </c>
      <c r="B3" s="2023">
        <v>44011</v>
      </c>
      <c r="C3" s="2024" t="s">
        <v>1773</v>
      </c>
      <c r="D3" s="2023">
        <v>44011</v>
      </c>
      <c r="E3" s="2013"/>
      <c r="F3" s="2013"/>
      <c r="G3" s="2013"/>
      <c r="H3" s="2013"/>
      <c r="I3" s="2013"/>
      <c r="J3" s="2013"/>
      <c r="K3" s="2014"/>
      <c r="L3" s="2015"/>
      <c r="M3" s="2015"/>
      <c r="N3" s="2016"/>
      <c r="O3" s="2017"/>
      <c r="P3" s="2016"/>
      <c r="Q3" s="2016"/>
      <c r="R3" s="2016"/>
      <c r="S3" s="2018"/>
    </row>
    <row r="4" spans="1:19" ht="18" customHeight="1" thickBot="1">
      <c r="A4" s="2025" t="s">
        <v>1774</v>
      </c>
      <c r="B4" s="2026" t="s">
        <v>3072</v>
      </c>
      <c r="C4" s="1036">
        <f ca="1">SUMIF(注册房地产估价师,B4,估价师及机构信息!B3:B24)</f>
        <v>1119970111</v>
      </c>
      <c r="D4" s="2026" t="s">
        <v>3073</v>
      </c>
      <c r="E4" s="1037">
        <f ca="1">SUMIF(注册房地产估价师,D4,估价师及机构信息!B3:B24)</f>
        <v>1120060040</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叶凌（注册号：1119970111)、陈颖（注册号：1120060040)</v>
      </c>
      <c r="L4" s="2015"/>
      <c r="M4" s="2015"/>
      <c r="N4" s="2016"/>
      <c r="O4" s="2017"/>
      <c r="P4" s="2016"/>
      <c r="Q4" s="2016"/>
      <c r="R4" s="2016"/>
      <c r="S4" s="2018"/>
    </row>
    <row r="5" spans="1:19" ht="18" customHeight="1" thickTop="1">
      <c r="A5" s="2031" t="s">
        <v>1775</v>
      </c>
      <c r="B5" s="3072" t="s">
        <v>3357</v>
      </c>
      <c r="C5" s="2032"/>
      <c r="D5" s="2033"/>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4" t="s">
        <v>1776</v>
      </c>
      <c r="B6" s="2035"/>
      <c r="C6" s="2036"/>
      <c r="D6" s="2037"/>
      <c r="E6" s="2021"/>
      <c r="F6" s="2029"/>
      <c r="G6" s="2029"/>
      <c r="H6" s="2029"/>
      <c r="I6" s="2029"/>
      <c r="J6" s="2029"/>
      <c r="K6" s="2038" t="str">
        <f>IF(COUNTIF(B6,"*上海银行*"),"上海银行","")</f>
        <v/>
      </c>
      <c r="L6" s="2015"/>
      <c r="M6" s="2015"/>
      <c r="N6" s="2016"/>
      <c r="O6" s="2017"/>
      <c r="P6" s="2016"/>
      <c r="Q6" s="2016"/>
      <c r="R6" s="2016"/>
    </row>
    <row r="7" spans="1:19" ht="18" customHeight="1">
      <c r="A7" s="2034" t="s">
        <v>1777</v>
      </c>
      <c r="B7" s="2039"/>
      <c r="C7" s="2036"/>
      <c r="D7" s="2037"/>
      <c r="E7" s="2021"/>
      <c r="F7" s="2029"/>
      <c r="G7" s="2029"/>
      <c r="H7" s="2029"/>
      <c r="I7" s="2029"/>
      <c r="J7" s="2029"/>
      <c r="K7" s="2040"/>
      <c r="L7" s="2015"/>
      <c r="M7" s="2015"/>
      <c r="N7" s="2016"/>
      <c r="O7" s="2017"/>
      <c r="P7" s="2016"/>
      <c r="Q7" s="2016"/>
      <c r="R7" s="2016"/>
    </row>
    <row r="8" spans="1:19" ht="18" customHeight="1">
      <c r="A8" s="2034" t="s">
        <v>1778</v>
      </c>
      <c r="B8" s="2041" t="s">
        <v>3074</v>
      </c>
      <c r="C8" s="2042"/>
      <c r="D8" s="3316" t="s">
        <v>1779</v>
      </c>
      <c r="E8" s="2043"/>
      <c r="F8" s="2044"/>
      <c r="G8" s="2013"/>
      <c r="H8" s="2013"/>
      <c r="I8" s="2013"/>
      <c r="J8" s="2029"/>
      <c r="K8" s="2030"/>
      <c r="L8" s="2015"/>
      <c r="M8" s="2015"/>
      <c r="N8" s="2016"/>
      <c r="O8" s="2017"/>
      <c r="P8" s="2016"/>
      <c r="Q8" s="2016"/>
      <c r="R8" s="2016"/>
    </row>
    <row r="9" spans="1:19" ht="18" customHeight="1" thickBot="1">
      <c r="A9" s="2027" t="s">
        <v>1780</v>
      </c>
      <c r="B9" s="2045" t="s">
        <v>3075</v>
      </c>
      <c r="C9" s="2046"/>
      <c r="D9" s="3317"/>
      <c r="E9" s="2045"/>
      <c r="F9" s="2047"/>
      <c r="G9" s="2048"/>
      <c r="H9" s="2048"/>
      <c r="I9" s="2048"/>
      <c r="J9" s="2029"/>
      <c r="K9" s="2040"/>
      <c r="L9" s="2015"/>
      <c r="M9" s="2015"/>
      <c r="N9" s="2016"/>
      <c r="O9" s="2017"/>
      <c r="P9" s="2016"/>
      <c r="Q9" s="2016"/>
      <c r="R9" s="2016"/>
    </row>
    <row r="10" spans="1:19" ht="18" customHeight="1" thickTop="1">
      <c r="A10" s="2049" t="s">
        <v>1781</v>
      </c>
      <c r="B10" s="2050" t="s">
        <v>3076</v>
      </c>
      <c r="C10" s="2051"/>
      <c r="D10" s="2033"/>
      <c r="E10" s="2052" t="s">
        <v>1782</v>
      </c>
      <c r="F10" s="2053"/>
      <c r="G10" s="2054"/>
      <c r="H10" s="2055"/>
      <c r="I10" s="2033"/>
      <c r="J10" s="2029"/>
      <c r="K10" s="2040"/>
      <c r="L10" s="2015"/>
      <c r="M10" s="2015"/>
      <c r="N10" s="2016"/>
      <c r="O10" s="2017"/>
      <c r="P10" s="2016"/>
      <c r="Q10" s="2016"/>
      <c r="R10" s="2016"/>
    </row>
    <row r="11" spans="1:19" ht="18" customHeight="1">
      <c r="A11" s="2056" t="s">
        <v>1783</v>
      </c>
      <c r="B11" s="2057" t="s">
        <v>3077</v>
      </c>
      <c r="C11" s="2058"/>
      <c r="D11" s="2059"/>
      <c r="E11" s="2029"/>
      <c r="F11" s="2029"/>
      <c r="G11" s="2029"/>
      <c r="H11" s="2029"/>
      <c r="I11" s="2029"/>
      <c r="J11" s="2029"/>
      <c r="K11" s="2040"/>
      <c r="L11" s="2015"/>
      <c r="M11" s="2015"/>
      <c r="N11" s="2016"/>
      <c r="O11" s="2017"/>
      <c r="P11" s="2016"/>
      <c r="Q11" s="2016"/>
      <c r="R11" s="2016"/>
    </row>
    <row r="12" spans="1:19" ht="18" customHeight="1">
      <c r="A12" s="2060" t="s">
        <v>1784</v>
      </c>
      <c r="B12" s="2057" t="s">
        <v>3078</v>
      </c>
      <c r="C12" s="2061" t="s">
        <v>1785</v>
      </c>
      <c r="D12" s="2062" t="s">
        <v>1786</v>
      </c>
      <c r="E12" s="2062" t="s">
        <v>1787</v>
      </c>
      <c r="F12" s="2062" t="s">
        <v>1788</v>
      </c>
      <c r="G12" s="2062" t="s">
        <v>1789</v>
      </c>
      <c r="H12" s="2062" t="s">
        <v>1790</v>
      </c>
      <c r="I12" s="2062" t="s">
        <v>1791</v>
      </c>
      <c r="J12" s="2029"/>
      <c r="K12" s="2040"/>
      <c r="L12" s="2015"/>
      <c r="M12" s="2015"/>
      <c r="N12" s="2016"/>
      <c r="O12" s="2017"/>
      <c r="P12" s="2016"/>
      <c r="Q12" s="2016"/>
      <c r="R12" s="2016"/>
    </row>
    <row r="13" spans="1:19" ht="18" customHeight="1">
      <c r="A13" s="2063"/>
      <c r="B13" s="2064"/>
      <c r="C13" s="2065" t="s">
        <v>1792</v>
      </c>
      <c r="D13" s="2066"/>
      <c r="E13" s="2066">
        <v>58623</v>
      </c>
      <c r="F13" s="2066"/>
      <c r="G13" s="2066"/>
      <c r="H13" s="2066"/>
      <c r="I13" s="1046"/>
      <c r="J13" s="2029"/>
      <c r="K13" s="2040"/>
      <c r="L13" s="2015"/>
      <c r="M13" s="2015"/>
      <c r="N13" s="2016"/>
      <c r="O13" s="2017"/>
      <c r="P13" s="2016"/>
      <c r="Q13" s="2016"/>
      <c r="R13" s="2016"/>
    </row>
    <row r="14" spans="1:19" ht="18" customHeight="1">
      <c r="A14" s="2063"/>
      <c r="B14" s="2064"/>
      <c r="C14" s="2065" t="s">
        <v>1793</v>
      </c>
      <c r="D14" s="1049"/>
      <c r="E14" s="1049">
        <v>40</v>
      </c>
      <c r="F14" s="1049"/>
      <c r="G14" s="1049"/>
      <c r="H14" s="1049"/>
      <c r="I14" s="1049"/>
      <c r="J14" s="2029"/>
      <c r="K14" s="2067"/>
      <c r="L14" s="2015"/>
      <c r="M14" s="2015"/>
      <c r="N14" s="2016"/>
      <c r="O14" s="2017"/>
      <c r="P14" s="2016"/>
      <c r="Q14" s="2016"/>
      <c r="R14" s="2016"/>
    </row>
    <row r="15" spans="1:19" ht="18" customHeight="1">
      <c r="A15" s="2049"/>
      <c r="B15" s="2068"/>
      <c r="C15" s="2065" t="s">
        <v>1794</v>
      </c>
      <c r="D15" s="1048" t="str">
        <f>IF(B12="出让",IF(D13="","",ROUNDDOWN(MIN((D13-$D$3)/365,D14),2)),D14)</f>
        <v/>
      </c>
      <c r="E15" s="1048">
        <f>IF(B12="出让",IF(E13="","",ROUNDDOWN(MIN((E13-$D$3)/365,E14),2)),E14)</f>
        <v>40</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29"/>
      <c r="K15" s="2069"/>
      <c r="L15" s="2070"/>
      <c r="M15" s="2070"/>
      <c r="N15" s="2071"/>
      <c r="O15" s="2070"/>
      <c r="P15" s="2071"/>
      <c r="Q15" s="2016"/>
      <c r="R15" s="2016"/>
    </row>
    <row r="16" spans="1:19" ht="30.75" customHeight="1">
      <c r="A16" s="2052" t="s">
        <v>1795</v>
      </c>
      <c r="B16" s="3323"/>
      <c r="C16" s="3324"/>
      <c r="D16" s="3325"/>
      <c r="E16" s="2072" t="s">
        <v>1796</v>
      </c>
      <c r="F16" s="3326"/>
      <c r="G16" s="3327"/>
      <c r="H16" s="3327"/>
      <c r="I16" s="3328"/>
      <c r="J16" s="2016"/>
      <c r="K16" s="2069"/>
      <c r="L16" s="2070"/>
      <c r="M16" s="2070"/>
      <c r="N16" s="2071"/>
      <c r="O16" s="2070"/>
      <c r="P16" s="2071"/>
      <c r="Q16" s="2016"/>
      <c r="R16" s="2016"/>
    </row>
    <row r="17" spans="1:22" ht="18" customHeight="1">
      <c r="A17" s="2073" t="s">
        <v>1797</v>
      </c>
      <c r="B17" s="2022" t="s">
        <v>1798</v>
      </c>
      <c r="C17" s="1053">
        <f>'数据-汇总表'!E3</f>
        <v>135636.54</v>
      </c>
      <c r="D17" s="2074" t="s">
        <v>1799</v>
      </c>
      <c r="E17" s="3329" t="s">
        <v>1800</v>
      </c>
      <c r="F17" s="3330"/>
      <c r="G17" s="3330"/>
      <c r="H17" s="3330"/>
      <c r="I17" s="3331"/>
      <c r="J17" s="2016"/>
      <c r="K17" s="2075"/>
      <c r="L17" s="2070"/>
      <c r="M17" s="2070"/>
      <c r="N17" s="2071"/>
      <c r="O17" s="2070"/>
      <c r="P17" s="2071"/>
      <c r="Q17" s="2016"/>
      <c r="R17" s="2016"/>
      <c r="S17" s="2016"/>
      <c r="T17" s="2016"/>
      <c r="U17" s="2016"/>
      <c r="V17" s="2016"/>
    </row>
    <row r="18" spans="1:22" ht="36" customHeight="1" thickBot="1">
      <c r="A18" s="2076" t="s">
        <v>1801</v>
      </c>
      <c r="B18" s="2025" t="s">
        <v>1802</v>
      </c>
      <c r="C18" s="1440">
        <f>'数据-汇总表'!D3</f>
        <v>45212.18</v>
      </c>
      <c r="D18" s="2077" t="s">
        <v>1799</v>
      </c>
      <c r="E18" s="3332" t="s">
        <v>1803</v>
      </c>
      <c r="F18" s="3333"/>
      <c r="G18" s="3333"/>
      <c r="H18" s="3333"/>
      <c r="I18" s="3334"/>
      <c r="J18" s="2016"/>
      <c r="K18" s="2075"/>
      <c r="L18" s="2070"/>
      <c r="M18" s="2070"/>
      <c r="N18" s="2071"/>
      <c r="O18" s="2070"/>
      <c r="P18" s="2071"/>
      <c r="Q18" s="2016"/>
      <c r="R18" s="2016"/>
      <c r="S18" s="2016"/>
      <c r="T18" s="2016"/>
      <c r="U18" s="2016"/>
      <c r="V18" s="2016"/>
    </row>
    <row r="19" spans="1:22" ht="37.5" customHeight="1" thickTop="1" thickBot="1">
      <c r="A19" s="372" t="s">
        <v>1804</v>
      </c>
      <c r="B19" s="351" t="s">
        <v>1805</v>
      </c>
      <c r="C19" s="2078"/>
      <c r="D19" s="2079" t="s">
        <v>1806</v>
      </c>
      <c r="E19" s="2080"/>
      <c r="F19" s="2081" t="str">
        <f>IF(AND(C19="是",E19="否"),"是否提供他项权证或相关说明","")</f>
        <v/>
      </c>
      <c r="G19" s="2082"/>
      <c r="H19" s="2029"/>
      <c r="I19" s="2029"/>
      <c r="J19" s="2029"/>
      <c r="K19" s="2040"/>
      <c r="L19" s="2015"/>
      <c r="M19" s="2015"/>
      <c r="N19" s="2071"/>
      <c r="O19" s="2070"/>
      <c r="P19" s="2071"/>
      <c r="Q19" s="2016"/>
      <c r="R19" s="2016"/>
      <c r="S19" s="2016"/>
      <c r="T19" s="2016"/>
      <c r="U19" s="2016"/>
      <c r="V19" s="2016"/>
    </row>
    <row r="20" spans="1:22" ht="18" customHeight="1">
      <c r="A20" s="2083" t="s">
        <v>1807</v>
      </c>
      <c r="B20" s="3319" t="s">
        <v>1808</v>
      </c>
      <c r="C20" s="3320"/>
      <c r="D20" s="3321" t="s">
        <v>1809</v>
      </c>
      <c r="E20" s="3322"/>
      <c r="F20" s="2084" t="s">
        <v>1810</v>
      </c>
      <c r="G20" s="2029"/>
      <c r="H20" s="2029"/>
      <c r="I20" s="2029"/>
      <c r="J20" s="2029"/>
      <c r="K20" s="3318"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5"/>
      <c r="N20" s="2071"/>
      <c r="O20" s="2070"/>
      <c r="P20" s="2071"/>
      <c r="Q20" s="2016"/>
      <c r="R20" s="2016"/>
      <c r="S20" s="2016"/>
      <c r="T20" s="2016"/>
      <c r="U20" s="2016"/>
      <c r="V20" s="2016"/>
    </row>
    <row r="21" spans="1:22" ht="24.75" customHeight="1">
      <c r="A21" s="2083"/>
      <c r="B21" s="2085" t="s">
        <v>1812</v>
      </c>
      <c r="C21" s="2086" t="s">
        <v>1813</v>
      </c>
      <c r="D21" s="2087" t="s">
        <v>1814</v>
      </c>
      <c r="E21" s="2088" t="s">
        <v>1813</v>
      </c>
      <c r="F21" s="2089"/>
      <c r="G21" s="2029"/>
      <c r="H21" s="2029"/>
      <c r="I21" s="2029"/>
      <c r="J21" s="2029"/>
      <c r="K21" s="33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71"/>
      <c r="O21" s="2070"/>
      <c r="P21" s="2071"/>
      <c r="Q21" s="2016"/>
      <c r="R21" s="2016"/>
      <c r="S21" s="2016"/>
      <c r="T21" s="2016"/>
      <c r="U21" s="2016"/>
      <c r="V21" s="2016"/>
    </row>
    <row r="22" spans="1:22" ht="24.75" customHeight="1" thickBot="1">
      <c r="A22" s="2083"/>
      <c r="B22" s="2090" t="s">
        <v>1815</v>
      </c>
      <c r="C22" s="2086" t="s">
        <v>1816</v>
      </c>
      <c r="D22" s="2013"/>
      <c r="E22" s="2013"/>
      <c r="F22" s="2091"/>
      <c r="G22" s="2029"/>
      <c r="H22" s="2029"/>
      <c r="I22" s="2029"/>
      <c r="J22" s="2029"/>
      <c r="K22" s="331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71"/>
      <c r="O22" s="2070"/>
      <c r="P22" s="2071"/>
      <c r="Q22" s="2016"/>
      <c r="R22" s="2016"/>
      <c r="S22" s="2016"/>
      <c r="T22" s="2016"/>
      <c r="U22" s="2016"/>
      <c r="V22" s="2016"/>
    </row>
    <row r="23" spans="1:22" ht="18" customHeight="1">
      <c r="A23" s="2092" t="s">
        <v>1817</v>
      </c>
      <c r="B23" s="182" t="s">
        <v>1818</v>
      </c>
      <c r="C23" s="2093"/>
      <c r="D23" s="2094" t="s">
        <v>1818</v>
      </c>
      <c r="E23" s="2095"/>
      <c r="F23" s="2091"/>
      <c r="G23" s="2029"/>
      <c r="H23" s="2029"/>
      <c r="I23" s="2029"/>
      <c r="J23" s="2029"/>
      <c r="K23" s="2096"/>
      <c r="L23" s="747"/>
      <c r="M23" s="2015"/>
      <c r="N23" s="2071"/>
      <c r="O23" s="2070"/>
      <c r="P23" s="2071"/>
      <c r="Q23" s="2016"/>
      <c r="R23" s="2016"/>
      <c r="S23" s="2016"/>
      <c r="T23" s="2016"/>
      <c r="U23" s="2016"/>
      <c r="V23" s="2016"/>
    </row>
    <row r="24" spans="1:22" ht="18" customHeight="1">
      <c r="A24" s="2097"/>
      <c r="B24" s="182" t="s">
        <v>1819</v>
      </c>
      <c r="C24" s="2098"/>
      <c r="D24" s="2092" t="s">
        <v>1819</v>
      </c>
      <c r="E24" s="2099"/>
      <c r="F24" s="2091"/>
      <c r="G24" s="2029"/>
      <c r="H24" s="2029"/>
      <c r="I24" s="2029"/>
      <c r="J24" s="2029"/>
      <c r="K24" s="2096"/>
      <c r="L24" s="747"/>
      <c r="M24" s="2015"/>
      <c r="N24" s="2071"/>
      <c r="O24" s="2070"/>
      <c r="P24" s="2071"/>
      <c r="Q24" s="2016"/>
      <c r="R24" s="2016"/>
      <c r="S24" s="2016"/>
      <c r="T24" s="2016"/>
      <c r="U24" s="2016"/>
      <c r="V24" s="2016"/>
    </row>
    <row r="25" spans="1:22" ht="18" customHeight="1">
      <c r="A25" s="2097"/>
      <c r="B25" s="182" t="s">
        <v>1820</v>
      </c>
      <c r="C25" s="2098"/>
      <c r="D25" s="2092" t="s">
        <v>1820</v>
      </c>
      <c r="E25" s="2099"/>
      <c r="F25" s="2091"/>
      <c r="G25" s="2029"/>
      <c r="H25" s="2029"/>
      <c r="I25" s="2029"/>
      <c r="J25" s="2029"/>
      <c r="K25" s="2040"/>
      <c r="L25" s="2015"/>
      <c r="M25" s="2015"/>
      <c r="N25" s="2071"/>
      <c r="O25" s="2070"/>
      <c r="P25" s="2071"/>
      <c r="Q25" s="2016"/>
      <c r="R25" s="2016"/>
      <c r="S25" s="2016"/>
      <c r="T25" s="2016"/>
      <c r="U25" s="2016"/>
      <c r="V25" s="2016"/>
    </row>
    <row r="26" spans="1:22" ht="18" customHeight="1" thickBot="1">
      <c r="A26" s="2100"/>
      <c r="B26" s="2101" t="s">
        <v>1821</v>
      </c>
      <c r="C26" s="2102"/>
      <c r="D26" s="2103" t="s">
        <v>1822</v>
      </c>
      <c r="E26" s="2104"/>
      <c r="F26" s="2105"/>
      <c r="G26" s="2048"/>
      <c r="H26" s="2048"/>
      <c r="I26" s="2048"/>
      <c r="J26" s="2029"/>
      <c r="K26" s="2040"/>
      <c r="L26" s="2015"/>
      <c r="M26" s="2015"/>
      <c r="N26" s="2071"/>
      <c r="O26" s="2070"/>
      <c r="P26" s="2071"/>
      <c r="Q26" s="2016"/>
      <c r="R26" s="2016"/>
      <c r="S26" s="2016"/>
      <c r="T26" s="2016"/>
      <c r="U26" s="2016"/>
      <c r="V26" s="2016"/>
    </row>
    <row r="27" spans="1:22" ht="18" customHeight="1" thickTop="1">
      <c r="A27" s="3336" t="s">
        <v>1823</v>
      </c>
      <c r="B27" s="2049" t="s">
        <v>1824</v>
      </c>
      <c r="C27" s="2106"/>
      <c r="D27" s="2107"/>
      <c r="E27" s="2029"/>
      <c r="F27" s="2029"/>
      <c r="G27" s="2029"/>
      <c r="H27" s="2029"/>
      <c r="I27" s="2029"/>
      <c r="J27" s="2016"/>
      <c r="K27" s="2069"/>
      <c r="L27" s="2070"/>
      <c r="M27" s="2070"/>
      <c r="N27" s="2071"/>
      <c r="O27" s="2070"/>
      <c r="P27" s="2071"/>
      <c r="Q27" s="2016"/>
      <c r="R27" s="2016"/>
      <c r="S27" s="2016"/>
      <c r="T27" s="2016"/>
      <c r="U27" s="2016"/>
      <c r="V27" s="2016"/>
    </row>
    <row r="28" spans="1:22" ht="18" customHeight="1">
      <c r="A28" s="3336"/>
      <c r="B28" s="2022" t="s">
        <v>1825</v>
      </c>
      <c r="C28" s="2108"/>
      <c r="D28" s="2109"/>
      <c r="E28" s="2029"/>
      <c r="F28" s="2029"/>
      <c r="G28" s="2029"/>
      <c r="H28" s="2029"/>
      <c r="I28" s="2029"/>
      <c r="J28" s="2016"/>
      <c r="K28" s="2110"/>
      <c r="L28" s="2015"/>
      <c r="M28" s="2015"/>
      <c r="N28" s="2016"/>
      <c r="O28" s="2017"/>
      <c r="P28" s="2016"/>
      <c r="Q28" s="2016"/>
      <c r="R28" s="2016"/>
      <c r="S28" s="2016"/>
      <c r="T28" s="2016"/>
      <c r="U28" s="2016"/>
      <c r="V28" s="2016"/>
    </row>
    <row r="29" spans="1:22" ht="18" customHeight="1">
      <c r="A29" s="3336"/>
      <c r="B29" s="2022" t="s">
        <v>1826</v>
      </c>
      <c r="C29" s="2111"/>
      <c r="D29" s="2112"/>
      <c r="E29" s="2029"/>
      <c r="F29" s="2029"/>
      <c r="G29" s="2029"/>
      <c r="H29" s="2029"/>
      <c r="I29" s="2029"/>
      <c r="J29" s="2016"/>
      <c r="K29" s="2110"/>
      <c r="L29" s="2015"/>
      <c r="M29" s="2015"/>
      <c r="N29" s="2016"/>
      <c r="O29" s="2017"/>
      <c r="P29" s="2016"/>
      <c r="Q29" s="2016"/>
      <c r="R29" s="2016"/>
      <c r="S29" s="2016"/>
      <c r="T29" s="2016"/>
      <c r="U29" s="2016"/>
      <c r="V29" s="2016"/>
    </row>
    <row r="30" spans="1:22" ht="18" customHeight="1">
      <c r="A30" s="3337"/>
      <c r="B30" s="2022" t="s">
        <v>1827</v>
      </c>
      <c r="C30" s="3338"/>
      <c r="D30" s="3339"/>
      <c r="E30" s="2029"/>
      <c r="F30" s="2029"/>
      <c r="G30" s="2029"/>
      <c r="H30" s="2029"/>
      <c r="I30" s="2029"/>
      <c r="J30" s="2016"/>
      <c r="K30" s="2110"/>
      <c r="L30" s="2015"/>
      <c r="M30" s="2015"/>
      <c r="N30" s="2016"/>
      <c r="O30" s="2017"/>
      <c r="P30" s="2016"/>
      <c r="Q30" s="2016"/>
      <c r="R30" s="2016"/>
      <c r="S30" s="2016"/>
      <c r="T30" s="2016"/>
      <c r="U30" s="2016"/>
      <c r="V30" s="2016"/>
    </row>
    <row r="31" spans="1:22" ht="18" customHeight="1">
      <c r="A31" s="3340" t="s">
        <v>1828</v>
      </c>
      <c r="B31" s="2113"/>
      <c r="C31" s="2114" t="str">
        <f>IF(B31="现房","成新及维护状况正常否",IF(B31="在建","工程状态是否正常",IF(B31="土地","是否闲置","-")))</f>
        <v>-</v>
      </c>
      <c r="D31" s="2115"/>
      <c r="E31" s="2116"/>
      <c r="F31" s="2029"/>
      <c r="G31" s="2029"/>
      <c r="H31" s="2029"/>
      <c r="I31" s="2029"/>
      <c r="J31" s="2029"/>
      <c r="K31" s="2038"/>
      <c r="L31" s="2015"/>
      <c r="M31" s="2015"/>
      <c r="N31" s="2016"/>
      <c r="O31" s="2017"/>
      <c r="P31" s="2016"/>
      <c r="Q31" s="2016"/>
      <c r="R31" s="2016"/>
      <c r="S31" s="2016"/>
      <c r="T31" s="2016"/>
      <c r="U31" s="2016"/>
      <c r="V31" s="2016"/>
    </row>
    <row r="32" spans="1:22" ht="18" customHeight="1">
      <c r="A32" s="3341"/>
      <c r="B32" s="2113"/>
      <c r="C32" s="2114" t="str">
        <f>IF(B32="现房","成新及维护状况是否正常",IF(B32="在建","工程状态是否正常",IF(B32="土地","是否闲置","-")))</f>
        <v>-</v>
      </c>
      <c r="D32" s="2115"/>
      <c r="E32" s="2116"/>
      <c r="F32" s="2029"/>
      <c r="G32" s="2029"/>
      <c r="H32" s="2029"/>
      <c r="I32" s="2029"/>
      <c r="J32" s="2029"/>
      <c r="K32" s="2040"/>
      <c r="L32" s="2015"/>
      <c r="M32" s="2015"/>
      <c r="N32" s="2016"/>
      <c r="O32" s="2017"/>
      <c r="P32" s="2016"/>
      <c r="Q32" s="2016"/>
      <c r="R32" s="2016"/>
      <c r="S32" s="2016"/>
      <c r="T32" s="2016"/>
      <c r="U32" s="2016"/>
      <c r="V32" s="2016"/>
    </row>
    <row r="33" spans="1:22" ht="18" customHeight="1">
      <c r="A33" s="3341"/>
      <c r="B33" s="2117"/>
      <c r="C33" s="2056" t="str">
        <f>IF(B33="现房","成新及维护状况是否正常",IF(B33="在建","工程状态是否正常",IF(B33="土地","是否闲置","-")))</f>
        <v>-</v>
      </c>
      <c r="D33" s="2118"/>
      <c r="E33" s="2119"/>
      <c r="F33" s="2029"/>
      <c r="G33" s="2029"/>
      <c r="H33" s="2029"/>
      <c r="I33" s="2029"/>
      <c r="J33" s="2029"/>
      <c r="K33" s="2040"/>
      <c r="L33" s="2015"/>
      <c r="M33" s="2015"/>
      <c r="N33" s="2016"/>
      <c r="O33" s="2017"/>
      <c r="P33" s="2016"/>
      <c r="Q33" s="2016"/>
      <c r="R33" s="2016"/>
      <c r="S33" s="2016"/>
      <c r="T33" s="2016"/>
      <c r="U33" s="2016"/>
      <c r="V33" s="2016"/>
    </row>
    <row r="34" spans="1:22" ht="18" customHeight="1">
      <c r="A34" s="2022" t="s">
        <v>1829</v>
      </c>
      <c r="B34" s="2120"/>
      <c r="C34" s="2120"/>
      <c r="D34" s="2120"/>
      <c r="E34" s="2120"/>
      <c r="F34" s="2120"/>
      <c r="G34" s="2120"/>
      <c r="H34" s="2120"/>
      <c r="I34" s="2029"/>
      <c r="J34" s="2029"/>
      <c r="K34" s="1783">
        <f>COUNTIF(B34:H34,"——")</f>
        <v>0</v>
      </c>
      <c r="L34" s="2061" t="s">
        <v>1830</v>
      </c>
      <c r="M34" s="2061" t="s">
        <v>1831</v>
      </c>
      <c r="N34" s="2061" t="s">
        <v>1832</v>
      </c>
      <c r="O34" s="2061" t="s">
        <v>1833</v>
      </c>
      <c r="P34" s="2061" t="s">
        <v>1834</v>
      </c>
      <c r="Q34" s="2061" t="s">
        <v>1835</v>
      </c>
      <c r="R34" s="2061" t="s">
        <v>1836</v>
      </c>
      <c r="S34" s="3335" t="s">
        <v>1837</v>
      </c>
      <c r="T34" s="2121" t="str">
        <f>NUMBERSTRING(7-K34,1)&amp;"通"</f>
        <v>七通</v>
      </c>
      <c r="U34" s="2016"/>
      <c r="V34" s="2016"/>
    </row>
    <row r="35" spans="1:22" ht="18" customHeight="1">
      <c r="A35" s="2122"/>
      <c r="B35" s="3342" t="s">
        <v>1838</v>
      </c>
      <c r="C35" s="3342"/>
      <c r="D35" s="3342"/>
      <c r="E35" s="3342"/>
      <c r="F35" s="2123">
        <f>C10</f>
        <v>0</v>
      </c>
      <c r="G35" s="2029"/>
      <c r="H35" s="2029"/>
      <c r="I35" s="2029"/>
      <c r="J35" s="2029"/>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35"/>
      <c r="T35" s="48" t="str">
        <f>IF(T34="一通",L35,IF(T34="二通",M35,IF(T34="三通",N35,IF(T34="四通",O35,IF(T34="五通",P35,IF(T34="六通",Q35,R35))))))</f>
        <v>、、、、、、</v>
      </c>
      <c r="U35" s="2016"/>
      <c r="V35" s="2016"/>
    </row>
    <row r="36" spans="1:22" ht="18" customHeight="1">
      <c r="A36" s="2124"/>
      <c r="B36" s="2123" t="s">
        <v>1839</v>
      </c>
      <c r="C36" s="2123" t="s">
        <v>1840</v>
      </c>
      <c r="D36" s="2123" t="s">
        <v>1841</v>
      </c>
      <c r="E36" s="2123" t="s">
        <v>1842</v>
      </c>
      <c r="F36" s="2125"/>
      <c r="G36" s="2029"/>
      <c r="H36" s="2029"/>
      <c r="I36" s="2029"/>
      <c r="J36" s="2029"/>
      <c r="K36" s="2040"/>
      <c r="L36" s="2015"/>
      <c r="M36" s="2015"/>
      <c r="N36" s="2016"/>
      <c r="O36" s="2017"/>
      <c r="P36" s="2016"/>
      <c r="Q36" s="2016"/>
      <c r="R36" s="2016"/>
      <c r="S36" s="2016"/>
      <c r="T36" s="2016"/>
      <c r="U36" s="2016"/>
      <c r="V36" s="2016"/>
    </row>
    <row r="37" spans="1:22" ht="18" customHeight="1">
      <c r="A37" s="2126" t="s">
        <v>1843</v>
      </c>
      <c r="B37" s="2127" t="s">
        <v>56</v>
      </c>
      <c r="C37" s="2127"/>
      <c r="D37" s="2127"/>
      <c r="E37" s="2127"/>
      <c r="F37" s="2125"/>
      <c r="G37" s="2029"/>
      <c r="H37" s="2029"/>
      <c r="I37" s="2029"/>
      <c r="J37" s="2029"/>
      <c r="K37" s="2040"/>
      <c r="L37" s="2015"/>
      <c r="M37" s="2015"/>
      <c r="N37" s="2016"/>
      <c r="O37" s="2017"/>
      <c r="P37" s="2016"/>
      <c r="Q37" s="2016"/>
      <c r="R37" s="2016"/>
      <c r="S37" s="2016"/>
      <c r="T37" s="2016"/>
      <c r="U37" s="2016"/>
      <c r="V37" s="2016"/>
    </row>
    <row r="38" spans="1:22" ht="18" customHeight="1" thickBot="1">
      <c r="A38" s="2128" t="s">
        <v>1844</v>
      </c>
      <c r="B38" s="2129" t="s">
        <v>357</v>
      </c>
      <c r="C38" s="2129"/>
      <c r="D38" s="2129"/>
      <c r="E38" s="2129"/>
      <c r="F38" s="2130"/>
      <c r="G38" s="2048"/>
      <c r="H38" s="2048"/>
      <c r="I38" s="2048"/>
      <c r="J38" s="2029"/>
      <c r="K38" s="2040"/>
      <c r="L38" s="2015"/>
      <c r="M38" s="2015"/>
      <c r="N38" s="2016"/>
      <c r="O38" s="2017"/>
      <c r="P38" s="2016"/>
      <c r="Q38" s="2016"/>
      <c r="R38" s="2016"/>
      <c r="S38" s="2016"/>
      <c r="T38" s="2016"/>
      <c r="U38" s="2016"/>
      <c r="V38" s="2016"/>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6"/>
      <c r="B40" s="2016"/>
      <c r="C40" s="2016"/>
      <c r="D40" s="2016"/>
      <c r="E40" s="2016"/>
      <c r="F40" s="2016"/>
      <c r="G40" s="2016"/>
      <c r="H40" s="2016"/>
      <c r="I40" s="2136"/>
      <c r="J40" s="2071"/>
      <c r="K40" s="665"/>
      <c r="L40" s="2070"/>
      <c r="M40" s="2070"/>
      <c r="N40" s="2071"/>
      <c r="O40" s="2070"/>
      <c r="P40" s="2016"/>
      <c r="Q40" s="2016"/>
      <c r="R40" s="2016"/>
      <c r="S40" s="2016"/>
      <c r="T40" s="2016"/>
      <c r="U40" s="2016"/>
      <c r="V40" s="2016"/>
    </row>
    <row r="41" spans="1:22" ht="18" customHeight="1">
      <c r="A41" s="8" t="s">
        <v>1846</v>
      </c>
      <c r="B41" s="2137"/>
      <c r="C41" s="2138"/>
      <c r="D41" s="2016"/>
      <c r="E41" s="2016"/>
      <c r="F41" s="2016"/>
      <c r="G41" s="2016"/>
      <c r="H41" s="2016"/>
      <c r="I41" s="2017"/>
      <c r="J41" s="2016"/>
      <c r="K41" s="2110"/>
      <c r="L41" s="2015"/>
      <c r="M41" s="2015"/>
      <c r="N41" s="2016"/>
      <c r="O41" s="2017"/>
      <c r="P41" s="2016"/>
      <c r="Q41" s="2016"/>
      <c r="R41" s="2016"/>
      <c r="S41" s="2016"/>
      <c r="T41" s="2016"/>
      <c r="U41" s="2016"/>
      <c r="V41" s="2016"/>
    </row>
    <row r="42" spans="1:22" ht="18" customHeight="1">
      <c r="A42" s="2061" t="s">
        <v>1847</v>
      </c>
      <c r="B42" s="1783" t="s">
        <v>1848</v>
      </c>
      <c r="C42" s="1783" t="s">
        <v>1849</v>
      </c>
      <c r="D42" s="1783" t="s">
        <v>1850</v>
      </c>
      <c r="E42" s="1783" t="s">
        <v>1851</v>
      </c>
      <c r="F42" s="1783" t="s">
        <v>1852</v>
      </c>
      <c r="G42" s="1783" t="s">
        <v>1853</v>
      </c>
      <c r="H42" s="1783" t="s">
        <v>1854</v>
      </c>
      <c r="I42" s="1783" t="s">
        <v>1855</v>
      </c>
      <c r="J42" s="2139" t="s">
        <v>1856</v>
      </c>
      <c r="K42" s="2062" t="s">
        <v>1857</v>
      </c>
      <c r="L42" s="2062" t="s">
        <v>1858</v>
      </c>
      <c r="M42" s="2062" t="s">
        <v>1859</v>
      </c>
      <c r="N42" s="1783" t="s">
        <v>1860</v>
      </c>
      <c r="O42" s="1783" t="s">
        <v>1861</v>
      </c>
      <c r="P42" s="1783" t="s">
        <v>1862</v>
      </c>
      <c r="Q42" s="2061" t="s">
        <v>1863</v>
      </c>
      <c r="R42" s="2061" t="s">
        <v>1864</v>
      </c>
      <c r="S42" s="2016"/>
      <c r="T42" s="2016"/>
      <c r="U42" s="2016"/>
      <c r="V42" s="2016"/>
    </row>
    <row r="43" spans="1:22" s="2144" customFormat="1" ht="18" customHeight="1">
      <c r="A43" s="2140"/>
      <c r="B43" s="1268"/>
      <c r="C43" s="1268"/>
      <c r="D43" s="1268"/>
      <c r="E43" s="1268"/>
      <c r="F43" s="1268"/>
      <c r="G43" s="1268"/>
      <c r="H43" s="9"/>
      <c r="I43" s="9"/>
      <c r="J43" s="2141"/>
      <c r="K43" s="2142"/>
      <c r="L43" s="2142"/>
      <c r="M43" s="9"/>
      <c r="N43" s="1268"/>
      <c r="O43" s="9"/>
      <c r="P43" s="1268"/>
      <c r="Q43" s="1268"/>
      <c r="R43" s="1268"/>
      <c r="S43" s="2143"/>
      <c r="T43" s="2143"/>
      <c r="U43" s="2143"/>
      <c r="V43" s="2143"/>
    </row>
    <row r="44" spans="1:22" s="2144" customFormat="1" ht="18" customHeight="1">
      <c r="A44" s="2140"/>
      <c r="B44" s="2140"/>
      <c r="C44" s="1268"/>
      <c r="D44" s="1268"/>
      <c r="E44" s="1268"/>
      <c r="F44" s="1268"/>
      <c r="G44" s="1268"/>
      <c r="H44" s="9"/>
      <c r="I44" s="9"/>
      <c r="J44" s="2141"/>
      <c r="K44" s="2142"/>
      <c r="L44" s="2142"/>
      <c r="M44" s="9"/>
      <c r="N44" s="1268"/>
      <c r="O44" s="9"/>
      <c r="P44" s="1268"/>
      <c r="Q44" s="1268"/>
      <c r="R44" s="1268"/>
      <c r="S44" s="2143"/>
      <c r="T44" s="2143"/>
      <c r="U44" s="2143"/>
      <c r="V44" s="2143"/>
    </row>
    <row r="45" spans="1:22" s="2144" customFormat="1" ht="18" customHeight="1">
      <c r="A45" s="2140"/>
      <c r="B45" s="2140"/>
      <c r="C45" s="1268"/>
      <c r="D45" s="1268"/>
      <c r="E45" s="1268"/>
      <c r="F45" s="1268"/>
      <c r="G45" s="1268"/>
      <c r="H45" s="9"/>
      <c r="I45" s="9"/>
      <c r="J45" s="2141"/>
      <c r="K45" s="2142"/>
      <c r="L45" s="2142"/>
      <c r="M45" s="9"/>
      <c r="N45" s="1268"/>
      <c r="O45" s="9"/>
      <c r="P45" s="1268"/>
      <c r="Q45" s="1268"/>
      <c r="R45" s="1268"/>
      <c r="S45" s="2143"/>
      <c r="T45" s="2143"/>
      <c r="U45" s="2143"/>
      <c r="V45" s="2143"/>
    </row>
    <row r="46" spans="1:22" s="2144" customFormat="1" ht="18" customHeight="1">
      <c r="A46" s="2140"/>
      <c r="B46" s="2140"/>
      <c r="C46" s="1268"/>
      <c r="D46" s="1268"/>
      <c r="E46" s="1268"/>
      <c r="F46" s="1268"/>
      <c r="G46" s="1268"/>
      <c r="H46" s="9"/>
      <c r="I46" s="9"/>
      <c r="J46" s="2141"/>
      <c r="K46" s="2142"/>
      <c r="L46" s="2142"/>
      <c r="M46" s="9"/>
      <c r="N46" s="1268"/>
      <c r="O46" s="9"/>
      <c r="P46" s="1268"/>
      <c r="Q46" s="1268"/>
      <c r="R46" s="1268"/>
      <c r="S46" s="2143"/>
      <c r="T46" s="2143"/>
      <c r="U46" s="2143"/>
      <c r="V46" s="2143"/>
    </row>
    <row r="47" spans="1:22" s="2144" customFormat="1" ht="18" customHeight="1">
      <c r="A47" s="2140"/>
      <c r="B47" s="2140"/>
      <c r="C47" s="1268"/>
      <c r="D47" s="1268"/>
      <c r="E47" s="1268"/>
      <c r="F47" s="1268"/>
      <c r="G47" s="1268"/>
      <c r="H47" s="9"/>
      <c r="I47" s="9"/>
      <c r="J47" s="2141"/>
      <c r="K47" s="2142"/>
      <c r="L47" s="2142"/>
      <c r="M47" s="9"/>
      <c r="N47" s="1268"/>
      <c r="O47" s="9"/>
      <c r="P47" s="1268"/>
      <c r="Q47" s="1268"/>
      <c r="R47" s="1268"/>
      <c r="S47" s="2143"/>
      <c r="T47" s="2143"/>
      <c r="U47" s="2143"/>
      <c r="V47" s="2143"/>
    </row>
    <row r="48" spans="1:22" s="2144" customFormat="1" ht="18" customHeight="1">
      <c r="A48" s="2140"/>
      <c r="B48" s="2140"/>
      <c r="C48" s="1268"/>
      <c r="D48" s="1268"/>
      <c r="E48" s="1268"/>
      <c r="F48" s="1268"/>
      <c r="G48" s="1268"/>
      <c r="H48" s="9"/>
      <c r="I48" s="9"/>
      <c r="J48" s="2141"/>
      <c r="K48" s="2142"/>
      <c r="L48" s="2142"/>
      <c r="M48" s="9"/>
      <c r="N48" s="1268"/>
      <c r="O48" s="9"/>
      <c r="P48" s="1268"/>
      <c r="Q48" s="1268"/>
      <c r="R48" s="1268"/>
      <c r="S48" s="2143"/>
      <c r="T48" s="2143"/>
      <c r="U48" s="2143"/>
      <c r="V48" s="2143"/>
    </row>
    <row r="49" spans="1:22" s="2144" customFormat="1" ht="18" customHeight="1">
      <c r="A49" s="2140"/>
      <c r="B49" s="2140"/>
      <c r="C49" s="1268"/>
      <c r="D49" s="1268"/>
      <c r="E49" s="1268"/>
      <c r="F49" s="1268"/>
      <c r="G49" s="1268"/>
      <c r="H49" s="9"/>
      <c r="I49" s="9"/>
      <c r="J49" s="2141"/>
      <c r="K49" s="2142"/>
      <c r="L49" s="2142"/>
      <c r="M49" s="9"/>
      <c r="N49" s="1268"/>
      <c r="O49" s="9"/>
      <c r="P49" s="1268"/>
      <c r="Q49" s="1268"/>
      <c r="R49" s="1268"/>
      <c r="S49" s="2143"/>
      <c r="T49" s="2143"/>
      <c r="U49" s="2143"/>
      <c r="V49" s="2143"/>
    </row>
    <row r="50" spans="1:22" s="2144" customFormat="1" ht="18" customHeight="1">
      <c r="A50" s="2140"/>
      <c r="B50" s="2140"/>
      <c r="C50" s="1268"/>
      <c r="D50" s="1268"/>
      <c r="E50" s="1268"/>
      <c r="F50" s="1268"/>
      <c r="G50" s="1268"/>
      <c r="H50" s="9"/>
      <c r="I50" s="9"/>
      <c r="J50" s="2141"/>
      <c r="K50" s="2142"/>
      <c r="L50" s="2142"/>
      <c r="M50" s="9"/>
      <c r="N50" s="1268"/>
      <c r="O50" s="9"/>
      <c r="P50" s="1268"/>
      <c r="Q50" s="1268"/>
      <c r="R50" s="1268"/>
      <c r="S50" s="2143"/>
      <c r="T50" s="2143"/>
      <c r="U50" s="2143"/>
      <c r="V50" s="2143"/>
    </row>
    <row r="51" spans="1:22" s="2144" customFormat="1" ht="18" customHeight="1">
      <c r="A51" s="2140"/>
      <c r="B51" s="2140"/>
      <c r="C51" s="1268"/>
      <c r="D51" s="1268"/>
      <c r="E51" s="1268"/>
      <c r="F51" s="1268"/>
      <c r="G51" s="1268"/>
      <c r="H51" s="9"/>
      <c r="I51" s="9"/>
      <c r="J51" s="2141"/>
      <c r="K51" s="2142"/>
      <c r="L51" s="2142"/>
      <c r="M51" s="9"/>
      <c r="N51" s="1268"/>
      <c r="O51" s="9"/>
      <c r="P51" s="1268"/>
      <c r="Q51" s="1268"/>
      <c r="R51" s="1268"/>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6" sqref="A16:XFD16"/>
    </sheetView>
  </sheetViews>
  <sheetFormatPr defaultColWidth="8.875" defaultRowHeight="14.25"/>
  <cols>
    <col min="1" max="1" width="10.625" style="2146" customWidth="1"/>
    <col min="2" max="2" width="11" style="2146" customWidth="1"/>
    <col min="3" max="3" width="18.875" style="2146" customWidth="1"/>
    <col min="4" max="4" width="9.125" style="2146" customWidth="1"/>
    <col min="5" max="6" width="10" style="2209" customWidth="1"/>
    <col min="7" max="8" width="10" style="2146" customWidth="1"/>
    <col min="9" max="9" width="8.125" style="2146" customWidth="1"/>
    <col min="10" max="10" width="5.875" style="2146" customWidth="1"/>
    <col min="11" max="11" width="7.625" style="2146" customWidth="1"/>
    <col min="12" max="12" width="5.5" style="2146" customWidth="1"/>
    <col min="13" max="13" width="7.125" style="2146" customWidth="1"/>
    <col min="14" max="14" width="6.125" style="2146" customWidth="1"/>
    <col min="15" max="15" width="7.875" style="2146" customWidth="1"/>
    <col min="16" max="16" width="6.375" style="2146" customWidth="1"/>
    <col min="17" max="17" width="7.375" style="2146" customWidth="1"/>
    <col min="18" max="18" width="6.125" style="2146" customWidth="1"/>
    <col min="19" max="19" width="7.875" style="2146" customWidth="1"/>
    <col min="20" max="20" width="6.125" style="2146" customWidth="1"/>
    <col min="21" max="21" width="8.125" style="2146" customWidth="1"/>
    <col min="22" max="28" width="10.875" style="2146" customWidth="1"/>
    <col min="29" max="29" width="11" style="2146" bestFit="1" customWidth="1"/>
    <col min="30" max="30" width="10" style="2146" bestFit="1" customWidth="1"/>
    <col min="31" max="31" width="9.875" style="2146" customWidth="1"/>
    <col min="32" max="46" width="9.5" style="2146" customWidth="1"/>
    <col min="47" max="47" width="18.125" style="2146" customWidth="1"/>
    <col min="48" max="50" width="9.8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1865</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50" t="s">
        <v>1866</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5" t="s">
        <v>1870</v>
      </c>
      <c r="AZ2" s="1266"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f>B3/3</f>
        <v>45212.18</v>
      </c>
      <c r="B3" s="14">
        <f>IF(C3="否",G5-AT5,G5)</f>
        <v>135636.54</v>
      </c>
      <c r="C3" s="2155" t="s">
        <v>1873</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7"/>
      <c r="AZ3" s="1268"/>
      <c r="BA3" s="1269"/>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1874</v>
      </c>
      <c r="B5" s="1791"/>
      <c r="C5" s="1791"/>
      <c r="D5" s="1794"/>
      <c r="E5" s="16" t="s">
        <v>1</v>
      </c>
      <c r="F5" s="16">
        <f>SUM(F13:F587)</f>
        <v>0</v>
      </c>
      <c r="G5" s="16">
        <f>SUM(G13:G587)</f>
        <v>135636.54</v>
      </c>
      <c r="H5" s="16">
        <f t="shared" ref="H5:AT5" si="0">SUM(H13:H656)</f>
        <v>135636.54</v>
      </c>
      <c r="I5" s="16">
        <f t="shared" si="0"/>
        <v>5306.99</v>
      </c>
      <c r="J5" s="16">
        <f t="shared" si="0"/>
        <v>0</v>
      </c>
      <c r="K5" s="16">
        <f t="shared" si="0"/>
        <v>8308.98</v>
      </c>
      <c r="L5" s="16">
        <f t="shared" si="0"/>
        <v>0</v>
      </c>
      <c r="M5" s="16">
        <f t="shared" si="0"/>
        <v>9716.32</v>
      </c>
      <c r="N5" s="16">
        <f t="shared" si="0"/>
        <v>0</v>
      </c>
      <c r="O5" s="16">
        <f t="shared" si="0"/>
        <v>5927.9099999999989</v>
      </c>
      <c r="P5" s="16">
        <f t="shared" si="0"/>
        <v>0</v>
      </c>
      <c r="Q5" s="16">
        <f t="shared" si="0"/>
        <v>1998.52</v>
      </c>
      <c r="R5" s="16">
        <f t="shared" si="0"/>
        <v>0</v>
      </c>
      <c r="S5" s="16">
        <f t="shared" si="0"/>
        <v>51520.840000000004</v>
      </c>
      <c r="T5" s="16">
        <f t="shared" si="0"/>
        <v>0</v>
      </c>
      <c r="U5" s="16">
        <f t="shared" si="0"/>
        <v>52856.979999999996</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0"/>
      <c r="AV5" s="15" t="s">
        <v>1874</v>
      </c>
      <c r="AW5" s="1791"/>
      <c r="AX5" s="1791"/>
      <c r="AY5" s="17" t="s">
        <v>3</v>
      </c>
      <c r="AZ5" s="18">
        <f t="shared" ref="AZ5:BT5" si="1">SUM(AZ13:AZ656)</f>
        <v>135636.54</v>
      </c>
      <c r="BA5" s="18">
        <f t="shared" si="1"/>
        <v>135636.54</v>
      </c>
      <c r="BB5" s="18">
        <f t="shared" si="1"/>
        <v>5306.99</v>
      </c>
      <c r="BC5" s="18">
        <f t="shared" si="1"/>
        <v>8308.98</v>
      </c>
      <c r="BD5" s="18">
        <f t="shared" si="1"/>
        <v>9716.32</v>
      </c>
      <c r="BE5" s="18">
        <f t="shared" si="1"/>
        <v>5927.9099999999989</v>
      </c>
      <c r="BF5" s="18">
        <f t="shared" si="1"/>
        <v>1998.52</v>
      </c>
      <c r="BG5" s="18">
        <f t="shared" si="1"/>
        <v>51520.840000000004</v>
      </c>
      <c r="BH5" s="18">
        <f t="shared" si="1"/>
        <v>52856.979999999996</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1875</v>
      </c>
      <c r="B6" s="2161"/>
      <c r="C6" s="2161"/>
      <c r="D6" s="2162"/>
      <c r="E6" s="16">
        <f>H6+AC6+AT6</f>
        <v>45212.17</v>
      </c>
      <c r="F6" s="16" t="s">
        <v>1</v>
      </c>
      <c r="G6" s="16" t="s">
        <v>2</v>
      </c>
      <c r="H6" s="20">
        <f>SUMIF(I$12:AB$12,"总值",I6:AB6)</f>
        <v>45212.17</v>
      </c>
      <c r="I6" s="16">
        <f t="shared" ref="I6:AB6" si="2">ROUND($A$3*I5/$B$3,2)</f>
        <v>1769</v>
      </c>
      <c r="J6" s="16">
        <f t="shared" si="2"/>
        <v>0</v>
      </c>
      <c r="K6" s="16">
        <f t="shared" si="2"/>
        <v>2769.66</v>
      </c>
      <c r="L6" s="16">
        <f t="shared" si="2"/>
        <v>0</v>
      </c>
      <c r="M6" s="16">
        <f t="shared" si="2"/>
        <v>3238.77</v>
      </c>
      <c r="N6" s="16">
        <f t="shared" si="2"/>
        <v>0</v>
      </c>
      <c r="O6" s="16">
        <f t="shared" si="2"/>
        <v>1975.97</v>
      </c>
      <c r="P6" s="16">
        <f t="shared" si="2"/>
        <v>0</v>
      </c>
      <c r="Q6" s="16">
        <f t="shared" si="2"/>
        <v>666.17</v>
      </c>
      <c r="R6" s="16">
        <f t="shared" si="2"/>
        <v>0</v>
      </c>
      <c r="S6" s="16">
        <f t="shared" si="2"/>
        <v>17173.61</v>
      </c>
      <c r="T6" s="16">
        <f t="shared" si="2"/>
        <v>0</v>
      </c>
      <c r="U6" s="16">
        <f t="shared" si="2"/>
        <v>17618.990000000002</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1875</v>
      </c>
      <c r="AW6" s="2161"/>
      <c r="AX6" s="2161"/>
      <c r="AY6" s="21">
        <f>IF(AY3&gt;0,AY3,ROUND($A$3*AZ5/$B$3,2))</f>
        <v>45212.18</v>
      </c>
      <c r="AZ6" s="16" t="s">
        <v>3</v>
      </c>
      <c r="BA6" s="16">
        <f>ROUND($AY$6*BA5/$AZ$5,2)</f>
        <v>45212.18</v>
      </c>
      <c r="BB6" s="16">
        <f>ROUND($AY$6*BB5/$AZ$5,2)</f>
        <v>1769</v>
      </c>
      <c r="BC6" s="16">
        <f t="shared" ref="BC6:BH6" si="4">ROUND($AY$6*BC5/$AZ$5,2)</f>
        <v>2769.66</v>
      </c>
      <c r="BD6" s="16">
        <f t="shared" si="4"/>
        <v>3238.77</v>
      </c>
      <c r="BE6" s="16">
        <f t="shared" si="4"/>
        <v>1975.97</v>
      </c>
      <c r="BF6" s="16">
        <f t="shared" si="4"/>
        <v>666.17</v>
      </c>
      <c r="BG6" s="16">
        <f t="shared" si="4"/>
        <v>17173.61</v>
      </c>
      <c r="BH6" s="16">
        <f t="shared" si="4"/>
        <v>17618.990000000002</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6" t="s">
        <v>1876</v>
      </c>
      <c r="B7" s="2096" t="s">
        <v>1877</v>
      </c>
      <c r="C7" s="2096" t="s">
        <v>1878</v>
      </c>
      <c r="D7" s="2096" t="s">
        <v>1879</v>
      </c>
      <c r="E7" s="2096" t="s">
        <v>1880</v>
      </c>
      <c r="F7" s="2096" t="s">
        <v>1881</v>
      </c>
      <c r="G7" s="2165" t="s">
        <v>1882</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4"/>
      <c r="AU7" s="2166" t="s">
        <v>1883</v>
      </c>
      <c r="AV7" s="23" t="s">
        <v>1884</v>
      </c>
      <c r="AW7" s="2153" t="s">
        <v>1885</v>
      </c>
      <c r="AX7" s="23" t="s">
        <v>1878</v>
      </c>
      <c r="AY7" s="1791" t="s">
        <v>1886</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1887</v>
      </c>
      <c r="H8" s="2171" t="s">
        <v>1888</v>
      </c>
      <c r="I8" s="2172"/>
      <c r="J8" s="1806"/>
      <c r="K8" s="1806"/>
      <c r="L8" s="1806"/>
      <c r="M8" s="1806"/>
      <c r="N8" s="1806"/>
      <c r="O8" s="1806"/>
      <c r="P8" s="1806"/>
      <c r="Q8" s="1806"/>
      <c r="R8" s="1806"/>
      <c r="S8" s="1806"/>
      <c r="T8" s="1806"/>
      <c r="U8" s="1806"/>
      <c r="V8" s="2173"/>
      <c r="W8" s="1806"/>
      <c r="X8" s="1806"/>
      <c r="Y8" s="1806"/>
      <c r="Z8" s="1806"/>
      <c r="AA8" s="2173"/>
      <c r="AB8" s="2174"/>
      <c r="AC8" s="980" t="s">
        <v>1889</v>
      </c>
      <c r="AD8" s="2175"/>
      <c r="AE8" s="2167"/>
      <c r="AF8" s="1806"/>
      <c r="AG8" s="1806"/>
      <c r="AH8" s="1806"/>
      <c r="AI8" s="1806"/>
      <c r="AJ8" s="1806"/>
      <c r="AK8" s="1806"/>
      <c r="AL8" s="1806"/>
      <c r="AM8" s="1806"/>
      <c r="AN8" s="1806"/>
      <c r="AO8" s="1806"/>
      <c r="AP8" s="1806"/>
      <c r="AQ8" s="1806"/>
      <c r="AR8" s="1806"/>
      <c r="AS8" s="1806"/>
      <c r="AT8" s="1288" t="s">
        <v>1890</v>
      </c>
      <c r="AU8" s="2169" t="s">
        <v>1891</v>
      </c>
      <c r="AV8" s="1288"/>
      <c r="AW8" s="2152"/>
      <c r="AX8" s="1288"/>
      <c r="AY8" s="2153" t="s">
        <v>1892</v>
      </c>
      <c r="AZ8" s="1805" t="s">
        <v>1893</v>
      </c>
      <c r="BA8" s="1806"/>
      <c r="BB8" s="1806"/>
      <c r="BC8" s="1806"/>
      <c r="BD8" s="1806"/>
      <c r="BE8" s="1806"/>
      <c r="BF8" s="1806"/>
      <c r="BG8" s="1806"/>
      <c r="BH8" s="1806"/>
      <c r="BI8" s="1806"/>
      <c r="BJ8" s="1806"/>
      <c r="BK8" s="1806"/>
      <c r="BL8" s="1806"/>
      <c r="BM8" s="1806"/>
      <c r="BN8" s="1806"/>
      <c r="BO8" s="1806"/>
      <c r="BP8" s="1806"/>
      <c r="BQ8" s="1806"/>
      <c r="BR8" s="1806"/>
      <c r="BS8" s="1806"/>
      <c r="BT8" s="26"/>
    </row>
    <row r="9" spans="1:72" s="2176" customFormat="1" ht="12.75">
      <c r="A9" s="2169"/>
      <c r="B9" s="2169"/>
      <c r="C9" s="2169"/>
      <c r="D9" s="2169"/>
      <c r="E9" s="2169"/>
      <c r="F9" s="2169"/>
      <c r="G9" s="1288"/>
      <c r="H9" s="2177" t="s">
        <v>1894</v>
      </c>
      <c r="I9" s="2178" t="s">
        <v>3094</v>
      </c>
      <c r="J9" s="980"/>
      <c r="K9" s="2178" t="s">
        <v>3094</v>
      </c>
      <c r="L9" s="980"/>
      <c r="M9" s="2178" t="s">
        <v>3094</v>
      </c>
      <c r="N9" s="980"/>
      <c r="O9" s="2178" t="s">
        <v>3094</v>
      </c>
      <c r="P9" s="980"/>
      <c r="Q9" s="2178" t="s">
        <v>3094</v>
      </c>
      <c r="R9" s="980"/>
      <c r="S9" s="2178" t="s">
        <v>3095</v>
      </c>
      <c r="T9" s="980"/>
      <c r="U9" s="2178" t="s">
        <v>3095</v>
      </c>
      <c r="V9" s="980"/>
      <c r="W9" s="2178"/>
      <c r="X9" s="2179"/>
      <c r="Y9" s="2178"/>
      <c r="Z9" s="980"/>
      <c r="AA9" s="2178"/>
      <c r="AB9" s="980"/>
      <c r="AC9" s="2170"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0"/>
      <c r="AT9" s="2169"/>
      <c r="AU9" s="2169" t="s">
        <v>1897</v>
      </c>
      <c r="AV9" s="1288"/>
      <c r="AW9" s="2152"/>
      <c r="AX9" s="1288"/>
      <c r="AY9" s="28"/>
      <c r="AZ9" s="28" t="s">
        <v>1887</v>
      </c>
      <c r="BA9" s="2181" t="s">
        <v>1898</v>
      </c>
      <c r="BB9" s="2182"/>
      <c r="BC9" s="1334"/>
      <c r="BD9" s="1334"/>
      <c r="BE9" s="1334"/>
      <c r="BF9" s="1334"/>
      <c r="BG9" s="1334"/>
      <c r="BH9" s="1334"/>
      <c r="BI9" s="1334"/>
      <c r="BJ9" s="1334"/>
      <c r="BK9" s="2183"/>
      <c r="BL9" s="15" t="s">
        <v>1899</v>
      </c>
      <c r="BM9" s="1806"/>
      <c r="BN9" s="2172"/>
      <c r="BO9" s="1806"/>
      <c r="BP9" s="1806"/>
      <c r="BQ9" s="1806"/>
      <c r="BR9" s="1806"/>
      <c r="BS9" s="1806"/>
      <c r="BT9" s="26"/>
    </row>
    <row r="10" spans="1:72" s="2176" customFormat="1" ht="12.75">
      <c r="A10" s="2169"/>
      <c r="B10" s="2169"/>
      <c r="C10" s="2169"/>
      <c r="D10" s="2169"/>
      <c r="E10" s="2169"/>
      <c r="F10" s="2169"/>
      <c r="G10" s="1288"/>
      <c r="H10" s="28"/>
      <c r="I10" s="2178" t="s">
        <v>1372</v>
      </c>
      <c r="J10" s="980"/>
      <c r="K10" s="2184" t="s">
        <v>1372</v>
      </c>
      <c r="L10" s="980"/>
      <c r="M10" s="2184" t="s">
        <v>1372</v>
      </c>
      <c r="N10" s="980"/>
      <c r="O10" s="2184" t="s">
        <v>1372</v>
      </c>
      <c r="P10" s="980"/>
      <c r="Q10" s="2184" t="s">
        <v>1372</v>
      </c>
      <c r="R10" s="980"/>
      <c r="S10" s="2184" t="s">
        <v>1372</v>
      </c>
      <c r="T10" s="980"/>
      <c r="U10" s="2184" t="s">
        <v>1372</v>
      </c>
      <c r="V10" s="980"/>
      <c r="W10" s="2184"/>
      <c r="X10" s="980"/>
      <c r="Y10" s="2184"/>
      <c r="Z10" s="980"/>
      <c r="AA10" s="2184"/>
      <c r="AB10" s="980"/>
      <c r="AC10" s="1288"/>
      <c r="AD10" s="15" t="s">
        <v>1900</v>
      </c>
      <c r="AE10" s="2185"/>
      <c r="AF10" s="15" t="s">
        <v>1900</v>
      </c>
      <c r="AG10" s="2185"/>
      <c r="AH10" s="15" t="s">
        <v>1901</v>
      </c>
      <c r="AI10" s="2185"/>
      <c r="AJ10" s="15" t="s">
        <v>1901</v>
      </c>
      <c r="AK10" s="2185"/>
      <c r="AL10" s="15" t="s">
        <v>1902</v>
      </c>
      <c r="AM10" s="1294"/>
      <c r="AN10" s="15" t="s">
        <v>1902</v>
      </c>
      <c r="AO10" s="1294"/>
      <c r="AP10" s="15" t="s">
        <v>1903</v>
      </c>
      <c r="AQ10" s="1294"/>
      <c r="AR10" s="15" t="s">
        <v>1903</v>
      </c>
      <c r="AS10" s="1294"/>
      <c r="AT10" s="2169"/>
      <c r="AU10" s="2169"/>
      <c r="AV10" s="1288"/>
      <c r="AW10" s="2152"/>
      <c r="AX10" s="1288"/>
      <c r="AY10" s="28"/>
      <c r="AZ10" s="28"/>
      <c r="BA10" s="2186" t="s">
        <v>1894</v>
      </c>
      <c r="BB10" s="2187" t="str">
        <f>I9</f>
        <v>地上</v>
      </c>
      <c r="BC10" s="29" t="str">
        <f>K9</f>
        <v>地上</v>
      </c>
      <c r="BD10" s="29" t="str">
        <f>M9</f>
        <v>地上</v>
      </c>
      <c r="BE10" s="29" t="str">
        <f>O9</f>
        <v>地上</v>
      </c>
      <c r="BF10" s="29" t="str">
        <f>Q9</f>
        <v>地上</v>
      </c>
      <c r="BG10" s="29" t="str">
        <f>S9</f>
        <v>地下</v>
      </c>
      <c r="BH10" s="29" t="str">
        <f>U9</f>
        <v>地下</v>
      </c>
      <c r="BI10" s="29">
        <f>W9</f>
        <v>0</v>
      </c>
      <c r="BJ10" s="29">
        <f>Y9</f>
        <v>0</v>
      </c>
      <c r="BK10" s="29">
        <f>AA9</f>
        <v>0</v>
      </c>
      <c r="BL10" s="25" t="s">
        <v>1894</v>
      </c>
      <c r="BM10" s="1805" t="str">
        <f>AD9</f>
        <v>地上</v>
      </c>
      <c r="BN10" s="29" t="str">
        <f>AF9</f>
        <v>地下</v>
      </c>
      <c r="BO10" s="1805" t="str">
        <f>AH9</f>
        <v>地上</v>
      </c>
      <c r="BP10" s="29" t="str">
        <f>AJ9</f>
        <v>地下</v>
      </c>
      <c r="BQ10" s="1805" t="str">
        <f>AL9</f>
        <v>地上</v>
      </c>
      <c r="BR10" s="29" t="str">
        <f>AN9</f>
        <v>地下</v>
      </c>
      <c r="BS10" s="1805" t="str">
        <f>AP9</f>
        <v>地上</v>
      </c>
      <c r="BT10" s="2188" t="str">
        <f>AR9</f>
        <v>地下</v>
      </c>
    </row>
    <row r="11" spans="1:72" s="2176" customFormat="1" ht="14.25" customHeight="1">
      <c r="A11" s="2169"/>
      <c r="B11" s="2169"/>
      <c r="C11" s="2169"/>
      <c r="D11" s="2169"/>
      <c r="E11" s="2169"/>
      <c r="F11" s="2169"/>
      <c r="G11" s="1288"/>
      <c r="H11" s="2186"/>
      <c r="I11" s="2189" t="s">
        <v>3365</v>
      </c>
      <c r="J11" s="2190"/>
      <c r="K11" s="2189" t="s">
        <v>3367</v>
      </c>
      <c r="L11" s="2190"/>
      <c r="M11" s="2189" t="s">
        <v>3369</v>
      </c>
      <c r="N11" s="2190"/>
      <c r="O11" s="2189" t="s">
        <v>3371</v>
      </c>
      <c r="P11" s="2190"/>
      <c r="Q11" s="2189" t="s">
        <v>3373</v>
      </c>
      <c r="R11" s="2190"/>
      <c r="S11" s="2189" t="s">
        <v>3375</v>
      </c>
      <c r="T11" s="2190"/>
      <c r="U11" s="2189" t="s">
        <v>3377</v>
      </c>
      <c r="V11" s="2190"/>
      <c r="W11" s="2189"/>
      <c r="X11" s="2190"/>
      <c r="Y11" s="2189"/>
      <c r="Z11" s="2190"/>
      <c r="AA11" s="2189"/>
      <c r="AB11" s="2190"/>
      <c r="AC11" s="1288"/>
      <c r="AD11" s="2191" t="s">
        <v>1904</v>
      </c>
      <c r="AE11" s="1807"/>
      <c r="AF11" s="2191" t="s">
        <v>1904</v>
      </c>
      <c r="AG11" s="1807"/>
      <c r="AH11" s="2191" t="s">
        <v>1905</v>
      </c>
      <c r="AI11" s="2192"/>
      <c r="AJ11" s="2191" t="s">
        <v>1905</v>
      </c>
      <c r="AK11" s="1807"/>
      <c r="AL11" s="1805"/>
      <c r="AM11" s="1807"/>
      <c r="AN11" s="1805"/>
      <c r="AO11" s="1807"/>
      <c r="AP11" s="1805"/>
      <c r="AQ11" s="1807"/>
      <c r="AR11" s="1805"/>
      <c r="AS11" s="1807"/>
      <c r="AT11" s="2152"/>
      <c r="AU11" s="2169"/>
      <c r="AV11" s="1288"/>
      <c r="AW11" s="2152"/>
      <c r="AX11" s="1288"/>
      <c r="AY11" s="28"/>
      <c r="AZ11" s="28"/>
      <c r="BA11" s="28"/>
      <c r="BB11" s="2174" t="str">
        <f>I10</f>
        <v>商业</v>
      </c>
      <c r="BC11" s="2174" t="str">
        <f>K10</f>
        <v>商业</v>
      </c>
      <c r="BD11" s="2174" t="str">
        <f>M10</f>
        <v>商业</v>
      </c>
      <c r="BE11" s="2174" t="str">
        <f>O10</f>
        <v>商业</v>
      </c>
      <c r="BF11" s="2174" t="str">
        <f>Q10</f>
        <v>商业</v>
      </c>
      <c r="BG11" s="2174" t="str">
        <f>S10</f>
        <v>商业</v>
      </c>
      <c r="BH11" s="2174" t="str">
        <f>U10</f>
        <v>商业</v>
      </c>
      <c r="BI11" s="2174">
        <f>W10</f>
        <v>0</v>
      </c>
      <c r="BJ11" s="2174">
        <f>Y10</f>
        <v>0</v>
      </c>
      <c r="BK11" s="2174">
        <f>AA10</f>
        <v>0</v>
      </c>
      <c r="BL11" s="1288"/>
      <c r="BM11" s="1805" t="str">
        <f>AD10</f>
        <v>公共配套设施</v>
      </c>
      <c r="BN11" s="1805"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0" t="s">
        <v>1907</v>
      </c>
      <c r="W12" s="11" t="s">
        <v>1906</v>
      </c>
      <c r="X12" s="11" t="s">
        <v>1907</v>
      </c>
      <c r="Y12" s="11" t="s">
        <v>1906</v>
      </c>
      <c r="Z12" s="11" t="s">
        <v>1907</v>
      </c>
      <c r="AA12" s="11" t="s">
        <v>1906</v>
      </c>
      <c r="AB12" s="11" t="s">
        <v>1907</v>
      </c>
      <c r="AC12" s="2196"/>
      <c r="AD12" s="179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4" t="s">
        <v>1907</v>
      </c>
      <c r="AT12" s="2197"/>
      <c r="AU12" s="2194"/>
      <c r="AV12" s="31"/>
      <c r="AW12" s="2153"/>
      <c r="AX12" s="31"/>
      <c r="AY12" s="2198"/>
      <c r="AZ12" s="28"/>
      <c r="BA12" s="2186"/>
      <c r="BB12" s="24" t="str">
        <f>I11</f>
        <v>一层</v>
      </c>
      <c r="BC12" s="2199" t="str">
        <f>K11</f>
        <v>二层</v>
      </c>
      <c r="BD12" s="2199" t="str">
        <f>M11</f>
        <v>三层</v>
      </c>
      <c r="BE12" s="2174" t="str">
        <f>O11</f>
        <v>四层</v>
      </c>
      <c r="BF12" s="2174" t="str">
        <f>Q11</f>
        <v>五层</v>
      </c>
      <c r="BG12" s="2174" t="str">
        <f>S11</f>
        <v>地下一层</v>
      </c>
      <c r="BH12" s="2174" t="str">
        <f>U11</f>
        <v>地下二层</v>
      </c>
      <c r="BI12" s="2174">
        <f>W11</f>
        <v>0</v>
      </c>
      <c r="BJ12" s="2174">
        <f>Y11</f>
        <v>0</v>
      </c>
      <c r="BK12" s="2174">
        <f>AA11</f>
        <v>0</v>
      </c>
      <c r="BL12" s="1288"/>
      <c r="BM12" s="1805" t="str">
        <f>AD11</f>
        <v>（住宅）</v>
      </c>
      <c r="BN12" s="1805" t="str">
        <f>AF11</f>
        <v>（住宅）</v>
      </c>
      <c r="BO12" s="24" t="str">
        <f>AH11</f>
        <v>（住宅、计出让金）</v>
      </c>
      <c r="BP12" s="24" t="str">
        <f>AJ11</f>
        <v>（住宅、计出让金）</v>
      </c>
      <c r="BQ12" s="24">
        <f>AL11</f>
        <v>0</v>
      </c>
      <c r="BR12" s="24">
        <f>AN11</f>
        <v>0</v>
      </c>
      <c r="BS12" s="25">
        <f>AP11</f>
        <v>0</v>
      </c>
      <c r="BT12" s="2193">
        <f>AR11</f>
        <v>0</v>
      </c>
    </row>
    <row r="13" spans="1:72" s="2154" customFormat="1" ht="12.75">
      <c r="A13" s="1268"/>
      <c r="B13" s="3074" t="s">
        <v>3364</v>
      </c>
      <c r="C13" s="3073" t="s">
        <v>3358</v>
      </c>
      <c r="D13" s="2200" t="s">
        <v>3079</v>
      </c>
      <c r="E13" s="16">
        <f>IF($C$3="是",ROUND($A$3*G13/$B$3,2),ROUND($A$3*(G13-AT13)/$B$3,2))</f>
        <v>7660.54</v>
      </c>
      <c r="F13" s="32"/>
      <c r="G13" s="33">
        <f>H13+AC13+AT13</f>
        <v>22981.629999999997</v>
      </c>
      <c r="H13" s="20">
        <f>SUMIF(I$12:AB$12,"总值",I13:AB13)</f>
        <v>22981.629999999997</v>
      </c>
      <c r="I13" s="2201">
        <f>'面积汇总表2020-6-30'!T3</f>
        <v>2458.0699999999997</v>
      </c>
      <c r="J13" s="2201"/>
      <c r="K13" s="2201">
        <f>'面积汇总表2020-6-30'!T4</f>
        <v>6243.82</v>
      </c>
      <c r="L13" s="2201"/>
      <c r="M13" s="2201">
        <f>'面积汇总表2020-6-30'!T5</f>
        <v>6353.3099999999995</v>
      </c>
      <c r="N13" s="2201"/>
      <c r="O13" s="2201">
        <f>'面积汇总表2020-6-30'!T6</f>
        <v>5927.9099999999989</v>
      </c>
      <c r="P13" s="2201"/>
      <c r="Q13" s="2201">
        <f>'面积汇总表2020-6-30'!T7</f>
        <v>1998.52</v>
      </c>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W17" si="6">A13</f>
        <v>0</v>
      </c>
      <c r="AW13" s="11" t="str">
        <f t="shared" si="6"/>
        <v>实测报告</v>
      </c>
      <c r="AX13" s="11" t="e">
        <f>#REF!</f>
        <v>#REF!</v>
      </c>
      <c r="AY13" s="1794">
        <f>ROUND($AY$6*AZ13/$AZ$5,2)</f>
        <v>7660.54</v>
      </c>
      <c r="AZ13" s="16">
        <f>BA13+BL13</f>
        <v>22981.629999999997</v>
      </c>
      <c r="BA13" s="16">
        <f>SUM(BB13:BK13)</f>
        <v>22981.629999999997</v>
      </c>
      <c r="BB13" s="16">
        <f>IF($D13="是",I13-J13,0)</f>
        <v>2458.0699999999997</v>
      </c>
      <c r="BC13" s="16">
        <f>IF($D13="是",K13-L13,0)</f>
        <v>6243.82</v>
      </c>
      <c r="BD13" s="16">
        <f>IF($D13="是",M13-N13,0)</f>
        <v>6353.3099999999995</v>
      </c>
      <c r="BE13" s="16">
        <f>IF($D13="是",O13-P13,0)</f>
        <v>5927.9099999999989</v>
      </c>
      <c r="BF13" s="16">
        <f>IF($D13="是",Q13-R13,0)</f>
        <v>1998.52</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25.5">
      <c r="A14" s="1268"/>
      <c r="B14" s="1268"/>
      <c r="C14" s="3073" t="s">
        <v>3301</v>
      </c>
      <c r="D14" s="2200" t="s">
        <v>3079</v>
      </c>
      <c r="E14" s="16">
        <f>IF($C$3="是",ROUND($A$3*G14/$B$3,2),ROUND($A$3*(G14-AT14)/$B$3,2))</f>
        <v>2201.36</v>
      </c>
      <c r="F14" s="32"/>
      <c r="G14" s="33">
        <f>H14+AC14+AT14</f>
        <v>6604.07</v>
      </c>
      <c r="H14" s="20">
        <f>SUMIF(I$12:AB$12,"总值",I14:AB14)</f>
        <v>6604.07</v>
      </c>
      <c r="I14" s="2201">
        <f>'面积汇总表2020-6-30'!T12</f>
        <v>1175.9000000000001</v>
      </c>
      <c r="J14" s="2201"/>
      <c r="K14" s="2201">
        <f>'面积汇总表2020-6-30'!T13</f>
        <v>2065.16</v>
      </c>
      <c r="L14" s="2201"/>
      <c r="M14" s="2201">
        <f>'面积汇总表2020-6-30'!T14</f>
        <v>3363.01</v>
      </c>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ref="AX14:AX20" si="7">C13</f>
        <v>G1/G3/G4/G5/G6商业楼</v>
      </c>
      <c r="AY14" s="1794">
        <f>ROUND($AY$6*AZ14/$AZ$5,2)</f>
        <v>2201.36</v>
      </c>
      <c r="AZ14" s="16">
        <f>BA14+BL14</f>
        <v>6604.07</v>
      </c>
      <c r="BA14" s="16">
        <f>SUM(BB14:BK14)</f>
        <v>6604.07</v>
      </c>
      <c r="BB14" s="16">
        <f>IF($D14="是",I14-J14,0)</f>
        <v>1175.9000000000001</v>
      </c>
      <c r="BC14" s="16">
        <f>IF($D14="是",K14-L14,0)</f>
        <v>2065.16</v>
      </c>
      <c r="BD14" s="16">
        <f>IF($D14="是",M14-N14,0)</f>
        <v>3363.01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25.5">
      <c r="A15" s="1268"/>
      <c r="B15" s="1268"/>
      <c r="C15" s="3073" t="s">
        <v>3359</v>
      </c>
      <c r="D15" s="2200" t="s">
        <v>3079</v>
      </c>
      <c r="E15" s="16">
        <f>IF($C$3="是",ROUND($A$3*G15/$B$3,2),ROUND($A$3*(G15-AT15)/$B$3,2))</f>
        <v>1115.3499999999999</v>
      </c>
      <c r="F15" s="32"/>
      <c r="G15" s="33">
        <f>H15+AC15+AT15</f>
        <v>3346.04</v>
      </c>
      <c r="H15" s="20">
        <f>SUMIF(I$12:AB$12,"总值",I15:AB15)</f>
        <v>3346.04</v>
      </c>
      <c r="I15" s="2201">
        <f>'面积汇总表2020-6-30'!T9</f>
        <v>1673.02</v>
      </c>
      <c r="J15" s="2201"/>
      <c r="K15" s="2201"/>
      <c r="L15" s="2201"/>
      <c r="M15" s="2201"/>
      <c r="N15" s="2201"/>
      <c r="O15" s="2201"/>
      <c r="P15" s="2201"/>
      <c r="Q15" s="2201"/>
      <c r="R15" s="2201"/>
      <c r="S15" s="2201">
        <f>'面积汇总表2020-6-30'!T10</f>
        <v>1673.02</v>
      </c>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7"/>
        <v>城市之眼商业楼</v>
      </c>
      <c r="AY15" s="1794">
        <f>ROUND($AY$6*AZ15/$AZ$5,2)</f>
        <v>1115.3499999999999</v>
      </c>
      <c r="AZ15" s="16">
        <f>BA15+BL15</f>
        <v>3346.04</v>
      </c>
      <c r="BA15" s="16">
        <f>SUM(BB15:BK15)</f>
        <v>3346.04</v>
      </c>
      <c r="BB15" s="16">
        <f>IF($D15="是",I15-J15,0)</f>
        <v>1673.02</v>
      </c>
      <c r="BC15" s="16">
        <f>IF($D15="是",K15-L15,0)</f>
        <v>0</v>
      </c>
      <c r="BD15" s="16">
        <f>IF($D15="是",M15-N15,0)</f>
        <v>0</v>
      </c>
      <c r="BE15" s="16">
        <f>IF($D15="是",O15-P15,0)</f>
        <v>0</v>
      </c>
      <c r="BF15" s="16">
        <f>IF($D15="是",Q15-R15,0)</f>
        <v>0</v>
      </c>
      <c r="BG15" s="16">
        <f>IF($D15="是",S15-T15,0)</f>
        <v>1673.02</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68"/>
      <c r="B16" s="1268"/>
      <c r="C16" s="3073" t="s">
        <v>3380</v>
      </c>
      <c r="D16" s="2200" t="s">
        <v>3079</v>
      </c>
      <c r="E16" s="16">
        <f>IF($C$3="是",ROUND($A$3*G16/$B$3,2),ROUND($A$3*(G16-AT16)/$B$3,2))</f>
        <v>34234.93</v>
      </c>
      <c r="F16" s="32"/>
      <c r="G16" s="33">
        <f>H16+AC16+AT16</f>
        <v>102704.8</v>
      </c>
      <c r="H16" s="20">
        <f>SUMIF(I$12:AB$12,"总值",I16:AB16)</f>
        <v>102704.8</v>
      </c>
      <c r="I16" s="2201"/>
      <c r="J16" s="2201"/>
      <c r="K16" s="2201"/>
      <c r="L16" s="2201"/>
      <c r="M16" s="2201"/>
      <c r="N16" s="2201"/>
      <c r="O16" s="2201"/>
      <c r="P16" s="2201"/>
      <c r="Q16" s="2201"/>
      <c r="R16" s="2201"/>
      <c r="S16" s="2201">
        <f>'面积汇总表2020-6-30'!T16</f>
        <v>49847.820000000007</v>
      </c>
      <c r="T16" s="2201"/>
      <c r="U16" s="2201">
        <f>'面积汇总表2020-6-30'!T17</f>
        <v>52856.979999999996</v>
      </c>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t="str">
        <f t="shared" si="7"/>
        <v>下沉商业</v>
      </c>
      <c r="AY16" s="1794">
        <f>ROUND($AY$6*AZ16/$AZ$5,2)</f>
        <v>34234.93</v>
      </c>
      <c r="AZ16" s="16">
        <f>BA16+BL16</f>
        <v>102704.8</v>
      </c>
      <c r="BA16" s="16">
        <f>SUM(BB16:BK16)</f>
        <v>102704.8</v>
      </c>
      <c r="BB16" s="16">
        <f>IF($D16="是",I16-J16,0)</f>
        <v>0</v>
      </c>
      <c r="BC16" s="16">
        <f>IF($D16="是",K16-L16,0)</f>
        <v>0</v>
      </c>
      <c r="BD16" s="16">
        <f>IF($D16="是",M16-N16,0)</f>
        <v>0</v>
      </c>
      <c r="BE16" s="16">
        <f>IF($D16="是",O16-P16,0)</f>
        <v>0</v>
      </c>
      <c r="BF16" s="16">
        <f>IF($D16="是",Q16-R16,0)</f>
        <v>0</v>
      </c>
      <c r="BG16" s="16">
        <f>IF($D16="是",S16-T16,0)</f>
        <v>49847.820000000007</v>
      </c>
      <c r="BH16" s="16">
        <f>IF($D16="是",U16-V16,0)</f>
        <v>52856.979999999996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8"/>
      <c r="B17" s="1268"/>
      <c r="C17" s="3073"/>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t="str">
        <f t="shared" si="7"/>
        <v>地下商业</v>
      </c>
      <c r="AY17" s="179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73"/>
      <c r="D18" s="2200"/>
      <c r="E18" s="35">
        <f t="shared" ref="E18:E112" si="8">IF($C$3="是",ROUND($A$3*G18/$B$3,2),ROUND($A$3*(G18-AT18)/$B$3,2))</f>
        <v>0</v>
      </c>
      <c r="F18" s="36"/>
      <c r="G18" s="37">
        <f t="shared" ref="G18:G109" si="9">H18+AC18+AT18</f>
        <v>0</v>
      </c>
      <c r="H18" s="38">
        <f t="shared" ref="H18:H109" si="10">SUMIF(I$12:AB$12,"总值",I18:AB18)</f>
        <v>0</v>
      </c>
      <c r="I18" s="39"/>
      <c r="J18" s="39"/>
      <c r="K18" s="2402"/>
      <c r="L18" s="39"/>
      <c r="M18" s="39"/>
      <c r="N18" s="39"/>
      <c r="O18" s="2201"/>
      <c r="P18" s="39"/>
      <c r="Q18" s="2201"/>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06"/>
      <c r="AV18" s="1783">
        <f t="shared" ref="AV18:AV112" si="12">A18</f>
        <v>0</v>
      </c>
      <c r="AW18" s="1783">
        <f t="shared" ref="AW18:AW112" si="13">B18</f>
        <v>0</v>
      </c>
      <c r="AX18" s="1783">
        <f t="shared" si="7"/>
        <v>0</v>
      </c>
      <c r="AY18" s="42">
        <f t="shared" ref="AY18:AY109" si="14">ROUND($AY$6*AZ18/$AZ$5,2)</f>
        <v>0</v>
      </c>
      <c r="AZ18" s="35">
        <f t="shared" ref="AZ18:AZ109" si="15">BA18+BL18</f>
        <v>0</v>
      </c>
      <c r="BA18" s="35">
        <f t="shared" ref="BA18:BA109" si="16">SUM(BB18:BK18)</f>
        <v>0</v>
      </c>
      <c r="BB18" s="35">
        <f t="shared" ref="BB18:BB109" si="17">IF($D18="是",I18-J18,0)</f>
        <v>0</v>
      </c>
      <c r="BC18" s="35">
        <f>IF($D18="是",O18-L18,0)</f>
        <v>0</v>
      </c>
      <c r="BD18" s="35">
        <f t="shared" ref="BD18:BD109" si="18">IF($D18="是",M18-N18,0)</f>
        <v>0</v>
      </c>
      <c r="BE18" s="35">
        <f>IF($D18="是",#REF!-P18,0)</f>
        <v>0</v>
      </c>
      <c r="BF18" s="35">
        <f t="shared" ref="BF18:BF109" si="19">IF($D18="是",Q18-R18,0)</f>
        <v>0</v>
      </c>
      <c r="BG18" s="35">
        <f t="shared" ref="BG18:BG109" si="20">IF($D18="是",S18-T18,0)</f>
        <v>0</v>
      </c>
      <c r="BH18" s="35">
        <f t="shared" ref="BH18:BH109" si="21">IF($D18="是",U18-V18,0)</f>
        <v>0</v>
      </c>
      <c r="BI18" s="35">
        <f t="shared" ref="BI18:BI109" si="22">IF($D18="是",W18-X18,0)</f>
        <v>0</v>
      </c>
      <c r="BJ18" s="35">
        <f t="shared" ref="BJ18:BJ109" si="23">IF($D18="是",Y18-Z18,0)</f>
        <v>0</v>
      </c>
      <c r="BK18" s="35">
        <f t="shared" ref="BK18:BK109" si="24">IF($D18="是",AA18-AB18,0)</f>
        <v>0</v>
      </c>
      <c r="BL18" s="35">
        <f t="shared" ref="BL18:BL109" si="25">SUM(BM18:BT18)</f>
        <v>0</v>
      </c>
      <c r="BM18" s="35">
        <f t="shared" ref="BM18:BM109" si="26">IF($D18="是",AD18-AE18,0)</f>
        <v>0</v>
      </c>
      <c r="BN18" s="35">
        <f t="shared" ref="BN18:BN109" si="27">IF($D18="是",AF18-AG18,0)</f>
        <v>0</v>
      </c>
      <c r="BO18" s="35">
        <f t="shared" ref="BO18:BO109" si="28">IF($D18="是",AH18-AI18,0)</f>
        <v>0</v>
      </c>
      <c r="BP18" s="35">
        <f t="shared" ref="BP18:BP109" si="29">IF($D18="是",AJ18-AK18,0)</f>
        <v>0</v>
      </c>
      <c r="BQ18" s="35">
        <f t="shared" ref="BQ18:BQ109" si="30">IF($D18="是",AL18-AM18,0)</f>
        <v>0</v>
      </c>
      <c r="BR18" s="35">
        <f t="shared" ref="BR18:BR109" si="31">IF($D18="是",AN18-AO18,0)</f>
        <v>0</v>
      </c>
      <c r="BS18" s="35">
        <f t="shared" ref="BS18:BS109" si="32">IF($D18="是",AP18-AQ18,0)</f>
        <v>0</v>
      </c>
      <c r="BT18" s="43">
        <f t="shared" ref="BT18:BT109" si="33">IF($D18="是",AR18-AS18,0)</f>
        <v>0</v>
      </c>
    </row>
    <row r="19" spans="1:72">
      <c r="A19" s="9"/>
      <c r="B19" s="34"/>
      <c r="C19" s="3073"/>
      <c r="D19" s="2200"/>
      <c r="E19" s="35">
        <f t="shared" si="8"/>
        <v>0</v>
      </c>
      <c r="F19" s="36"/>
      <c r="G19" s="37">
        <f t="shared" si="9"/>
        <v>0</v>
      </c>
      <c r="H19" s="38">
        <f t="shared" si="10"/>
        <v>0</v>
      </c>
      <c r="I19" s="39"/>
      <c r="J19" s="39"/>
      <c r="K19" s="39"/>
      <c r="L19" s="39"/>
      <c r="M19" s="39"/>
      <c r="N19" s="39"/>
      <c r="O19" s="39"/>
      <c r="P19" s="39"/>
      <c r="Q19" s="2201"/>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06"/>
      <c r="AV19" s="1783">
        <f t="shared" si="12"/>
        <v>0</v>
      </c>
      <c r="AW19" s="1783">
        <f t="shared" si="13"/>
        <v>0</v>
      </c>
      <c r="AX19" s="1783">
        <f t="shared" si="7"/>
        <v>0</v>
      </c>
      <c r="AY19" s="42">
        <f t="shared" si="14"/>
        <v>0</v>
      </c>
      <c r="AZ19" s="35">
        <f t="shared" si="15"/>
        <v>0</v>
      </c>
      <c r="BA19" s="35">
        <f t="shared" si="16"/>
        <v>0</v>
      </c>
      <c r="BB19" s="35">
        <f t="shared" si="17"/>
        <v>0</v>
      </c>
      <c r="BC19" s="35">
        <f t="shared" ref="BC19:BC109" si="34">IF($D19="是",K19-L19,0)</f>
        <v>0</v>
      </c>
      <c r="BD19" s="35">
        <f t="shared" si="18"/>
        <v>0</v>
      </c>
      <c r="BE19" s="35">
        <f t="shared" ref="BE19:BE109" si="35">IF($D19="是",O19-P19,0)</f>
        <v>0</v>
      </c>
      <c r="BF19" s="35">
        <f t="shared" si="19"/>
        <v>0</v>
      </c>
      <c r="BG19" s="35">
        <f t="shared" si="20"/>
        <v>0</v>
      </c>
      <c r="BH19" s="35">
        <f t="shared" si="21"/>
        <v>0</v>
      </c>
      <c r="BI19" s="35">
        <f t="shared" si="22"/>
        <v>0</v>
      </c>
      <c r="BJ19" s="35">
        <f t="shared" si="23"/>
        <v>0</v>
      </c>
      <c r="BK19" s="35">
        <f t="shared" si="24"/>
        <v>0</v>
      </c>
      <c r="BL19" s="35">
        <f t="shared" si="25"/>
        <v>0</v>
      </c>
      <c r="BM19" s="35">
        <f t="shared" si="26"/>
        <v>0</v>
      </c>
      <c r="BN19" s="35">
        <f t="shared" si="27"/>
        <v>0</v>
      </c>
      <c r="BO19" s="35">
        <f t="shared" si="28"/>
        <v>0</v>
      </c>
      <c r="BP19" s="35">
        <f t="shared" si="29"/>
        <v>0</v>
      </c>
      <c r="BQ19" s="35">
        <f t="shared" si="30"/>
        <v>0</v>
      </c>
      <c r="BR19" s="35">
        <f t="shared" si="31"/>
        <v>0</v>
      </c>
      <c r="BS19" s="35">
        <f t="shared" si="32"/>
        <v>0</v>
      </c>
      <c r="BT19" s="43">
        <f t="shared" si="33"/>
        <v>0</v>
      </c>
    </row>
    <row r="20" spans="1:72">
      <c r="A20" s="9"/>
      <c r="B20" s="34"/>
      <c r="C20" s="2402"/>
      <c r="D20" s="2200"/>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06"/>
      <c r="AV20" s="1783">
        <f t="shared" si="12"/>
        <v>0</v>
      </c>
      <c r="AW20" s="1783">
        <f t="shared" si="13"/>
        <v>0</v>
      </c>
      <c r="AX20" s="1783">
        <f t="shared" si="7"/>
        <v>0</v>
      </c>
      <c r="AY20" s="42">
        <f t="shared" si="14"/>
        <v>0</v>
      </c>
      <c r="AZ20" s="35">
        <f t="shared" si="15"/>
        <v>0</v>
      </c>
      <c r="BA20" s="35">
        <f t="shared" si="16"/>
        <v>0</v>
      </c>
      <c r="BB20" s="35">
        <f t="shared" si="17"/>
        <v>0</v>
      </c>
      <c r="BC20" s="35">
        <f t="shared" si="34"/>
        <v>0</v>
      </c>
      <c r="BD20" s="35">
        <f t="shared" si="18"/>
        <v>0</v>
      </c>
      <c r="BE20" s="35">
        <f t="shared" si="35"/>
        <v>0</v>
      </c>
      <c r="BF20" s="35">
        <f t="shared" si="19"/>
        <v>0</v>
      </c>
      <c r="BG20" s="35">
        <f t="shared" si="20"/>
        <v>0</v>
      </c>
      <c r="BH20" s="35">
        <f t="shared" si="21"/>
        <v>0</v>
      </c>
      <c r="BI20" s="35">
        <f t="shared" si="22"/>
        <v>0</v>
      </c>
      <c r="BJ20" s="35">
        <f t="shared" si="23"/>
        <v>0</v>
      </c>
      <c r="BK20" s="35">
        <f t="shared" si="24"/>
        <v>0</v>
      </c>
      <c r="BL20" s="35">
        <f t="shared" si="25"/>
        <v>0</v>
      </c>
      <c r="BM20" s="35">
        <f t="shared" si="26"/>
        <v>0</v>
      </c>
      <c r="BN20" s="35">
        <f t="shared" si="27"/>
        <v>0</v>
      </c>
      <c r="BO20" s="35">
        <f t="shared" si="28"/>
        <v>0</v>
      </c>
      <c r="BP20" s="35">
        <f t="shared" si="29"/>
        <v>0</v>
      </c>
      <c r="BQ20" s="35">
        <f t="shared" si="30"/>
        <v>0</v>
      </c>
      <c r="BR20" s="35">
        <f t="shared" si="31"/>
        <v>0</v>
      </c>
      <c r="BS20" s="35">
        <f t="shared" si="32"/>
        <v>0</v>
      </c>
      <c r="BT20" s="43">
        <f t="shared" si="33"/>
        <v>0</v>
      </c>
    </row>
    <row r="21" spans="1:72">
      <c r="A21" s="9"/>
      <c r="B21" s="34"/>
      <c r="C21" s="34"/>
      <c r="D21" s="2205"/>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06"/>
      <c r="AV21" s="1783">
        <f t="shared" si="12"/>
        <v>0</v>
      </c>
      <c r="AW21" s="1783">
        <f t="shared" si="13"/>
        <v>0</v>
      </c>
      <c r="AX21" s="1783">
        <f t="shared" ref="AX21:AX112" si="36">C21</f>
        <v>0</v>
      </c>
      <c r="AY21" s="42">
        <f t="shared" si="14"/>
        <v>0</v>
      </c>
      <c r="AZ21" s="35">
        <f t="shared" si="15"/>
        <v>0</v>
      </c>
      <c r="BA21" s="35">
        <f t="shared" si="16"/>
        <v>0</v>
      </c>
      <c r="BB21" s="35">
        <f t="shared" si="17"/>
        <v>0</v>
      </c>
      <c r="BC21" s="35">
        <f t="shared" si="34"/>
        <v>0</v>
      </c>
      <c r="BD21" s="35">
        <f t="shared" si="18"/>
        <v>0</v>
      </c>
      <c r="BE21" s="35">
        <f t="shared" si="35"/>
        <v>0</v>
      </c>
      <c r="BF21" s="35">
        <f t="shared" si="19"/>
        <v>0</v>
      </c>
      <c r="BG21" s="35">
        <f t="shared" si="20"/>
        <v>0</v>
      </c>
      <c r="BH21" s="35">
        <f t="shared" si="21"/>
        <v>0</v>
      </c>
      <c r="BI21" s="35">
        <f t="shared" si="22"/>
        <v>0</v>
      </c>
      <c r="BJ21" s="35">
        <f t="shared" si="23"/>
        <v>0</v>
      </c>
      <c r="BK21" s="35">
        <f t="shared" si="24"/>
        <v>0</v>
      </c>
      <c r="BL21" s="35">
        <f t="shared" si="25"/>
        <v>0</v>
      </c>
      <c r="BM21" s="35">
        <f t="shared" si="26"/>
        <v>0</v>
      </c>
      <c r="BN21" s="35">
        <f t="shared" si="27"/>
        <v>0</v>
      </c>
      <c r="BO21" s="35">
        <f t="shared" si="28"/>
        <v>0</v>
      </c>
      <c r="BP21" s="35">
        <f t="shared" si="29"/>
        <v>0</v>
      </c>
      <c r="BQ21" s="35">
        <f t="shared" si="30"/>
        <v>0</v>
      </c>
      <c r="BR21" s="35">
        <f t="shared" si="31"/>
        <v>0</v>
      </c>
      <c r="BS21" s="35">
        <f t="shared" si="32"/>
        <v>0</v>
      </c>
      <c r="BT21" s="43">
        <f t="shared" si="33"/>
        <v>0</v>
      </c>
    </row>
    <row r="22" spans="1:72">
      <c r="A22" s="9"/>
      <c r="B22" s="34"/>
      <c r="C22" s="34"/>
      <c r="D22" s="2205"/>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06"/>
      <c r="AV22" s="1783">
        <f t="shared" si="12"/>
        <v>0</v>
      </c>
      <c r="AW22" s="1783">
        <f t="shared" si="13"/>
        <v>0</v>
      </c>
      <c r="AX22" s="1783">
        <f t="shared" si="36"/>
        <v>0</v>
      </c>
      <c r="AY22" s="42">
        <f t="shared" si="14"/>
        <v>0</v>
      </c>
      <c r="AZ22" s="35">
        <f t="shared" si="15"/>
        <v>0</v>
      </c>
      <c r="BA22" s="35">
        <f t="shared" si="16"/>
        <v>0</v>
      </c>
      <c r="BB22" s="35">
        <f t="shared" si="17"/>
        <v>0</v>
      </c>
      <c r="BC22" s="35">
        <f t="shared" si="34"/>
        <v>0</v>
      </c>
      <c r="BD22" s="35">
        <f t="shared" si="18"/>
        <v>0</v>
      </c>
      <c r="BE22" s="35">
        <f t="shared" si="35"/>
        <v>0</v>
      </c>
      <c r="BF22" s="35">
        <f t="shared" si="19"/>
        <v>0</v>
      </c>
      <c r="BG22" s="35">
        <f t="shared" si="20"/>
        <v>0</v>
      </c>
      <c r="BH22" s="35">
        <f t="shared" si="21"/>
        <v>0</v>
      </c>
      <c r="BI22" s="35">
        <f t="shared" si="22"/>
        <v>0</v>
      </c>
      <c r="BJ22" s="35">
        <f t="shared" si="23"/>
        <v>0</v>
      </c>
      <c r="BK22" s="35">
        <f t="shared" si="24"/>
        <v>0</v>
      </c>
      <c r="BL22" s="35">
        <f t="shared" si="25"/>
        <v>0</v>
      </c>
      <c r="BM22" s="35">
        <f t="shared" si="26"/>
        <v>0</v>
      </c>
      <c r="BN22" s="35">
        <f t="shared" si="27"/>
        <v>0</v>
      </c>
      <c r="BO22" s="35">
        <f t="shared" si="28"/>
        <v>0</v>
      </c>
      <c r="BP22" s="35">
        <f t="shared" si="29"/>
        <v>0</v>
      </c>
      <c r="BQ22" s="35">
        <f t="shared" si="30"/>
        <v>0</v>
      </c>
      <c r="BR22" s="35">
        <f t="shared" si="31"/>
        <v>0</v>
      </c>
      <c r="BS22" s="35">
        <f t="shared" si="32"/>
        <v>0</v>
      </c>
      <c r="BT22" s="43">
        <f t="shared" si="33"/>
        <v>0</v>
      </c>
    </row>
    <row r="23" spans="1:72">
      <c r="A23" s="9"/>
      <c r="B23" s="34"/>
      <c r="C23" s="34"/>
      <c r="D23" s="2205"/>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06"/>
      <c r="AV23" s="1783">
        <f t="shared" si="12"/>
        <v>0</v>
      </c>
      <c r="AW23" s="1783">
        <f t="shared" si="13"/>
        <v>0</v>
      </c>
      <c r="AX23" s="1783">
        <f t="shared" si="36"/>
        <v>0</v>
      </c>
      <c r="AY23" s="42">
        <f t="shared" si="14"/>
        <v>0</v>
      </c>
      <c r="AZ23" s="35">
        <f t="shared" si="15"/>
        <v>0</v>
      </c>
      <c r="BA23" s="35">
        <f t="shared" si="16"/>
        <v>0</v>
      </c>
      <c r="BB23" s="35">
        <f t="shared" si="17"/>
        <v>0</v>
      </c>
      <c r="BC23" s="35">
        <f t="shared" si="34"/>
        <v>0</v>
      </c>
      <c r="BD23" s="35">
        <f t="shared" si="18"/>
        <v>0</v>
      </c>
      <c r="BE23" s="35">
        <f t="shared" si="35"/>
        <v>0</v>
      </c>
      <c r="BF23" s="35">
        <f t="shared" si="19"/>
        <v>0</v>
      </c>
      <c r="BG23" s="35">
        <f t="shared" si="20"/>
        <v>0</v>
      </c>
      <c r="BH23" s="35">
        <f t="shared" si="21"/>
        <v>0</v>
      </c>
      <c r="BI23" s="35">
        <f t="shared" si="22"/>
        <v>0</v>
      </c>
      <c r="BJ23" s="35">
        <f t="shared" si="23"/>
        <v>0</v>
      </c>
      <c r="BK23" s="35">
        <f t="shared" si="24"/>
        <v>0</v>
      </c>
      <c r="BL23" s="35">
        <f t="shared" si="25"/>
        <v>0</v>
      </c>
      <c r="BM23" s="35">
        <f t="shared" si="26"/>
        <v>0</v>
      </c>
      <c r="BN23" s="35">
        <f t="shared" si="27"/>
        <v>0</v>
      </c>
      <c r="BO23" s="35">
        <f t="shared" si="28"/>
        <v>0</v>
      </c>
      <c r="BP23" s="35">
        <f t="shared" si="29"/>
        <v>0</v>
      </c>
      <c r="BQ23" s="35">
        <f t="shared" si="30"/>
        <v>0</v>
      </c>
      <c r="BR23" s="35">
        <f t="shared" si="31"/>
        <v>0</v>
      </c>
      <c r="BS23" s="35">
        <f t="shared" si="32"/>
        <v>0</v>
      </c>
      <c r="BT23" s="43">
        <f t="shared" si="33"/>
        <v>0</v>
      </c>
    </row>
    <row r="24" spans="1:72">
      <c r="A24" s="9"/>
      <c r="B24" s="34"/>
      <c r="C24" s="34"/>
      <c r="D24" s="2205"/>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06"/>
      <c r="AV24" s="1783">
        <f t="shared" si="12"/>
        <v>0</v>
      </c>
      <c r="AW24" s="1783">
        <f t="shared" si="13"/>
        <v>0</v>
      </c>
      <c r="AX24" s="1783">
        <f t="shared" si="36"/>
        <v>0</v>
      </c>
      <c r="AY24" s="42">
        <f t="shared" si="14"/>
        <v>0</v>
      </c>
      <c r="AZ24" s="35">
        <f t="shared" si="15"/>
        <v>0</v>
      </c>
      <c r="BA24" s="35">
        <f t="shared" si="16"/>
        <v>0</v>
      </c>
      <c r="BB24" s="35">
        <f t="shared" si="17"/>
        <v>0</v>
      </c>
      <c r="BC24" s="35">
        <f t="shared" si="34"/>
        <v>0</v>
      </c>
      <c r="BD24" s="35">
        <f t="shared" si="18"/>
        <v>0</v>
      </c>
      <c r="BE24" s="35">
        <f t="shared" si="35"/>
        <v>0</v>
      </c>
      <c r="BF24" s="35">
        <f t="shared" si="19"/>
        <v>0</v>
      </c>
      <c r="BG24" s="35">
        <f t="shared" si="20"/>
        <v>0</v>
      </c>
      <c r="BH24" s="35">
        <f t="shared" si="21"/>
        <v>0</v>
      </c>
      <c r="BI24" s="35">
        <f t="shared" si="22"/>
        <v>0</v>
      </c>
      <c r="BJ24" s="35">
        <f t="shared" si="23"/>
        <v>0</v>
      </c>
      <c r="BK24" s="35">
        <f t="shared" si="24"/>
        <v>0</v>
      </c>
      <c r="BL24" s="35">
        <f t="shared" si="25"/>
        <v>0</v>
      </c>
      <c r="BM24" s="35">
        <f t="shared" si="26"/>
        <v>0</v>
      </c>
      <c r="BN24" s="35">
        <f t="shared" si="27"/>
        <v>0</v>
      </c>
      <c r="BO24" s="35">
        <f t="shared" si="28"/>
        <v>0</v>
      </c>
      <c r="BP24" s="35">
        <f t="shared" si="29"/>
        <v>0</v>
      </c>
      <c r="BQ24" s="35">
        <f t="shared" si="30"/>
        <v>0</v>
      </c>
      <c r="BR24" s="35">
        <f t="shared" si="31"/>
        <v>0</v>
      </c>
      <c r="BS24" s="35">
        <f t="shared" si="32"/>
        <v>0</v>
      </c>
      <c r="BT24" s="43">
        <f t="shared" si="33"/>
        <v>0</v>
      </c>
    </row>
    <row r="25" spans="1:72">
      <c r="A25" s="9"/>
      <c r="B25" s="34"/>
      <c r="C25" s="34"/>
      <c r="D25" s="2205"/>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06"/>
      <c r="AV25" s="1783">
        <f t="shared" si="12"/>
        <v>0</v>
      </c>
      <c r="AW25" s="1783">
        <f t="shared" si="13"/>
        <v>0</v>
      </c>
      <c r="AX25" s="1783">
        <f t="shared" si="36"/>
        <v>0</v>
      </c>
      <c r="AY25" s="42">
        <f t="shared" si="14"/>
        <v>0</v>
      </c>
      <c r="AZ25" s="35">
        <f t="shared" si="15"/>
        <v>0</v>
      </c>
      <c r="BA25" s="35">
        <f t="shared" si="16"/>
        <v>0</v>
      </c>
      <c r="BB25" s="35">
        <f t="shared" si="17"/>
        <v>0</v>
      </c>
      <c r="BC25" s="35">
        <f t="shared" si="34"/>
        <v>0</v>
      </c>
      <c r="BD25" s="35">
        <f t="shared" si="18"/>
        <v>0</v>
      </c>
      <c r="BE25" s="35">
        <f t="shared" si="35"/>
        <v>0</v>
      </c>
      <c r="BF25" s="35">
        <f t="shared" si="19"/>
        <v>0</v>
      </c>
      <c r="BG25" s="35">
        <f t="shared" si="20"/>
        <v>0</v>
      </c>
      <c r="BH25" s="35">
        <f t="shared" si="21"/>
        <v>0</v>
      </c>
      <c r="BI25" s="35">
        <f t="shared" si="22"/>
        <v>0</v>
      </c>
      <c r="BJ25" s="35">
        <f t="shared" si="23"/>
        <v>0</v>
      </c>
      <c r="BK25" s="35">
        <f t="shared" si="24"/>
        <v>0</v>
      </c>
      <c r="BL25" s="35">
        <f t="shared" si="25"/>
        <v>0</v>
      </c>
      <c r="BM25" s="35">
        <f t="shared" si="26"/>
        <v>0</v>
      </c>
      <c r="BN25" s="35">
        <f t="shared" si="27"/>
        <v>0</v>
      </c>
      <c r="BO25" s="35">
        <f t="shared" si="28"/>
        <v>0</v>
      </c>
      <c r="BP25" s="35">
        <f t="shared" si="29"/>
        <v>0</v>
      </c>
      <c r="BQ25" s="35">
        <f t="shared" si="30"/>
        <v>0</v>
      </c>
      <c r="BR25" s="35">
        <f t="shared" si="31"/>
        <v>0</v>
      </c>
      <c r="BS25" s="35">
        <f t="shared" si="32"/>
        <v>0</v>
      </c>
      <c r="BT25" s="43">
        <f t="shared" si="33"/>
        <v>0</v>
      </c>
    </row>
    <row r="26" spans="1:72">
      <c r="A26" s="9"/>
      <c r="B26" s="34"/>
      <c r="C26" s="34"/>
      <c r="D26" s="2205"/>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06"/>
      <c r="AV26" s="1783">
        <f t="shared" si="12"/>
        <v>0</v>
      </c>
      <c r="AW26" s="1783">
        <f t="shared" si="13"/>
        <v>0</v>
      </c>
      <c r="AX26" s="1783">
        <f t="shared" si="36"/>
        <v>0</v>
      </c>
      <c r="AY26" s="42">
        <f t="shared" si="14"/>
        <v>0</v>
      </c>
      <c r="AZ26" s="35">
        <f t="shared" si="15"/>
        <v>0</v>
      </c>
      <c r="BA26" s="35">
        <f t="shared" si="16"/>
        <v>0</v>
      </c>
      <c r="BB26" s="35">
        <f t="shared" si="17"/>
        <v>0</v>
      </c>
      <c r="BC26" s="35">
        <f t="shared" si="34"/>
        <v>0</v>
      </c>
      <c r="BD26" s="35">
        <f t="shared" si="18"/>
        <v>0</v>
      </c>
      <c r="BE26" s="35">
        <f t="shared" si="35"/>
        <v>0</v>
      </c>
      <c r="BF26" s="35">
        <f t="shared" si="19"/>
        <v>0</v>
      </c>
      <c r="BG26" s="35">
        <f t="shared" si="20"/>
        <v>0</v>
      </c>
      <c r="BH26" s="35">
        <f t="shared" si="21"/>
        <v>0</v>
      </c>
      <c r="BI26" s="35">
        <f t="shared" si="22"/>
        <v>0</v>
      </c>
      <c r="BJ26" s="35">
        <f t="shared" si="23"/>
        <v>0</v>
      </c>
      <c r="BK26" s="35">
        <f t="shared" si="24"/>
        <v>0</v>
      </c>
      <c r="BL26" s="35">
        <f t="shared" si="25"/>
        <v>0</v>
      </c>
      <c r="BM26" s="35">
        <f t="shared" si="26"/>
        <v>0</v>
      </c>
      <c r="BN26" s="35">
        <f t="shared" si="27"/>
        <v>0</v>
      </c>
      <c r="BO26" s="35">
        <f t="shared" si="28"/>
        <v>0</v>
      </c>
      <c r="BP26" s="35">
        <f t="shared" si="29"/>
        <v>0</v>
      </c>
      <c r="BQ26" s="35">
        <f t="shared" si="30"/>
        <v>0</v>
      </c>
      <c r="BR26" s="35">
        <f t="shared" si="31"/>
        <v>0</v>
      </c>
      <c r="BS26" s="35">
        <f t="shared" si="32"/>
        <v>0</v>
      </c>
      <c r="BT26" s="43">
        <f t="shared" si="33"/>
        <v>0</v>
      </c>
    </row>
    <row r="27" spans="1:72">
      <c r="A27" s="9"/>
      <c r="B27" s="34"/>
      <c r="C27" s="34"/>
      <c r="D27" s="2205"/>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06"/>
      <c r="AV27" s="1783">
        <f t="shared" si="12"/>
        <v>0</v>
      </c>
      <c r="AW27" s="1783">
        <f t="shared" si="13"/>
        <v>0</v>
      </c>
      <c r="AX27" s="1783">
        <f t="shared" si="36"/>
        <v>0</v>
      </c>
      <c r="AY27" s="42">
        <f t="shared" si="14"/>
        <v>0</v>
      </c>
      <c r="AZ27" s="35">
        <f t="shared" si="15"/>
        <v>0</v>
      </c>
      <c r="BA27" s="35">
        <f t="shared" si="16"/>
        <v>0</v>
      </c>
      <c r="BB27" s="35">
        <f t="shared" si="17"/>
        <v>0</v>
      </c>
      <c r="BC27" s="35">
        <f t="shared" si="34"/>
        <v>0</v>
      </c>
      <c r="BD27" s="35">
        <f t="shared" si="18"/>
        <v>0</v>
      </c>
      <c r="BE27" s="35">
        <f t="shared" si="35"/>
        <v>0</v>
      </c>
      <c r="BF27" s="35">
        <f t="shared" si="19"/>
        <v>0</v>
      </c>
      <c r="BG27" s="35">
        <f t="shared" si="20"/>
        <v>0</v>
      </c>
      <c r="BH27" s="35">
        <f t="shared" si="21"/>
        <v>0</v>
      </c>
      <c r="BI27" s="35">
        <f t="shared" si="22"/>
        <v>0</v>
      </c>
      <c r="BJ27" s="35">
        <f t="shared" si="23"/>
        <v>0</v>
      </c>
      <c r="BK27" s="35">
        <f t="shared" si="24"/>
        <v>0</v>
      </c>
      <c r="BL27" s="35">
        <f t="shared" si="25"/>
        <v>0</v>
      </c>
      <c r="BM27" s="35">
        <f t="shared" si="26"/>
        <v>0</v>
      </c>
      <c r="BN27" s="35">
        <f t="shared" si="27"/>
        <v>0</v>
      </c>
      <c r="BO27" s="35">
        <f t="shared" si="28"/>
        <v>0</v>
      </c>
      <c r="BP27" s="35">
        <f t="shared" si="29"/>
        <v>0</v>
      </c>
      <c r="BQ27" s="35">
        <f t="shared" si="30"/>
        <v>0</v>
      </c>
      <c r="BR27" s="35">
        <f t="shared" si="31"/>
        <v>0</v>
      </c>
      <c r="BS27" s="35">
        <f t="shared" si="32"/>
        <v>0</v>
      </c>
      <c r="BT27" s="43">
        <f t="shared" si="33"/>
        <v>0</v>
      </c>
    </row>
    <row r="28" spans="1:72">
      <c r="A28" s="9"/>
      <c r="B28" s="34"/>
      <c r="C28" s="34"/>
      <c r="D28" s="2205"/>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06"/>
      <c r="AV28" s="1783">
        <f t="shared" si="12"/>
        <v>0</v>
      </c>
      <c r="AW28" s="1783">
        <f t="shared" si="13"/>
        <v>0</v>
      </c>
      <c r="AX28" s="1783">
        <f t="shared" si="36"/>
        <v>0</v>
      </c>
      <c r="AY28" s="42">
        <f t="shared" si="14"/>
        <v>0</v>
      </c>
      <c r="AZ28" s="35">
        <f t="shared" si="15"/>
        <v>0</v>
      </c>
      <c r="BA28" s="35">
        <f t="shared" si="16"/>
        <v>0</v>
      </c>
      <c r="BB28" s="35">
        <f t="shared" si="17"/>
        <v>0</v>
      </c>
      <c r="BC28" s="35">
        <f t="shared" si="34"/>
        <v>0</v>
      </c>
      <c r="BD28" s="35">
        <f t="shared" si="18"/>
        <v>0</v>
      </c>
      <c r="BE28" s="35">
        <f t="shared" si="35"/>
        <v>0</v>
      </c>
      <c r="BF28" s="35">
        <f t="shared" si="19"/>
        <v>0</v>
      </c>
      <c r="BG28" s="35">
        <f t="shared" si="20"/>
        <v>0</v>
      </c>
      <c r="BH28" s="35">
        <f t="shared" si="21"/>
        <v>0</v>
      </c>
      <c r="BI28" s="35">
        <f t="shared" si="22"/>
        <v>0</v>
      </c>
      <c r="BJ28" s="35">
        <f t="shared" si="23"/>
        <v>0</v>
      </c>
      <c r="BK28" s="35">
        <f t="shared" si="24"/>
        <v>0</v>
      </c>
      <c r="BL28" s="35">
        <f t="shared" si="25"/>
        <v>0</v>
      </c>
      <c r="BM28" s="35">
        <f t="shared" si="26"/>
        <v>0</v>
      </c>
      <c r="BN28" s="35">
        <f t="shared" si="27"/>
        <v>0</v>
      </c>
      <c r="BO28" s="35">
        <f t="shared" si="28"/>
        <v>0</v>
      </c>
      <c r="BP28" s="35">
        <f t="shared" si="29"/>
        <v>0</v>
      </c>
      <c r="BQ28" s="35">
        <f t="shared" si="30"/>
        <v>0</v>
      </c>
      <c r="BR28" s="35">
        <f t="shared" si="31"/>
        <v>0</v>
      </c>
      <c r="BS28" s="35">
        <f t="shared" si="32"/>
        <v>0</v>
      </c>
      <c r="BT28" s="43">
        <f t="shared" si="33"/>
        <v>0</v>
      </c>
    </row>
    <row r="29" spans="1:72">
      <c r="A29" s="9"/>
      <c r="B29" s="34"/>
      <c r="C29" s="34"/>
      <c r="D29" s="2205"/>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06"/>
      <c r="AV29" s="1783">
        <f t="shared" si="12"/>
        <v>0</v>
      </c>
      <c r="AW29" s="1783">
        <f t="shared" si="13"/>
        <v>0</v>
      </c>
      <c r="AX29" s="1783">
        <f t="shared" si="36"/>
        <v>0</v>
      </c>
      <c r="AY29" s="42">
        <f t="shared" si="14"/>
        <v>0</v>
      </c>
      <c r="AZ29" s="35">
        <f t="shared" si="15"/>
        <v>0</v>
      </c>
      <c r="BA29" s="35">
        <f t="shared" si="16"/>
        <v>0</v>
      </c>
      <c r="BB29" s="35">
        <f t="shared" si="17"/>
        <v>0</v>
      </c>
      <c r="BC29" s="35">
        <f t="shared" si="34"/>
        <v>0</v>
      </c>
      <c r="BD29" s="35">
        <f t="shared" si="18"/>
        <v>0</v>
      </c>
      <c r="BE29" s="35">
        <f t="shared" si="35"/>
        <v>0</v>
      </c>
      <c r="BF29" s="35">
        <f t="shared" si="19"/>
        <v>0</v>
      </c>
      <c r="BG29" s="35">
        <f t="shared" si="20"/>
        <v>0</v>
      </c>
      <c r="BH29" s="35">
        <f t="shared" si="21"/>
        <v>0</v>
      </c>
      <c r="BI29" s="35">
        <f t="shared" si="22"/>
        <v>0</v>
      </c>
      <c r="BJ29" s="35">
        <f t="shared" si="23"/>
        <v>0</v>
      </c>
      <c r="BK29" s="35">
        <f t="shared" si="24"/>
        <v>0</v>
      </c>
      <c r="BL29" s="35">
        <f t="shared" si="25"/>
        <v>0</v>
      </c>
      <c r="BM29" s="35">
        <f t="shared" si="26"/>
        <v>0</v>
      </c>
      <c r="BN29" s="35">
        <f t="shared" si="27"/>
        <v>0</v>
      </c>
      <c r="BO29" s="35">
        <f t="shared" si="28"/>
        <v>0</v>
      </c>
      <c r="BP29" s="35">
        <f t="shared" si="29"/>
        <v>0</v>
      </c>
      <c r="BQ29" s="35">
        <f t="shared" si="30"/>
        <v>0</v>
      </c>
      <c r="BR29" s="35">
        <f t="shared" si="31"/>
        <v>0</v>
      </c>
      <c r="BS29" s="35">
        <f t="shared" si="32"/>
        <v>0</v>
      </c>
      <c r="BT29" s="43">
        <f t="shared" si="33"/>
        <v>0</v>
      </c>
    </row>
    <row r="30" spans="1:72">
      <c r="A30" s="9"/>
      <c r="B30" s="34"/>
      <c r="C30" s="34"/>
      <c r="D30" s="2205"/>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06"/>
      <c r="AV30" s="1783">
        <f t="shared" si="12"/>
        <v>0</v>
      </c>
      <c r="AW30" s="1783">
        <f t="shared" si="13"/>
        <v>0</v>
      </c>
      <c r="AX30" s="1783">
        <f t="shared" si="36"/>
        <v>0</v>
      </c>
      <c r="AY30" s="42">
        <f t="shared" si="14"/>
        <v>0</v>
      </c>
      <c r="AZ30" s="35">
        <f t="shared" si="15"/>
        <v>0</v>
      </c>
      <c r="BA30" s="35">
        <f t="shared" si="16"/>
        <v>0</v>
      </c>
      <c r="BB30" s="35">
        <f t="shared" si="17"/>
        <v>0</v>
      </c>
      <c r="BC30" s="35">
        <f t="shared" si="34"/>
        <v>0</v>
      </c>
      <c r="BD30" s="35">
        <f t="shared" si="18"/>
        <v>0</v>
      </c>
      <c r="BE30" s="35">
        <f t="shared" si="35"/>
        <v>0</v>
      </c>
      <c r="BF30" s="35">
        <f t="shared" si="19"/>
        <v>0</v>
      </c>
      <c r="BG30" s="35">
        <f t="shared" si="20"/>
        <v>0</v>
      </c>
      <c r="BH30" s="35">
        <f t="shared" si="21"/>
        <v>0</v>
      </c>
      <c r="BI30" s="35">
        <f t="shared" si="22"/>
        <v>0</v>
      </c>
      <c r="BJ30" s="35">
        <f t="shared" si="23"/>
        <v>0</v>
      </c>
      <c r="BK30" s="35">
        <f t="shared" si="24"/>
        <v>0</v>
      </c>
      <c r="BL30" s="35">
        <f t="shared" si="25"/>
        <v>0</v>
      </c>
      <c r="BM30" s="35">
        <f t="shared" si="26"/>
        <v>0</v>
      </c>
      <c r="BN30" s="35">
        <f t="shared" si="27"/>
        <v>0</v>
      </c>
      <c r="BO30" s="35">
        <f t="shared" si="28"/>
        <v>0</v>
      </c>
      <c r="BP30" s="35">
        <f t="shared" si="29"/>
        <v>0</v>
      </c>
      <c r="BQ30" s="35">
        <f t="shared" si="30"/>
        <v>0</v>
      </c>
      <c r="BR30" s="35">
        <f t="shared" si="31"/>
        <v>0</v>
      </c>
      <c r="BS30" s="35">
        <f t="shared" si="32"/>
        <v>0</v>
      </c>
      <c r="BT30" s="43">
        <f t="shared" si="33"/>
        <v>0</v>
      </c>
    </row>
    <row r="31" spans="1:72">
      <c r="A31" s="9"/>
      <c r="B31" s="34"/>
      <c r="C31" s="34"/>
      <c r="D31" s="2205"/>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06"/>
      <c r="AV31" s="1783">
        <f t="shared" si="12"/>
        <v>0</v>
      </c>
      <c r="AW31" s="1783">
        <f t="shared" si="13"/>
        <v>0</v>
      </c>
      <c r="AX31" s="1783">
        <f t="shared" si="36"/>
        <v>0</v>
      </c>
      <c r="AY31" s="42">
        <f t="shared" si="14"/>
        <v>0</v>
      </c>
      <c r="AZ31" s="35">
        <f t="shared" si="15"/>
        <v>0</v>
      </c>
      <c r="BA31" s="35">
        <f t="shared" si="16"/>
        <v>0</v>
      </c>
      <c r="BB31" s="35">
        <f t="shared" si="17"/>
        <v>0</v>
      </c>
      <c r="BC31" s="35">
        <f t="shared" si="34"/>
        <v>0</v>
      </c>
      <c r="BD31" s="35">
        <f t="shared" si="18"/>
        <v>0</v>
      </c>
      <c r="BE31" s="35">
        <f t="shared" si="35"/>
        <v>0</v>
      </c>
      <c r="BF31" s="35">
        <f t="shared" si="19"/>
        <v>0</v>
      </c>
      <c r="BG31" s="35">
        <f t="shared" si="20"/>
        <v>0</v>
      </c>
      <c r="BH31" s="35">
        <f t="shared" si="21"/>
        <v>0</v>
      </c>
      <c r="BI31" s="35">
        <f t="shared" si="22"/>
        <v>0</v>
      </c>
      <c r="BJ31" s="35">
        <f t="shared" si="23"/>
        <v>0</v>
      </c>
      <c r="BK31" s="35">
        <f t="shared" si="24"/>
        <v>0</v>
      </c>
      <c r="BL31" s="35">
        <f t="shared" si="25"/>
        <v>0</v>
      </c>
      <c r="BM31" s="35">
        <f t="shared" si="26"/>
        <v>0</v>
      </c>
      <c r="BN31" s="35">
        <f t="shared" si="27"/>
        <v>0</v>
      </c>
      <c r="BO31" s="35">
        <f t="shared" si="28"/>
        <v>0</v>
      </c>
      <c r="BP31" s="35">
        <f t="shared" si="29"/>
        <v>0</v>
      </c>
      <c r="BQ31" s="35">
        <f t="shared" si="30"/>
        <v>0</v>
      </c>
      <c r="BR31" s="35">
        <f t="shared" si="31"/>
        <v>0</v>
      </c>
      <c r="BS31" s="35">
        <f t="shared" si="32"/>
        <v>0</v>
      </c>
      <c r="BT31" s="43">
        <f t="shared" si="33"/>
        <v>0</v>
      </c>
    </row>
    <row r="32" spans="1:72">
      <c r="A32" s="9"/>
      <c r="B32" s="34"/>
      <c r="C32" s="34"/>
      <c r="D32" s="2205"/>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06"/>
      <c r="AV32" s="1783">
        <f t="shared" si="12"/>
        <v>0</v>
      </c>
      <c r="AW32" s="1783">
        <f t="shared" si="13"/>
        <v>0</v>
      </c>
      <c r="AX32" s="1783">
        <f t="shared" si="36"/>
        <v>0</v>
      </c>
      <c r="AY32" s="42">
        <f t="shared" si="14"/>
        <v>0</v>
      </c>
      <c r="AZ32" s="35">
        <f t="shared" si="15"/>
        <v>0</v>
      </c>
      <c r="BA32" s="35">
        <f t="shared" si="16"/>
        <v>0</v>
      </c>
      <c r="BB32" s="35">
        <f t="shared" si="17"/>
        <v>0</v>
      </c>
      <c r="BC32" s="35">
        <f t="shared" si="34"/>
        <v>0</v>
      </c>
      <c r="BD32" s="35">
        <f t="shared" si="18"/>
        <v>0</v>
      </c>
      <c r="BE32" s="35">
        <f t="shared" si="35"/>
        <v>0</v>
      </c>
      <c r="BF32" s="35">
        <f t="shared" si="19"/>
        <v>0</v>
      </c>
      <c r="BG32" s="35">
        <f t="shared" si="20"/>
        <v>0</v>
      </c>
      <c r="BH32" s="35">
        <f t="shared" si="21"/>
        <v>0</v>
      </c>
      <c r="BI32" s="35">
        <f t="shared" si="22"/>
        <v>0</v>
      </c>
      <c r="BJ32" s="35">
        <f t="shared" si="23"/>
        <v>0</v>
      </c>
      <c r="BK32" s="35">
        <f t="shared" si="24"/>
        <v>0</v>
      </c>
      <c r="BL32" s="35">
        <f t="shared" si="25"/>
        <v>0</v>
      </c>
      <c r="BM32" s="35">
        <f t="shared" si="26"/>
        <v>0</v>
      </c>
      <c r="BN32" s="35">
        <f t="shared" si="27"/>
        <v>0</v>
      </c>
      <c r="BO32" s="35">
        <f t="shared" si="28"/>
        <v>0</v>
      </c>
      <c r="BP32" s="35">
        <f t="shared" si="29"/>
        <v>0</v>
      </c>
      <c r="BQ32" s="35">
        <f t="shared" si="30"/>
        <v>0</v>
      </c>
      <c r="BR32" s="35">
        <f t="shared" si="31"/>
        <v>0</v>
      </c>
      <c r="BS32" s="35">
        <f t="shared" si="32"/>
        <v>0</v>
      </c>
      <c r="BT32" s="43">
        <f t="shared" si="33"/>
        <v>0</v>
      </c>
    </row>
    <row r="33" spans="1:72">
      <c r="A33" s="9"/>
      <c r="B33" s="34"/>
      <c r="C33" s="34"/>
      <c r="D33" s="2205"/>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06"/>
      <c r="AV33" s="1783">
        <f t="shared" si="12"/>
        <v>0</v>
      </c>
      <c r="AW33" s="1783">
        <f t="shared" si="13"/>
        <v>0</v>
      </c>
      <c r="AX33" s="1783">
        <f t="shared" si="36"/>
        <v>0</v>
      </c>
      <c r="AY33" s="42">
        <f t="shared" si="14"/>
        <v>0</v>
      </c>
      <c r="AZ33" s="35">
        <f t="shared" si="15"/>
        <v>0</v>
      </c>
      <c r="BA33" s="35">
        <f t="shared" si="16"/>
        <v>0</v>
      </c>
      <c r="BB33" s="35">
        <f t="shared" si="17"/>
        <v>0</v>
      </c>
      <c r="BC33" s="35">
        <f t="shared" si="34"/>
        <v>0</v>
      </c>
      <c r="BD33" s="35">
        <f t="shared" si="18"/>
        <v>0</v>
      </c>
      <c r="BE33" s="35">
        <f t="shared" si="35"/>
        <v>0</v>
      </c>
      <c r="BF33" s="35">
        <f t="shared" si="19"/>
        <v>0</v>
      </c>
      <c r="BG33" s="35">
        <f t="shared" si="20"/>
        <v>0</v>
      </c>
      <c r="BH33" s="35">
        <f t="shared" si="21"/>
        <v>0</v>
      </c>
      <c r="BI33" s="35">
        <f t="shared" si="22"/>
        <v>0</v>
      </c>
      <c r="BJ33" s="35">
        <f t="shared" si="23"/>
        <v>0</v>
      </c>
      <c r="BK33" s="35">
        <f t="shared" si="24"/>
        <v>0</v>
      </c>
      <c r="BL33" s="35">
        <f t="shared" si="25"/>
        <v>0</v>
      </c>
      <c r="BM33" s="35">
        <f t="shared" si="26"/>
        <v>0</v>
      </c>
      <c r="BN33" s="35">
        <f t="shared" si="27"/>
        <v>0</v>
      </c>
      <c r="BO33" s="35">
        <f t="shared" si="28"/>
        <v>0</v>
      </c>
      <c r="BP33" s="35">
        <f t="shared" si="29"/>
        <v>0</v>
      </c>
      <c r="BQ33" s="35">
        <f t="shared" si="30"/>
        <v>0</v>
      </c>
      <c r="BR33" s="35">
        <f t="shared" si="31"/>
        <v>0</v>
      </c>
      <c r="BS33" s="35">
        <f t="shared" si="32"/>
        <v>0</v>
      </c>
      <c r="BT33" s="43">
        <f t="shared" si="33"/>
        <v>0</v>
      </c>
    </row>
    <row r="34" spans="1:72">
      <c r="A34" s="9"/>
      <c r="B34" s="34"/>
      <c r="C34" s="34"/>
      <c r="D34" s="2205"/>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06"/>
      <c r="AV34" s="1783">
        <f t="shared" si="12"/>
        <v>0</v>
      </c>
      <c r="AW34" s="1783">
        <f t="shared" si="13"/>
        <v>0</v>
      </c>
      <c r="AX34" s="1783">
        <f t="shared" si="36"/>
        <v>0</v>
      </c>
      <c r="AY34" s="42">
        <f t="shared" si="14"/>
        <v>0</v>
      </c>
      <c r="AZ34" s="35">
        <f t="shared" si="15"/>
        <v>0</v>
      </c>
      <c r="BA34" s="35">
        <f t="shared" si="16"/>
        <v>0</v>
      </c>
      <c r="BB34" s="35">
        <f t="shared" si="17"/>
        <v>0</v>
      </c>
      <c r="BC34" s="35">
        <f t="shared" si="34"/>
        <v>0</v>
      </c>
      <c r="BD34" s="35">
        <f t="shared" si="18"/>
        <v>0</v>
      </c>
      <c r="BE34" s="35">
        <f t="shared" si="35"/>
        <v>0</v>
      </c>
      <c r="BF34" s="35">
        <f t="shared" si="19"/>
        <v>0</v>
      </c>
      <c r="BG34" s="35">
        <f t="shared" si="20"/>
        <v>0</v>
      </c>
      <c r="BH34" s="35">
        <f t="shared" si="21"/>
        <v>0</v>
      </c>
      <c r="BI34" s="35">
        <f t="shared" si="22"/>
        <v>0</v>
      </c>
      <c r="BJ34" s="35">
        <f t="shared" si="23"/>
        <v>0</v>
      </c>
      <c r="BK34" s="35">
        <f t="shared" si="24"/>
        <v>0</v>
      </c>
      <c r="BL34" s="35">
        <f t="shared" si="25"/>
        <v>0</v>
      </c>
      <c r="BM34" s="35">
        <f t="shared" si="26"/>
        <v>0</v>
      </c>
      <c r="BN34" s="35">
        <f t="shared" si="27"/>
        <v>0</v>
      </c>
      <c r="BO34" s="35">
        <f t="shared" si="28"/>
        <v>0</v>
      </c>
      <c r="BP34" s="35">
        <f t="shared" si="29"/>
        <v>0</v>
      </c>
      <c r="BQ34" s="35">
        <f t="shared" si="30"/>
        <v>0</v>
      </c>
      <c r="BR34" s="35">
        <f t="shared" si="31"/>
        <v>0</v>
      </c>
      <c r="BS34" s="35">
        <f t="shared" si="32"/>
        <v>0</v>
      </c>
      <c r="BT34" s="43">
        <f t="shared" si="33"/>
        <v>0</v>
      </c>
    </row>
    <row r="35" spans="1:72">
      <c r="A35" s="9"/>
      <c r="B35" s="34"/>
      <c r="C35" s="34"/>
      <c r="D35" s="2205"/>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06"/>
      <c r="AV35" s="1783">
        <f t="shared" si="12"/>
        <v>0</v>
      </c>
      <c r="AW35" s="1783">
        <f t="shared" si="13"/>
        <v>0</v>
      </c>
      <c r="AX35" s="1783">
        <f t="shared" si="36"/>
        <v>0</v>
      </c>
      <c r="AY35" s="42">
        <f t="shared" si="14"/>
        <v>0</v>
      </c>
      <c r="AZ35" s="35">
        <f t="shared" si="15"/>
        <v>0</v>
      </c>
      <c r="BA35" s="35">
        <f t="shared" si="16"/>
        <v>0</v>
      </c>
      <c r="BB35" s="35">
        <f t="shared" si="17"/>
        <v>0</v>
      </c>
      <c r="BC35" s="35">
        <f t="shared" si="34"/>
        <v>0</v>
      </c>
      <c r="BD35" s="35">
        <f t="shared" si="18"/>
        <v>0</v>
      </c>
      <c r="BE35" s="35">
        <f t="shared" si="35"/>
        <v>0</v>
      </c>
      <c r="BF35" s="35">
        <f t="shared" si="19"/>
        <v>0</v>
      </c>
      <c r="BG35" s="35">
        <f t="shared" si="20"/>
        <v>0</v>
      </c>
      <c r="BH35" s="35">
        <f t="shared" si="21"/>
        <v>0</v>
      </c>
      <c r="BI35" s="35">
        <f t="shared" si="22"/>
        <v>0</v>
      </c>
      <c r="BJ35" s="35">
        <f t="shared" si="23"/>
        <v>0</v>
      </c>
      <c r="BK35" s="35">
        <f t="shared" si="24"/>
        <v>0</v>
      </c>
      <c r="BL35" s="35">
        <f t="shared" si="25"/>
        <v>0</v>
      </c>
      <c r="BM35" s="35">
        <f t="shared" si="26"/>
        <v>0</v>
      </c>
      <c r="BN35" s="35">
        <f t="shared" si="27"/>
        <v>0</v>
      </c>
      <c r="BO35" s="35">
        <f t="shared" si="28"/>
        <v>0</v>
      </c>
      <c r="BP35" s="35">
        <f t="shared" si="29"/>
        <v>0</v>
      </c>
      <c r="BQ35" s="35">
        <f t="shared" si="30"/>
        <v>0</v>
      </c>
      <c r="BR35" s="35">
        <f t="shared" si="31"/>
        <v>0</v>
      </c>
      <c r="BS35" s="35">
        <f t="shared" si="32"/>
        <v>0</v>
      </c>
      <c r="BT35" s="43">
        <f t="shared" si="33"/>
        <v>0</v>
      </c>
    </row>
    <row r="36" spans="1:72">
      <c r="A36" s="9"/>
      <c r="B36" s="34"/>
      <c r="C36" s="34"/>
      <c r="D36" s="2205"/>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06"/>
      <c r="AV36" s="1783">
        <f t="shared" si="12"/>
        <v>0</v>
      </c>
      <c r="AW36" s="1783">
        <f t="shared" si="13"/>
        <v>0</v>
      </c>
      <c r="AX36" s="1783">
        <f t="shared" si="36"/>
        <v>0</v>
      </c>
      <c r="AY36" s="42">
        <f t="shared" si="14"/>
        <v>0</v>
      </c>
      <c r="AZ36" s="35">
        <f t="shared" si="15"/>
        <v>0</v>
      </c>
      <c r="BA36" s="35">
        <f t="shared" si="16"/>
        <v>0</v>
      </c>
      <c r="BB36" s="35">
        <f t="shared" si="17"/>
        <v>0</v>
      </c>
      <c r="BC36" s="35">
        <f t="shared" si="34"/>
        <v>0</v>
      </c>
      <c r="BD36" s="35">
        <f t="shared" si="18"/>
        <v>0</v>
      </c>
      <c r="BE36" s="35">
        <f t="shared" si="35"/>
        <v>0</v>
      </c>
      <c r="BF36" s="35">
        <f t="shared" si="19"/>
        <v>0</v>
      </c>
      <c r="BG36" s="35">
        <f t="shared" si="20"/>
        <v>0</v>
      </c>
      <c r="BH36" s="35">
        <f t="shared" si="21"/>
        <v>0</v>
      </c>
      <c r="BI36" s="35">
        <f t="shared" si="22"/>
        <v>0</v>
      </c>
      <c r="BJ36" s="35">
        <f t="shared" si="23"/>
        <v>0</v>
      </c>
      <c r="BK36" s="35">
        <f t="shared" si="24"/>
        <v>0</v>
      </c>
      <c r="BL36" s="35">
        <f t="shared" si="25"/>
        <v>0</v>
      </c>
      <c r="BM36" s="35">
        <f t="shared" si="26"/>
        <v>0</v>
      </c>
      <c r="BN36" s="35">
        <f t="shared" si="27"/>
        <v>0</v>
      </c>
      <c r="BO36" s="35">
        <f t="shared" si="28"/>
        <v>0</v>
      </c>
      <c r="BP36" s="35">
        <f t="shared" si="29"/>
        <v>0</v>
      </c>
      <c r="BQ36" s="35">
        <f t="shared" si="30"/>
        <v>0</v>
      </c>
      <c r="BR36" s="35">
        <f t="shared" si="31"/>
        <v>0</v>
      </c>
      <c r="BS36" s="35">
        <f t="shared" si="32"/>
        <v>0</v>
      </c>
      <c r="BT36" s="43">
        <f t="shared" si="33"/>
        <v>0</v>
      </c>
    </row>
    <row r="37" spans="1:72">
      <c r="A37" s="9"/>
      <c r="B37" s="34"/>
      <c r="C37" s="34"/>
      <c r="D37" s="2205"/>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06"/>
      <c r="AV37" s="1783">
        <f t="shared" si="12"/>
        <v>0</v>
      </c>
      <c r="AW37" s="1783">
        <f t="shared" si="13"/>
        <v>0</v>
      </c>
      <c r="AX37" s="1783">
        <f t="shared" si="36"/>
        <v>0</v>
      </c>
      <c r="AY37" s="42">
        <f t="shared" si="14"/>
        <v>0</v>
      </c>
      <c r="AZ37" s="35">
        <f t="shared" si="15"/>
        <v>0</v>
      </c>
      <c r="BA37" s="35">
        <f t="shared" si="16"/>
        <v>0</v>
      </c>
      <c r="BB37" s="35">
        <f t="shared" si="17"/>
        <v>0</v>
      </c>
      <c r="BC37" s="35">
        <f t="shared" si="34"/>
        <v>0</v>
      </c>
      <c r="BD37" s="35">
        <f t="shared" si="18"/>
        <v>0</v>
      </c>
      <c r="BE37" s="35">
        <f t="shared" si="35"/>
        <v>0</v>
      </c>
      <c r="BF37" s="35">
        <f t="shared" si="19"/>
        <v>0</v>
      </c>
      <c r="BG37" s="35">
        <f t="shared" si="20"/>
        <v>0</v>
      </c>
      <c r="BH37" s="35">
        <f t="shared" si="21"/>
        <v>0</v>
      </c>
      <c r="BI37" s="35">
        <f t="shared" si="22"/>
        <v>0</v>
      </c>
      <c r="BJ37" s="35">
        <f t="shared" si="23"/>
        <v>0</v>
      </c>
      <c r="BK37" s="35">
        <f t="shared" si="24"/>
        <v>0</v>
      </c>
      <c r="BL37" s="35">
        <f t="shared" si="25"/>
        <v>0</v>
      </c>
      <c r="BM37" s="35">
        <f t="shared" si="26"/>
        <v>0</v>
      </c>
      <c r="BN37" s="35">
        <f t="shared" si="27"/>
        <v>0</v>
      </c>
      <c r="BO37" s="35">
        <f t="shared" si="28"/>
        <v>0</v>
      </c>
      <c r="BP37" s="35">
        <f t="shared" si="29"/>
        <v>0</v>
      </c>
      <c r="BQ37" s="35">
        <f t="shared" si="30"/>
        <v>0</v>
      </c>
      <c r="BR37" s="35">
        <f t="shared" si="31"/>
        <v>0</v>
      </c>
      <c r="BS37" s="35">
        <f t="shared" si="32"/>
        <v>0</v>
      </c>
      <c r="BT37" s="43">
        <f t="shared" si="33"/>
        <v>0</v>
      </c>
    </row>
    <row r="38" spans="1:72">
      <c r="A38" s="9"/>
      <c r="B38" s="34"/>
      <c r="C38" s="34"/>
      <c r="D38" s="2205"/>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06"/>
      <c r="AV38" s="1783">
        <f t="shared" si="12"/>
        <v>0</v>
      </c>
      <c r="AW38" s="1783">
        <f t="shared" si="13"/>
        <v>0</v>
      </c>
      <c r="AX38" s="1783">
        <f t="shared" si="36"/>
        <v>0</v>
      </c>
      <c r="AY38" s="42">
        <f t="shared" si="14"/>
        <v>0</v>
      </c>
      <c r="AZ38" s="35">
        <f t="shared" si="15"/>
        <v>0</v>
      </c>
      <c r="BA38" s="35">
        <f t="shared" si="16"/>
        <v>0</v>
      </c>
      <c r="BB38" s="35">
        <f t="shared" si="17"/>
        <v>0</v>
      </c>
      <c r="BC38" s="35">
        <f t="shared" si="34"/>
        <v>0</v>
      </c>
      <c r="BD38" s="35">
        <f t="shared" si="18"/>
        <v>0</v>
      </c>
      <c r="BE38" s="35">
        <f t="shared" si="35"/>
        <v>0</v>
      </c>
      <c r="BF38" s="35">
        <f t="shared" si="19"/>
        <v>0</v>
      </c>
      <c r="BG38" s="35">
        <f t="shared" si="20"/>
        <v>0</v>
      </c>
      <c r="BH38" s="35">
        <f t="shared" si="21"/>
        <v>0</v>
      </c>
      <c r="BI38" s="35">
        <f t="shared" si="22"/>
        <v>0</v>
      </c>
      <c r="BJ38" s="35">
        <f t="shared" si="23"/>
        <v>0</v>
      </c>
      <c r="BK38" s="35">
        <f t="shared" si="24"/>
        <v>0</v>
      </c>
      <c r="BL38" s="35">
        <f t="shared" si="25"/>
        <v>0</v>
      </c>
      <c r="BM38" s="35">
        <f t="shared" si="26"/>
        <v>0</v>
      </c>
      <c r="BN38" s="35">
        <f t="shared" si="27"/>
        <v>0</v>
      </c>
      <c r="BO38" s="35">
        <f t="shared" si="28"/>
        <v>0</v>
      </c>
      <c r="BP38" s="35">
        <f t="shared" si="29"/>
        <v>0</v>
      </c>
      <c r="BQ38" s="35">
        <f t="shared" si="30"/>
        <v>0</v>
      </c>
      <c r="BR38" s="35">
        <f t="shared" si="31"/>
        <v>0</v>
      </c>
      <c r="BS38" s="35">
        <f t="shared" si="32"/>
        <v>0</v>
      </c>
      <c r="BT38" s="43">
        <f t="shared" si="33"/>
        <v>0</v>
      </c>
    </row>
    <row r="39" spans="1:72">
      <c r="A39" s="9"/>
      <c r="B39" s="34"/>
      <c r="C39" s="34"/>
      <c r="D39" s="2205"/>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06"/>
      <c r="AV39" s="1783">
        <f t="shared" si="12"/>
        <v>0</v>
      </c>
      <c r="AW39" s="1783">
        <f t="shared" si="13"/>
        <v>0</v>
      </c>
      <c r="AX39" s="1783">
        <f t="shared" si="36"/>
        <v>0</v>
      </c>
      <c r="AY39" s="42">
        <f t="shared" si="14"/>
        <v>0</v>
      </c>
      <c r="AZ39" s="35">
        <f t="shared" si="15"/>
        <v>0</v>
      </c>
      <c r="BA39" s="35">
        <f t="shared" si="16"/>
        <v>0</v>
      </c>
      <c r="BB39" s="35">
        <f t="shared" si="17"/>
        <v>0</v>
      </c>
      <c r="BC39" s="35">
        <f t="shared" si="34"/>
        <v>0</v>
      </c>
      <c r="BD39" s="35">
        <f t="shared" si="18"/>
        <v>0</v>
      </c>
      <c r="BE39" s="35">
        <f t="shared" si="35"/>
        <v>0</v>
      </c>
      <c r="BF39" s="35">
        <f t="shared" si="19"/>
        <v>0</v>
      </c>
      <c r="BG39" s="35">
        <f t="shared" si="20"/>
        <v>0</v>
      </c>
      <c r="BH39" s="35">
        <f t="shared" si="21"/>
        <v>0</v>
      </c>
      <c r="BI39" s="35">
        <f t="shared" si="22"/>
        <v>0</v>
      </c>
      <c r="BJ39" s="35">
        <f t="shared" si="23"/>
        <v>0</v>
      </c>
      <c r="BK39" s="35">
        <f t="shared" si="24"/>
        <v>0</v>
      </c>
      <c r="BL39" s="35">
        <f t="shared" si="25"/>
        <v>0</v>
      </c>
      <c r="BM39" s="35">
        <f t="shared" si="26"/>
        <v>0</v>
      </c>
      <c r="BN39" s="35">
        <f t="shared" si="27"/>
        <v>0</v>
      </c>
      <c r="BO39" s="35">
        <f t="shared" si="28"/>
        <v>0</v>
      </c>
      <c r="BP39" s="35">
        <f t="shared" si="29"/>
        <v>0</v>
      </c>
      <c r="BQ39" s="35">
        <f t="shared" si="30"/>
        <v>0</v>
      </c>
      <c r="BR39" s="35">
        <f t="shared" si="31"/>
        <v>0</v>
      </c>
      <c r="BS39" s="35">
        <f t="shared" si="32"/>
        <v>0</v>
      </c>
      <c r="BT39" s="43">
        <f t="shared" si="33"/>
        <v>0</v>
      </c>
    </row>
    <row r="40" spans="1:72">
      <c r="A40" s="9"/>
      <c r="B40" s="34"/>
      <c r="C40" s="34"/>
      <c r="D40" s="2205"/>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06"/>
      <c r="AV40" s="1783">
        <f t="shared" si="12"/>
        <v>0</v>
      </c>
      <c r="AW40" s="1783">
        <f t="shared" si="13"/>
        <v>0</v>
      </c>
      <c r="AX40" s="1783">
        <f t="shared" si="36"/>
        <v>0</v>
      </c>
      <c r="AY40" s="42">
        <f t="shared" si="14"/>
        <v>0</v>
      </c>
      <c r="AZ40" s="35">
        <f t="shared" si="15"/>
        <v>0</v>
      </c>
      <c r="BA40" s="35">
        <f t="shared" si="16"/>
        <v>0</v>
      </c>
      <c r="BB40" s="35">
        <f t="shared" si="17"/>
        <v>0</v>
      </c>
      <c r="BC40" s="35">
        <f t="shared" si="34"/>
        <v>0</v>
      </c>
      <c r="BD40" s="35">
        <f t="shared" si="18"/>
        <v>0</v>
      </c>
      <c r="BE40" s="35">
        <f t="shared" si="35"/>
        <v>0</v>
      </c>
      <c r="BF40" s="35">
        <f t="shared" si="19"/>
        <v>0</v>
      </c>
      <c r="BG40" s="35">
        <f t="shared" si="20"/>
        <v>0</v>
      </c>
      <c r="BH40" s="35">
        <f t="shared" si="21"/>
        <v>0</v>
      </c>
      <c r="BI40" s="35">
        <f t="shared" si="22"/>
        <v>0</v>
      </c>
      <c r="BJ40" s="35">
        <f t="shared" si="23"/>
        <v>0</v>
      </c>
      <c r="BK40" s="35">
        <f t="shared" si="24"/>
        <v>0</v>
      </c>
      <c r="BL40" s="35">
        <f t="shared" si="25"/>
        <v>0</v>
      </c>
      <c r="BM40" s="35">
        <f t="shared" si="26"/>
        <v>0</v>
      </c>
      <c r="BN40" s="35">
        <f t="shared" si="27"/>
        <v>0</v>
      </c>
      <c r="BO40" s="35">
        <f t="shared" si="28"/>
        <v>0</v>
      </c>
      <c r="BP40" s="35">
        <f t="shared" si="29"/>
        <v>0</v>
      </c>
      <c r="BQ40" s="35">
        <f t="shared" si="30"/>
        <v>0</v>
      </c>
      <c r="BR40" s="35">
        <f t="shared" si="31"/>
        <v>0</v>
      </c>
      <c r="BS40" s="35">
        <f t="shared" si="32"/>
        <v>0</v>
      </c>
      <c r="BT40" s="43">
        <f t="shared" si="33"/>
        <v>0</v>
      </c>
    </row>
    <row r="41" spans="1:72">
      <c r="A41" s="9"/>
      <c r="B41" s="34"/>
      <c r="C41" s="34"/>
      <c r="D41" s="2205"/>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06"/>
      <c r="AV41" s="1783">
        <f t="shared" si="12"/>
        <v>0</v>
      </c>
      <c r="AW41" s="1783">
        <f t="shared" si="13"/>
        <v>0</v>
      </c>
      <c r="AX41" s="1783">
        <f t="shared" si="36"/>
        <v>0</v>
      </c>
      <c r="AY41" s="42">
        <f t="shared" si="14"/>
        <v>0</v>
      </c>
      <c r="AZ41" s="35">
        <f t="shared" si="15"/>
        <v>0</v>
      </c>
      <c r="BA41" s="35">
        <f t="shared" si="16"/>
        <v>0</v>
      </c>
      <c r="BB41" s="35">
        <f t="shared" si="17"/>
        <v>0</v>
      </c>
      <c r="BC41" s="35">
        <f t="shared" si="34"/>
        <v>0</v>
      </c>
      <c r="BD41" s="35">
        <f t="shared" si="18"/>
        <v>0</v>
      </c>
      <c r="BE41" s="35">
        <f t="shared" si="35"/>
        <v>0</v>
      </c>
      <c r="BF41" s="35">
        <f t="shared" si="19"/>
        <v>0</v>
      </c>
      <c r="BG41" s="35">
        <f t="shared" si="20"/>
        <v>0</v>
      </c>
      <c r="BH41" s="35">
        <f t="shared" si="21"/>
        <v>0</v>
      </c>
      <c r="BI41" s="35">
        <f t="shared" si="22"/>
        <v>0</v>
      </c>
      <c r="BJ41" s="35">
        <f t="shared" si="23"/>
        <v>0</v>
      </c>
      <c r="BK41" s="35">
        <f t="shared" si="24"/>
        <v>0</v>
      </c>
      <c r="BL41" s="35">
        <f t="shared" si="25"/>
        <v>0</v>
      </c>
      <c r="BM41" s="35">
        <f t="shared" si="26"/>
        <v>0</v>
      </c>
      <c r="BN41" s="35">
        <f t="shared" si="27"/>
        <v>0</v>
      </c>
      <c r="BO41" s="35">
        <f t="shared" si="28"/>
        <v>0</v>
      </c>
      <c r="BP41" s="35">
        <f t="shared" si="29"/>
        <v>0</v>
      </c>
      <c r="BQ41" s="35">
        <f t="shared" si="30"/>
        <v>0</v>
      </c>
      <c r="BR41" s="35">
        <f t="shared" si="31"/>
        <v>0</v>
      </c>
      <c r="BS41" s="35">
        <f t="shared" si="32"/>
        <v>0</v>
      </c>
      <c r="BT41" s="43">
        <f t="shared" si="33"/>
        <v>0</v>
      </c>
    </row>
    <row r="42" spans="1:72">
      <c r="A42" s="9"/>
      <c r="B42" s="34"/>
      <c r="C42" s="34"/>
      <c r="D42" s="2205"/>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06"/>
      <c r="AV42" s="1783">
        <f t="shared" si="12"/>
        <v>0</v>
      </c>
      <c r="AW42" s="1783">
        <f t="shared" si="13"/>
        <v>0</v>
      </c>
      <c r="AX42" s="1783">
        <f t="shared" si="36"/>
        <v>0</v>
      </c>
      <c r="AY42" s="42">
        <f t="shared" si="14"/>
        <v>0</v>
      </c>
      <c r="AZ42" s="35">
        <f t="shared" si="15"/>
        <v>0</v>
      </c>
      <c r="BA42" s="35">
        <f t="shared" si="16"/>
        <v>0</v>
      </c>
      <c r="BB42" s="35">
        <f t="shared" si="17"/>
        <v>0</v>
      </c>
      <c r="BC42" s="35">
        <f t="shared" si="34"/>
        <v>0</v>
      </c>
      <c r="BD42" s="35">
        <f t="shared" si="18"/>
        <v>0</v>
      </c>
      <c r="BE42" s="35">
        <f t="shared" si="35"/>
        <v>0</v>
      </c>
      <c r="BF42" s="35">
        <f t="shared" si="19"/>
        <v>0</v>
      </c>
      <c r="BG42" s="35">
        <f t="shared" si="20"/>
        <v>0</v>
      </c>
      <c r="BH42" s="35">
        <f t="shared" si="21"/>
        <v>0</v>
      </c>
      <c r="BI42" s="35">
        <f t="shared" si="22"/>
        <v>0</v>
      </c>
      <c r="BJ42" s="35">
        <f t="shared" si="23"/>
        <v>0</v>
      </c>
      <c r="BK42" s="35">
        <f t="shared" si="24"/>
        <v>0</v>
      </c>
      <c r="BL42" s="35">
        <f t="shared" si="25"/>
        <v>0</v>
      </c>
      <c r="BM42" s="35">
        <f t="shared" si="26"/>
        <v>0</v>
      </c>
      <c r="BN42" s="35">
        <f t="shared" si="27"/>
        <v>0</v>
      </c>
      <c r="BO42" s="35">
        <f t="shared" si="28"/>
        <v>0</v>
      </c>
      <c r="BP42" s="35">
        <f t="shared" si="29"/>
        <v>0</v>
      </c>
      <c r="BQ42" s="35">
        <f t="shared" si="30"/>
        <v>0</v>
      </c>
      <c r="BR42" s="35">
        <f t="shared" si="31"/>
        <v>0</v>
      </c>
      <c r="BS42" s="35">
        <f t="shared" si="32"/>
        <v>0</v>
      </c>
      <c r="BT42" s="43">
        <f t="shared" si="33"/>
        <v>0</v>
      </c>
    </row>
    <row r="43" spans="1:72">
      <c r="A43" s="9"/>
      <c r="B43" s="34"/>
      <c r="C43" s="34"/>
      <c r="D43" s="2205"/>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06"/>
      <c r="AV43" s="1783">
        <f t="shared" si="12"/>
        <v>0</v>
      </c>
      <c r="AW43" s="1783">
        <f t="shared" si="13"/>
        <v>0</v>
      </c>
      <c r="AX43" s="1783">
        <f t="shared" si="36"/>
        <v>0</v>
      </c>
      <c r="AY43" s="42">
        <f t="shared" si="14"/>
        <v>0</v>
      </c>
      <c r="AZ43" s="35">
        <f t="shared" si="15"/>
        <v>0</v>
      </c>
      <c r="BA43" s="35">
        <f t="shared" si="16"/>
        <v>0</v>
      </c>
      <c r="BB43" s="35">
        <f t="shared" si="17"/>
        <v>0</v>
      </c>
      <c r="BC43" s="35">
        <f t="shared" si="34"/>
        <v>0</v>
      </c>
      <c r="BD43" s="35">
        <f t="shared" si="18"/>
        <v>0</v>
      </c>
      <c r="BE43" s="35">
        <f t="shared" si="35"/>
        <v>0</v>
      </c>
      <c r="BF43" s="35">
        <f t="shared" si="19"/>
        <v>0</v>
      </c>
      <c r="BG43" s="35">
        <f t="shared" si="20"/>
        <v>0</v>
      </c>
      <c r="BH43" s="35">
        <f t="shared" si="21"/>
        <v>0</v>
      </c>
      <c r="BI43" s="35">
        <f t="shared" si="22"/>
        <v>0</v>
      </c>
      <c r="BJ43" s="35">
        <f t="shared" si="23"/>
        <v>0</v>
      </c>
      <c r="BK43" s="35">
        <f t="shared" si="24"/>
        <v>0</v>
      </c>
      <c r="BL43" s="35">
        <f t="shared" si="25"/>
        <v>0</v>
      </c>
      <c r="BM43" s="35">
        <f t="shared" si="26"/>
        <v>0</v>
      </c>
      <c r="BN43" s="35">
        <f t="shared" si="27"/>
        <v>0</v>
      </c>
      <c r="BO43" s="35">
        <f t="shared" si="28"/>
        <v>0</v>
      </c>
      <c r="BP43" s="35">
        <f t="shared" si="29"/>
        <v>0</v>
      </c>
      <c r="BQ43" s="35">
        <f t="shared" si="30"/>
        <v>0</v>
      </c>
      <c r="BR43" s="35">
        <f t="shared" si="31"/>
        <v>0</v>
      </c>
      <c r="BS43" s="35">
        <f t="shared" si="32"/>
        <v>0</v>
      </c>
      <c r="BT43" s="43">
        <f t="shared" si="33"/>
        <v>0</v>
      </c>
    </row>
    <row r="44" spans="1:72">
      <c r="A44" s="9"/>
      <c r="B44" s="34"/>
      <c r="C44" s="34"/>
      <c r="D44" s="2205"/>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06"/>
      <c r="AV44" s="1783">
        <f t="shared" si="12"/>
        <v>0</v>
      </c>
      <c r="AW44" s="1783">
        <f t="shared" si="13"/>
        <v>0</v>
      </c>
      <c r="AX44" s="1783">
        <f t="shared" si="36"/>
        <v>0</v>
      </c>
      <c r="AY44" s="42">
        <f t="shared" si="14"/>
        <v>0</v>
      </c>
      <c r="AZ44" s="35">
        <f t="shared" si="15"/>
        <v>0</v>
      </c>
      <c r="BA44" s="35">
        <f t="shared" si="16"/>
        <v>0</v>
      </c>
      <c r="BB44" s="35">
        <f t="shared" si="17"/>
        <v>0</v>
      </c>
      <c r="BC44" s="35">
        <f t="shared" si="34"/>
        <v>0</v>
      </c>
      <c r="BD44" s="35">
        <f t="shared" si="18"/>
        <v>0</v>
      </c>
      <c r="BE44" s="35">
        <f t="shared" si="35"/>
        <v>0</v>
      </c>
      <c r="BF44" s="35">
        <f t="shared" si="19"/>
        <v>0</v>
      </c>
      <c r="BG44" s="35">
        <f t="shared" si="20"/>
        <v>0</v>
      </c>
      <c r="BH44" s="35">
        <f t="shared" si="21"/>
        <v>0</v>
      </c>
      <c r="BI44" s="35">
        <f t="shared" si="22"/>
        <v>0</v>
      </c>
      <c r="BJ44" s="35">
        <f t="shared" si="23"/>
        <v>0</v>
      </c>
      <c r="BK44" s="35">
        <f t="shared" si="24"/>
        <v>0</v>
      </c>
      <c r="BL44" s="35">
        <f t="shared" si="25"/>
        <v>0</v>
      </c>
      <c r="BM44" s="35">
        <f t="shared" si="26"/>
        <v>0</v>
      </c>
      <c r="BN44" s="35">
        <f t="shared" si="27"/>
        <v>0</v>
      </c>
      <c r="BO44" s="35">
        <f t="shared" si="28"/>
        <v>0</v>
      </c>
      <c r="BP44" s="35">
        <f t="shared" si="29"/>
        <v>0</v>
      </c>
      <c r="BQ44" s="35">
        <f t="shared" si="30"/>
        <v>0</v>
      </c>
      <c r="BR44" s="35">
        <f t="shared" si="31"/>
        <v>0</v>
      </c>
      <c r="BS44" s="35">
        <f t="shared" si="32"/>
        <v>0</v>
      </c>
      <c r="BT44" s="43">
        <f t="shared" si="33"/>
        <v>0</v>
      </c>
    </row>
    <row r="45" spans="1:72">
      <c r="A45" s="9"/>
      <c r="B45" s="34"/>
      <c r="C45" s="34"/>
      <c r="D45" s="2205"/>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06"/>
      <c r="AV45" s="1783">
        <f t="shared" si="12"/>
        <v>0</v>
      </c>
      <c r="AW45" s="1783">
        <f t="shared" si="13"/>
        <v>0</v>
      </c>
      <c r="AX45" s="1783">
        <f t="shared" si="36"/>
        <v>0</v>
      </c>
      <c r="AY45" s="42">
        <f t="shared" si="14"/>
        <v>0</v>
      </c>
      <c r="AZ45" s="35">
        <f t="shared" si="15"/>
        <v>0</v>
      </c>
      <c r="BA45" s="35">
        <f t="shared" si="16"/>
        <v>0</v>
      </c>
      <c r="BB45" s="35">
        <f t="shared" si="17"/>
        <v>0</v>
      </c>
      <c r="BC45" s="35">
        <f t="shared" si="34"/>
        <v>0</v>
      </c>
      <c r="BD45" s="35">
        <f t="shared" si="18"/>
        <v>0</v>
      </c>
      <c r="BE45" s="35">
        <f t="shared" si="35"/>
        <v>0</v>
      </c>
      <c r="BF45" s="35">
        <f t="shared" si="19"/>
        <v>0</v>
      </c>
      <c r="BG45" s="35">
        <f t="shared" si="20"/>
        <v>0</v>
      </c>
      <c r="BH45" s="35">
        <f t="shared" si="21"/>
        <v>0</v>
      </c>
      <c r="BI45" s="35">
        <f t="shared" si="22"/>
        <v>0</v>
      </c>
      <c r="BJ45" s="35">
        <f t="shared" si="23"/>
        <v>0</v>
      </c>
      <c r="BK45" s="35">
        <f t="shared" si="24"/>
        <v>0</v>
      </c>
      <c r="BL45" s="35">
        <f t="shared" si="25"/>
        <v>0</v>
      </c>
      <c r="BM45" s="35">
        <f t="shared" si="26"/>
        <v>0</v>
      </c>
      <c r="BN45" s="35">
        <f t="shared" si="27"/>
        <v>0</v>
      </c>
      <c r="BO45" s="35">
        <f t="shared" si="28"/>
        <v>0</v>
      </c>
      <c r="BP45" s="35">
        <f t="shared" si="29"/>
        <v>0</v>
      </c>
      <c r="BQ45" s="35">
        <f t="shared" si="30"/>
        <v>0</v>
      </c>
      <c r="BR45" s="35">
        <f t="shared" si="31"/>
        <v>0</v>
      </c>
      <c r="BS45" s="35">
        <f t="shared" si="32"/>
        <v>0</v>
      </c>
      <c r="BT45" s="43">
        <f t="shared" si="33"/>
        <v>0</v>
      </c>
    </row>
    <row r="46" spans="1:72">
      <c r="A46" s="9"/>
      <c r="B46" s="34"/>
      <c r="C46" s="34"/>
      <c r="D46" s="2205"/>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06"/>
      <c r="AV46" s="1783">
        <f t="shared" si="12"/>
        <v>0</v>
      </c>
      <c r="AW46" s="1783">
        <f t="shared" si="13"/>
        <v>0</v>
      </c>
      <c r="AX46" s="1783">
        <f t="shared" si="36"/>
        <v>0</v>
      </c>
      <c r="AY46" s="42">
        <f t="shared" si="14"/>
        <v>0</v>
      </c>
      <c r="AZ46" s="35">
        <f t="shared" si="15"/>
        <v>0</v>
      </c>
      <c r="BA46" s="35">
        <f t="shared" si="16"/>
        <v>0</v>
      </c>
      <c r="BB46" s="35">
        <f t="shared" si="17"/>
        <v>0</v>
      </c>
      <c r="BC46" s="35">
        <f t="shared" si="34"/>
        <v>0</v>
      </c>
      <c r="BD46" s="35">
        <f t="shared" si="18"/>
        <v>0</v>
      </c>
      <c r="BE46" s="35">
        <f t="shared" si="35"/>
        <v>0</v>
      </c>
      <c r="BF46" s="35">
        <f t="shared" si="19"/>
        <v>0</v>
      </c>
      <c r="BG46" s="35">
        <f t="shared" si="20"/>
        <v>0</v>
      </c>
      <c r="BH46" s="35">
        <f t="shared" si="21"/>
        <v>0</v>
      </c>
      <c r="BI46" s="35">
        <f t="shared" si="22"/>
        <v>0</v>
      </c>
      <c r="BJ46" s="35">
        <f t="shared" si="23"/>
        <v>0</v>
      </c>
      <c r="BK46" s="35">
        <f t="shared" si="24"/>
        <v>0</v>
      </c>
      <c r="BL46" s="35">
        <f t="shared" si="25"/>
        <v>0</v>
      </c>
      <c r="BM46" s="35">
        <f t="shared" si="26"/>
        <v>0</v>
      </c>
      <c r="BN46" s="35">
        <f t="shared" si="27"/>
        <v>0</v>
      </c>
      <c r="BO46" s="35">
        <f t="shared" si="28"/>
        <v>0</v>
      </c>
      <c r="BP46" s="35">
        <f t="shared" si="29"/>
        <v>0</v>
      </c>
      <c r="BQ46" s="35">
        <f t="shared" si="30"/>
        <v>0</v>
      </c>
      <c r="BR46" s="35">
        <f t="shared" si="31"/>
        <v>0</v>
      </c>
      <c r="BS46" s="35">
        <f t="shared" si="32"/>
        <v>0</v>
      </c>
      <c r="BT46" s="43">
        <f t="shared" si="33"/>
        <v>0</v>
      </c>
    </row>
    <row r="47" spans="1:72">
      <c r="A47" s="9"/>
      <c r="B47" s="34"/>
      <c r="C47" s="34"/>
      <c r="D47" s="2205"/>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06"/>
      <c r="AV47" s="1783">
        <f t="shared" si="12"/>
        <v>0</v>
      </c>
      <c r="AW47" s="1783">
        <f t="shared" si="13"/>
        <v>0</v>
      </c>
      <c r="AX47" s="1783">
        <f t="shared" si="36"/>
        <v>0</v>
      </c>
      <c r="AY47" s="42">
        <f t="shared" si="14"/>
        <v>0</v>
      </c>
      <c r="AZ47" s="35">
        <f t="shared" si="15"/>
        <v>0</v>
      </c>
      <c r="BA47" s="35">
        <f t="shared" si="16"/>
        <v>0</v>
      </c>
      <c r="BB47" s="35">
        <f t="shared" si="17"/>
        <v>0</v>
      </c>
      <c r="BC47" s="35">
        <f t="shared" si="34"/>
        <v>0</v>
      </c>
      <c r="BD47" s="35">
        <f t="shared" si="18"/>
        <v>0</v>
      </c>
      <c r="BE47" s="35">
        <f t="shared" si="35"/>
        <v>0</v>
      </c>
      <c r="BF47" s="35">
        <f t="shared" si="19"/>
        <v>0</v>
      </c>
      <c r="BG47" s="35">
        <f t="shared" si="20"/>
        <v>0</v>
      </c>
      <c r="BH47" s="35">
        <f t="shared" si="21"/>
        <v>0</v>
      </c>
      <c r="BI47" s="35">
        <f t="shared" si="22"/>
        <v>0</v>
      </c>
      <c r="BJ47" s="35">
        <f t="shared" si="23"/>
        <v>0</v>
      </c>
      <c r="BK47" s="35">
        <f t="shared" si="24"/>
        <v>0</v>
      </c>
      <c r="BL47" s="35">
        <f t="shared" si="25"/>
        <v>0</v>
      </c>
      <c r="BM47" s="35">
        <f t="shared" si="26"/>
        <v>0</v>
      </c>
      <c r="BN47" s="35">
        <f t="shared" si="27"/>
        <v>0</v>
      </c>
      <c r="BO47" s="35">
        <f t="shared" si="28"/>
        <v>0</v>
      </c>
      <c r="BP47" s="35">
        <f t="shared" si="29"/>
        <v>0</v>
      </c>
      <c r="BQ47" s="35">
        <f t="shared" si="30"/>
        <v>0</v>
      </c>
      <c r="BR47" s="35">
        <f t="shared" si="31"/>
        <v>0</v>
      </c>
      <c r="BS47" s="35">
        <f t="shared" si="32"/>
        <v>0</v>
      </c>
      <c r="BT47" s="43">
        <f t="shared" si="33"/>
        <v>0</v>
      </c>
    </row>
    <row r="48" spans="1:72">
      <c r="A48" s="9"/>
      <c r="B48" s="34"/>
      <c r="C48" s="34"/>
      <c r="D48" s="2205"/>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06"/>
      <c r="AV48" s="1783">
        <f t="shared" si="12"/>
        <v>0</v>
      </c>
      <c r="AW48" s="1783">
        <f t="shared" si="13"/>
        <v>0</v>
      </c>
      <c r="AX48" s="1783">
        <f t="shared" si="36"/>
        <v>0</v>
      </c>
      <c r="AY48" s="42">
        <f t="shared" si="14"/>
        <v>0</v>
      </c>
      <c r="AZ48" s="35">
        <f t="shared" si="15"/>
        <v>0</v>
      </c>
      <c r="BA48" s="35">
        <f t="shared" si="16"/>
        <v>0</v>
      </c>
      <c r="BB48" s="35">
        <f t="shared" si="17"/>
        <v>0</v>
      </c>
      <c r="BC48" s="35">
        <f t="shared" si="34"/>
        <v>0</v>
      </c>
      <c r="BD48" s="35">
        <f t="shared" si="18"/>
        <v>0</v>
      </c>
      <c r="BE48" s="35">
        <f t="shared" si="35"/>
        <v>0</v>
      </c>
      <c r="BF48" s="35">
        <f t="shared" si="19"/>
        <v>0</v>
      </c>
      <c r="BG48" s="35">
        <f t="shared" si="20"/>
        <v>0</v>
      </c>
      <c r="BH48" s="35">
        <f t="shared" si="21"/>
        <v>0</v>
      </c>
      <c r="BI48" s="35">
        <f t="shared" si="22"/>
        <v>0</v>
      </c>
      <c r="BJ48" s="35">
        <f t="shared" si="23"/>
        <v>0</v>
      </c>
      <c r="BK48" s="35">
        <f t="shared" si="24"/>
        <v>0</v>
      </c>
      <c r="BL48" s="35">
        <f t="shared" si="25"/>
        <v>0</v>
      </c>
      <c r="BM48" s="35">
        <f t="shared" si="26"/>
        <v>0</v>
      </c>
      <c r="BN48" s="35">
        <f t="shared" si="27"/>
        <v>0</v>
      </c>
      <c r="BO48" s="35">
        <f t="shared" si="28"/>
        <v>0</v>
      </c>
      <c r="BP48" s="35">
        <f t="shared" si="29"/>
        <v>0</v>
      </c>
      <c r="BQ48" s="35">
        <f t="shared" si="30"/>
        <v>0</v>
      </c>
      <c r="BR48" s="35">
        <f t="shared" si="31"/>
        <v>0</v>
      </c>
      <c r="BS48" s="35">
        <f t="shared" si="32"/>
        <v>0</v>
      </c>
      <c r="BT48" s="43">
        <f t="shared" si="33"/>
        <v>0</v>
      </c>
    </row>
    <row r="49" spans="1:72">
      <c r="A49" s="9"/>
      <c r="B49" s="34"/>
      <c r="C49" s="34"/>
      <c r="D49" s="2205"/>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06"/>
      <c r="AV49" s="1783">
        <f t="shared" si="12"/>
        <v>0</v>
      </c>
      <c r="AW49" s="1783">
        <f t="shared" si="13"/>
        <v>0</v>
      </c>
      <c r="AX49" s="1783">
        <f t="shared" si="36"/>
        <v>0</v>
      </c>
      <c r="AY49" s="42">
        <f t="shared" si="14"/>
        <v>0</v>
      </c>
      <c r="AZ49" s="35">
        <f t="shared" si="15"/>
        <v>0</v>
      </c>
      <c r="BA49" s="35">
        <f t="shared" si="16"/>
        <v>0</v>
      </c>
      <c r="BB49" s="35">
        <f t="shared" si="17"/>
        <v>0</v>
      </c>
      <c r="BC49" s="35">
        <f t="shared" si="34"/>
        <v>0</v>
      </c>
      <c r="BD49" s="35">
        <f t="shared" si="18"/>
        <v>0</v>
      </c>
      <c r="BE49" s="35">
        <f t="shared" si="35"/>
        <v>0</v>
      </c>
      <c r="BF49" s="35">
        <f t="shared" si="19"/>
        <v>0</v>
      </c>
      <c r="BG49" s="35">
        <f t="shared" si="20"/>
        <v>0</v>
      </c>
      <c r="BH49" s="35">
        <f t="shared" si="21"/>
        <v>0</v>
      </c>
      <c r="BI49" s="35">
        <f t="shared" si="22"/>
        <v>0</v>
      </c>
      <c r="BJ49" s="35">
        <f t="shared" si="23"/>
        <v>0</v>
      </c>
      <c r="BK49" s="35">
        <f t="shared" si="24"/>
        <v>0</v>
      </c>
      <c r="BL49" s="35">
        <f t="shared" si="25"/>
        <v>0</v>
      </c>
      <c r="BM49" s="35">
        <f t="shared" si="26"/>
        <v>0</v>
      </c>
      <c r="BN49" s="35">
        <f t="shared" si="27"/>
        <v>0</v>
      </c>
      <c r="BO49" s="35">
        <f t="shared" si="28"/>
        <v>0</v>
      </c>
      <c r="BP49" s="35">
        <f t="shared" si="29"/>
        <v>0</v>
      </c>
      <c r="BQ49" s="35">
        <f t="shared" si="30"/>
        <v>0</v>
      </c>
      <c r="BR49" s="35">
        <f t="shared" si="31"/>
        <v>0</v>
      </c>
      <c r="BS49" s="35">
        <f t="shared" si="32"/>
        <v>0</v>
      </c>
      <c r="BT49" s="43">
        <f t="shared" si="33"/>
        <v>0</v>
      </c>
    </row>
    <row r="50" spans="1:72">
      <c r="A50" s="9"/>
      <c r="B50" s="34"/>
      <c r="C50" s="34"/>
      <c r="D50" s="2205"/>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06"/>
      <c r="AV50" s="1783">
        <f t="shared" si="12"/>
        <v>0</v>
      </c>
      <c r="AW50" s="1783">
        <f t="shared" si="13"/>
        <v>0</v>
      </c>
      <c r="AX50" s="1783">
        <f t="shared" si="36"/>
        <v>0</v>
      </c>
      <c r="AY50" s="42">
        <f t="shared" si="14"/>
        <v>0</v>
      </c>
      <c r="AZ50" s="35">
        <f t="shared" si="15"/>
        <v>0</v>
      </c>
      <c r="BA50" s="35">
        <f t="shared" si="16"/>
        <v>0</v>
      </c>
      <c r="BB50" s="35">
        <f t="shared" si="17"/>
        <v>0</v>
      </c>
      <c r="BC50" s="35">
        <f t="shared" si="34"/>
        <v>0</v>
      </c>
      <c r="BD50" s="35">
        <f t="shared" si="18"/>
        <v>0</v>
      </c>
      <c r="BE50" s="35">
        <f t="shared" si="35"/>
        <v>0</v>
      </c>
      <c r="BF50" s="35">
        <f t="shared" si="19"/>
        <v>0</v>
      </c>
      <c r="BG50" s="35">
        <f t="shared" si="20"/>
        <v>0</v>
      </c>
      <c r="BH50" s="35">
        <f t="shared" si="21"/>
        <v>0</v>
      </c>
      <c r="BI50" s="35">
        <f t="shared" si="22"/>
        <v>0</v>
      </c>
      <c r="BJ50" s="35">
        <f t="shared" si="23"/>
        <v>0</v>
      </c>
      <c r="BK50" s="35">
        <f t="shared" si="24"/>
        <v>0</v>
      </c>
      <c r="BL50" s="35">
        <f t="shared" si="25"/>
        <v>0</v>
      </c>
      <c r="BM50" s="35">
        <f t="shared" si="26"/>
        <v>0</v>
      </c>
      <c r="BN50" s="35">
        <f t="shared" si="27"/>
        <v>0</v>
      </c>
      <c r="BO50" s="35">
        <f t="shared" si="28"/>
        <v>0</v>
      </c>
      <c r="BP50" s="35">
        <f t="shared" si="29"/>
        <v>0</v>
      </c>
      <c r="BQ50" s="35">
        <f t="shared" si="30"/>
        <v>0</v>
      </c>
      <c r="BR50" s="35">
        <f t="shared" si="31"/>
        <v>0</v>
      </c>
      <c r="BS50" s="35">
        <f t="shared" si="32"/>
        <v>0</v>
      </c>
      <c r="BT50" s="43">
        <f t="shared" si="33"/>
        <v>0</v>
      </c>
    </row>
    <row r="51" spans="1:72">
      <c r="A51" s="9"/>
      <c r="B51" s="34"/>
      <c r="C51" s="34"/>
      <c r="D51" s="2205"/>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06"/>
      <c r="AV51" s="1783">
        <f t="shared" si="12"/>
        <v>0</v>
      </c>
      <c r="AW51" s="1783">
        <f t="shared" si="13"/>
        <v>0</v>
      </c>
      <c r="AX51" s="1783">
        <f t="shared" si="36"/>
        <v>0</v>
      </c>
      <c r="AY51" s="42">
        <f t="shared" si="14"/>
        <v>0</v>
      </c>
      <c r="AZ51" s="35">
        <f t="shared" si="15"/>
        <v>0</v>
      </c>
      <c r="BA51" s="35">
        <f t="shared" si="16"/>
        <v>0</v>
      </c>
      <c r="BB51" s="35">
        <f t="shared" si="17"/>
        <v>0</v>
      </c>
      <c r="BC51" s="35">
        <f t="shared" si="34"/>
        <v>0</v>
      </c>
      <c r="BD51" s="35">
        <f t="shared" si="18"/>
        <v>0</v>
      </c>
      <c r="BE51" s="35">
        <f t="shared" si="35"/>
        <v>0</v>
      </c>
      <c r="BF51" s="35">
        <f t="shared" si="19"/>
        <v>0</v>
      </c>
      <c r="BG51" s="35">
        <f t="shared" si="20"/>
        <v>0</v>
      </c>
      <c r="BH51" s="35">
        <f t="shared" si="21"/>
        <v>0</v>
      </c>
      <c r="BI51" s="35">
        <f t="shared" si="22"/>
        <v>0</v>
      </c>
      <c r="BJ51" s="35">
        <f t="shared" si="23"/>
        <v>0</v>
      </c>
      <c r="BK51" s="35">
        <f t="shared" si="24"/>
        <v>0</v>
      </c>
      <c r="BL51" s="35">
        <f t="shared" si="25"/>
        <v>0</v>
      </c>
      <c r="BM51" s="35">
        <f t="shared" si="26"/>
        <v>0</v>
      </c>
      <c r="BN51" s="35">
        <f t="shared" si="27"/>
        <v>0</v>
      </c>
      <c r="BO51" s="35">
        <f t="shared" si="28"/>
        <v>0</v>
      </c>
      <c r="BP51" s="35">
        <f t="shared" si="29"/>
        <v>0</v>
      </c>
      <c r="BQ51" s="35">
        <f t="shared" si="30"/>
        <v>0</v>
      </c>
      <c r="BR51" s="35">
        <f t="shared" si="31"/>
        <v>0</v>
      </c>
      <c r="BS51" s="35">
        <f t="shared" si="32"/>
        <v>0</v>
      </c>
      <c r="BT51" s="43">
        <f t="shared" si="33"/>
        <v>0</v>
      </c>
    </row>
    <row r="52" spans="1:72">
      <c r="A52" s="9"/>
      <c r="B52" s="34"/>
      <c r="C52" s="34"/>
      <c r="D52" s="2205"/>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06"/>
      <c r="AV52" s="1783">
        <f t="shared" si="12"/>
        <v>0</v>
      </c>
      <c r="AW52" s="1783">
        <f t="shared" si="13"/>
        <v>0</v>
      </c>
      <c r="AX52" s="1783">
        <f t="shared" si="36"/>
        <v>0</v>
      </c>
      <c r="AY52" s="42">
        <f t="shared" si="14"/>
        <v>0</v>
      </c>
      <c r="AZ52" s="35">
        <f t="shared" si="15"/>
        <v>0</v>
      </c>
      <c r="BA52" s="35">
        <f t="shared" si="16"/>
        <v>0</v>
      </c>
      <c r="BB52" s="35">
        <f t="shared" si="17"/>
        <v>0</v>
      </c>
      <c r="BC52" s="35">
        <f t="shared" si="34"/>
        <v>0</v>
      </c>
      <c r="BD52" s="35">
        <f t="shared" si="18"/>
        <v>0</v>
      </c>
      <c r="BE52" s="35">
        <f t="shared" si="35"/>
        <v>0</v>
      </c>
      <c r="BF52" s="35">
        <f t="shared" si="19"/>
        <v>0</v>
      </c>
      <c r="BG52" s="35">
        <f t="shared" si="20"/>
        <v>0</v>
      </c>
      <c r="BH52" s="35">
        <f t="shared" si="21"/>
        <v>0</v>
      </c>
      <c r="BI52" s="35">
        <f t="shared" si="22"/>
        <v>0</v>
      </c>
      <c r="BJ52" s="35">
        <f t="shared" si="23"/>
        <v>0</v>
      </c>
      <c r="BK52" s="35">
        <f t="shared" si="24"/>
        <v>0</v>
      </c>
      <c r="BL52" s="35">
        <f t="shared" si="25"/>
        <v>0</v>
      </c>
      <c r="BM52" s="35">
        <f t="shared" si="26"/>
        <v>0</v>
      </c>
      <c r="BN52" s="35">
        <f t="shared" si="27"/>
        <v>0</v>
      </c>
      <c r="BO52" s="35">
        <f t="shared" si="28"/>
        <v>0</v>
      </c>
      <c r="BP52" s="35">
        <f t="shared" si="29"/>
        <v>0</v>
      </c>
      <c r="BQ52" s="35">
        <f t="shared" si="30"/>
        <v>0</v>
      </c>
      <c r="BR52" s="35">
        <f t="shared" si="31"/>
        <v>0</v>
      </c>
      <c r="BS52" s="35">
        <f t="shared" si="32"/>
        <v>0</v>
      </c>
      <c r="BT52" s="43">
        <f t="shared" si="33"/>
        <v>0</v>
      </c>
    </row>
    <row r="53" spans="1:72">
      <c r="A53" s="9"/>
      <c r="B53" s="34"/>
      <c r="C53" s="34"/>
      <c r="D53" s="2205"/>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06"/>
      <c r="AV53" s="1783">
        <f t="shared" si="12"/>
        <v>0</v>
      </c>
      <c r="AW53" s="1783">
        <f t="shared" si="13"/>
        <v>0</v>
      </c>
      <c r="AX53" s="1783">
        <f t="shared" si="36"/>
        <v>0</v>
      </c>
      <c r="AY53" s="42">
        <f t="shared" si="14"/>
        <v>0</v>
      </c>
      <c r="AZ53" s="35">
        <f t="shared" si="15"/>
        <v>0</v>
      </c>
      <c r="BA53" s="35">
        <f t="shared" si="16"/>
        <v>0</v>
      </c>
      <c r="BB53" s="35">
        <f t="shared" si="17"/>
        <v>0</v>
      </c>
      <c r="BC53" s="35">
        <f t="shared" si="34"/>
        <v>0</v>
      </c>
      <c r="BD53" s="35">
        <f t="shared" si="18"/>
        <v>0</v>
      </c>
      <c r="BE53" s="35">
        <f t="shared" si="35"/>
        <v>0</v>
      </c>
      <c r="BF53" s="35">
        <f t="shared" si="19"/>
        <v>0</v>
      </c>
      <c r="BG53" s="35">
        <f t="shared" si="20"/>
        <v>0</v>
      </c>
      <c r="BH53" s="35">
        <f t="shared" si="21"/>
        <v>0</v>
      </c>
      <c r="BI53" s="35">
        <f t="shared" si="22"/>
        <v>0</v>
      </c>
      <c r="BJ53" s="35">
        <f t="shared" si="23"/>
        <v>0</v>
      </c>
      <c r="BK53" s="35">
        <f t="shared" si="24"/>
        <v>0</v>
      </c>
      <c r="BL53" s="35">
        <f t="shared" si="25"/>
        <v>0</v>
      </c>
      <c r="BM53" s="35">
        <f t="shared" si="26"/>
        <v>0</v>
      </c>
      <c r="BN53" s="35">
        <f t="shared" si="27"/>
        <v>0</v>
      </c>
      <c r="BO53" s="35">
        <f t="shared" si="28"/>
        <v>0</v>
      </c>
      <c r="BP53" s="35">
        <f t="shared" si="29"/>
        <v>0</v>
      </c>
      <c r="BQ53" s="35">
        <f t="shared" si="30"/>
        <v>0</v>
      </c>
      <c r="BR53" s="35">
        <f t="shared" si="31"/>
        <v>0</v>
      </c>
      <c r="BS53" s="35">
        <f t="shared" si="32"/>
        <v>0</v>
      </c>
      <c r="BT53" s="43">
        <f t="shared" si="33"/>
        <v>0</v>
      </c>
    </row>
    <row r="54" spans="1:72">
      <c r="A54" s="9"/>
      <c r="B54" s="34"/>
      <c r="C54" s="34"/>
      <c r="D54" s="2205"/>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06"/>
      <c r="AV54" s="1783">
        <f t="shared" si="12"/>
        <v>0</v>
      </c>
      <c r="AW54" s="1783">
        <f t="shared" si="13"/>
        <v>0</v>
      </c>
      <c r="AX54" s="1783">
        <f t="shared" si="36"/>
        <v>0</v>
      </c>
      <c r="AY54" s="42">
        <f t="shared" si="14"/>
        <v>0</v>
      </c>
      <c r="AZ54" s="35">
        <f t="shared" si="15"/>
        <v>0</v>
      </c>
      <c r="BA54" s="35">
        <f t="shared" si="16"/>
        <v>0</v>
      </c>
      <c r="BB54" s="35">
        <f t="shared" si="17"/>
        <v>0</v>
      </c>
      <c r="BC54" s="35">
        <f t="shared" si="34"/>
        <v>0</v>
      </c>
      <c r="BD54" s="35">
        <f t="shared" si="18"/>
        <v>0</v>
      </c>
      <c r="BE54" s="35">
        <f t="shared" si="35"/>
        <v>0</v>
      </c>
      <c r="BF54" s="35">
        <f t="shared" si="19"/>
        <v>0</v>
      </c>
      <c r="BG54" s="35">
        <f t="shared" si="20"/>
        <v>0</v>
      </c>
      <c r="BH54" s="35">
        <f t="shared" si="21"/>
        <v>0</v>
      </c>
      <c r="BI54" s="35">
        <f t="shared" si="22"/>
        <v>0</v>
      </c>
      <c r="BJ54" s="35">
        <f t="shared" si="23"/>
        <v>0</v>
      </c>
      <c r="BK54" s="35">
        <f t="shared" si="24"/>
        <v>0</v>
      </c>
      <c r="BL54" s="35">
        <f t="shared" si="25"/>
        <v>0</v>
      </c>
      <c r="BM54" s="35">
        <f t="shared" si="26"/>
        <v>0</v>
      </c>
      <c r="BN54" s="35">
        <f t="shared" si="27"/>
        <v>0</v>
      </c>
      <c r="BO54" s="35">
        <f t="shared" si="28"/>
        <v>0</v>
      </c>
      <c r="BP54" s="35">
        <f t="shared" si="29"/>
        <v>0</v>
      </c>
      <c r="BQ54" s="35">
        <f t="shared" si="30"/>
        <v>0</v>
      </c>
      <c r="BR54" s="35">
        <f t="shared" si="31"/>
        <v>0</v>
      </c>
      <c r="BS54" s="35">
        <f t="shared" si="32"/>
        <v>0</v>
      </c>
      <c r="BT54" s="43">
        <f t="shared" si="33"/>
        <v>0</v>
      </c>
    </row>
    <row r="55" spans="1:72">
      <c r="A55" s="9"/>
      <c r="B55" s="34"/>
      <c r="C55" s="34"/>
      <c r="D55" s="2205"/>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06"/>
      <c r="AV55" s="1783">
        <f t="shared" si="12"/>
        <v>0</v>
      </c>
      <c r="AW55" s="1783">
        <f t="shared" si="13"/>
        <v>0</v>
      </c>
      <c r="AX55" s="1783">
        <f t="shared" si="36"/>
        <v>0</v>
      </c>
      <c r="AY55" s="42">
        <f t="shared" si="14"/>
        <v>0</v>
      </c>
      <c r="AZ55" s="35">
        <f t="shared" si="15"/>
        <v>0</v>
      </c>
      <c r="BA55" s="35">
        <f t="shared" si="16"/>
        <v>0</v>
      </c>
      <c r="BB55" s="35">
        <f t="shared" si="17"/>
        <v>0</v>
      </c>
      <c r="BC55" s="35">
        <f t="shared" si="34"/>
        <v>0</v>
      </c>
      <c r="BD55" s="35">
        <f t="shared" si="18"/>
        <v>0</v>
      </c>
      <c r="BE55" s="35">
        <f t="shared" si="35"/>
        <v>0</v>
      </c>
      <c r="BF55" s="35">
        <f t="shared" si="19"/>
        <v>0</v>
      </c>
      <c r="BG55" s="35">
        <f t="shared" si="20"/>
        <v>0</v>
      </c>
      <c r="BH55" s="35">
        <f t="shared" si="21"/>
        <v>0</v>
      </c>
      <c r="BI55" s="35">
        <f t="shared" si="22"/>
        <v>0</v>
      </c>
      <c r="BJ55" s="35">
        <f t="shared" si="23"/>
        <v>0</v>
      </c>
      <c r="BK55" s="35">
        <f t="shared" si="24"/>
        <v>0</v>
      </c>
      <c r="BL55" s="35">
        <f t="shared" si="25"/>
        <v>0</v>
      </c>
      <c r="BM55" s="35">
        <f t="shared" si="26"/>
        <v>0</v>
      </c>
      <c r="BN55" s="35">
        <f t="shared" si="27"/>
        <v>0</v>
      </c>
      <c r="BO55" s="35">
        <f t="shared" si="28"/>
        <v>0</v>
      </c>
      <c r="BP55" s="35">
        <f t="shared" si="29"/>
        <v>0</v>
      </c>
      <c r="BQ55" s="35">
        <f t="shared" si="30"/>
        <v>0</v>
      </c>
      <c r="BR55" s="35">
        <f t="shared" si="31"/>
        <v>0</v>
      </c>
      <c r="BS55" s="35">
        <f t="shared" si="32"/>
        <v>0</v>
      </c>
      <c r="BT55" s="43">
        <f t="shared" si="33"/>
        <v>0</v>
      </c>
    </row>
    <row r="56" spans="1:72">
      <c r="A56" s="9"/>
      <c r="B56" s="34"/>
      <c r="C56" s="34"/>
      <c r="D56" s="2205"/>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06"/>
      <c r="AV56" s="1783">
        <f t="shared" si="12"/>
        <v>0</v>
      </c>
      <c r="AW56" s="1783">
        <f t="shared" si="13"/>
        <v>0</v>
      </c>
      <c r="AX56" s="1783">
        <f t="shared" si="36"/>
        <v>0</v>
      </c>
      <c r="AY56" s="42">
        <f t="shared" si="14"/>
        <v>0</v>
      </c>
      <c r="AZ56" s="35">
        <f t="shared" si="15"/>
        <v>0</v>
      </c>
      <c r="BA56" s="35">
        <f t="shared" si="16"/>
        <v>0</v>
      </c>
      <c r="BB56" s="35">
        <f t="shared" si="17"/>
        <v>0</v>
      </c>
      <c r="BC56" s="35">
        <f t="shared" si="34"/>
        <v>0</v>
      </c>
      <c r="BD56" s="35">
        <f t="shared" si="18"/>
        <v>0</v>
      </c>
      <c r="BE56" s="35">
        <f t="shared" si="35"/>
        <v>0</v>
      </c>
      <c r="BF56" s="35">
        <f t="shared" si="19"/>
        <v>0</v>
      </c>
      <c r="BG56" s="35">
        <f t="shared" si="20"/>
        <v>0</v>
      </c>
      <c r="BH56" s="35">
        <f t="shared" si="21"/>
        <v>0</v>
      </c>
      <c r="BI56" s="35">
        <f t="shared" si="22"/>
        <v>0</v>
      </c>
      <c r="BJ56" s="35">
        <f t="shared" si="23"/>
        <v>0</v>
      </c>
      <c r="BK56" s="35">
        <f t="shared" si="24"/>
        <v>0</v>
      </c>
      <c r="BL56" s="35">
        <f t="shared" si="25"/>
        <v>0</v>
      </c>
      <c r="BM56" s="35">
        <f t="shared" si="26"/>
        <v>0</v>
      </c>
      <c r="BN56" s="35">
        <f t="shared" si="27"/>
        <v>0</v>
      </c>
      <c r="BO56" s="35">
        <f t="shared" si="28"/>
        <v>0</v>
      </c>
      <c r="BP56" s="35">
        <f t="shared" si="29"/>
        <v>0</v>
      </c>
      <c r="BQ56" s="35">
        <f t="shared" si="30"/>
        <v>0</v>
      </c>
      <c r="BR56" s="35">
        <f t="shared" si="31"/>
        <v>0</v>
      </c>
      <c r="BS56" s="35">
        <f t="shared" si="32"/>
        <v>0</v>
      </c>
      <c r="BT56" s="43">
        <f t="shared" si="33"/>
        <v>0</v>
      </c>
    </row>
    <row r="57" spans="1:72">
      <c r="A57" s="9"/>
      <c r="B57" s="34"/>
      <c r="C57" s="34"/>
      <c r="D57" s="2205"/>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06"/>
      <c r="AV57" s="1783">
        <f t="shared" si="12"/>
        <v>0</v>
      </c>
      <c r="AW57" s="1783">
        <f t="shared" si="13"/>
        <v>0</v>
      </c>
      <c r="AX57" s="1783">
        <f t="shared" si="36"/>
        <v>0</v>
      </c>
      <c r="AY57" s="42">
        <f t="shared" si="14"/>
        <v>0</v>
      </c>
      <c r="AZ57" s="35">
        <f t="shared" si="15"/>
        <v>0</v>
      </c>
      <c r="BA57" s="35">
        <f t="shared" si="16"/>
        <v>0</v>
      </c>
      <c r="BB57" s="35">
        <f t="shared" si="17"/>
        <v>0</v>
      </c>
      <c r="BC57" s="35">
        <f t="shared" si="34"/>
        <v>0</v>
      </c>
      <c r="BD57" s="35">
        <f t="shared" si="18"/>
        <v>0</v>
      </c>
      <c r="BE57" s="35">
        <f t="shared" si="35"/>
        <v>0</v>
      </c>
      <c r="BF57" s="35">
        <f t="shared" si="19"/>
        <v>0</v>
      </c>
      <c r="BG57" s="35">
        <f t="shared" si="20"/>
        <v>0</v>
      </c>
      <c r="BH57" s="35">
        <f t="shared" si="21"/>
        <v>0</v>
      </c>
      <c r="BI57" s="35">
        <f t="shared" si="22"/>
        <v>0</v>
      </c>
      <c r="BJ57" s="35">
        <f t="shared" si="23"/>
        <v>0</v>
      </c>
      <c r="BK57" s="35">
        <f t="shared" si="24"/>
        <v>0</v>
      </c>
      <c r="BL57" s="35">
        <f t="shared" si="25"/>
        <v>0</v>
      </c>
      <c r="BM57" s="35">
        <f t="shared" si="26"/>
        <v>0</v>
      </c>
      <c r="BN57" s="35">
        <f t="shared" si="27"/>
        <v>0</v>
      </c>
      <c r="BO57" s="35">
        <f t="shared" si="28"/>
        <v>0</v>
      </c>
      <c r="BP57" s="35">
        <f t="shared" si="29"/>
        <v>0</v>
      </c>
      <c r="BQ57" s="35">
        <f t="shared" si="30"/>
        <v>0</v>
      </c>
      <c r="BR57" s="35">
        <f t="shared" si="31"/>
        <v>0</v>
      </c>
      <c r="BS57" s="35">
        <f t="shared" si="32"/>
        <v>0</v>
      </c>
      <c r="BT57" s="43">
        <f t="shared" si="33"/>
        <v>0</v>
      </c>
    </row>
    <row r="58" spans="1:72">
      <c r="A58" s="9"/>
      <c r="B58" s="34"/>
      <c r="C58" s="34"/>
      <c r="D58" s="2205"/>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06"/>
      <c r="AV58" s="1783">
        <f t="shared" si="12"/>
        <v>0</v>
      </c>
      <c r="AW58" s="1783">
        <f t="shared" si="13"/>
        <v>0</v>
      </c>
      <c r="AX58" s="1783">
        <f t="shared" si="36"/>
        <v>0</v>
      </c>
      <c r="AY58" s="42">
        <f t="shared" si="14"/>
        <v>0</v>
      </c>
      <c r="AZ58" s="35">
        <f t="shared" si="15"/>
        <v>0</v>
      </c>
      <c r="BA58" s="35">
        <f t="shared" si="16"/>
        <v>0</v>
      </c>
      <c r="BB58" s="35">
        <f t="shared" si="17"/>
        <v>0</v>
      </c>
      <c r="BC58" s="35">
        <f t="shared" si="34"/>
        <v>0</v>
      </c>
      <c r="BD58" s="35">
        <f t="shared" si="18"/>
        <v>0</v>
      </c>
      <c r="BE58" s="35">
        <f t="shared" si="35"/>
        <v>0</v>
      </c>
      <c r="BF58" s="35">
        <f t="shared" si="19"/>
        <v>0</v>
      </c>
      <c r="BG58" s="35">
        <f t="shared" si="20"/>
        <v>0</v>
      </c>
      <c r="BH58" s="35">
        <f t="shared" si="21"/>
        <v>0</v>
      </c>
      <c r="BI58" s="35">
        <f t="shared" si="22"/>
        <v>0</v>
      </c>
      <c r="BJ58" s="35">
        <f t="shared" si="23"/>
        <v>0</v>
      </c>
      <c r="BK58" s="35">
        <f t="shared" si="24"/>
        <v>0</v>
      </c>
      <c r="BL58" s="35">
        <f t="shared" si="25"/>
        <v>0</v>
      </c>
      <c r="BM58" s="35">
        <f t="shared" si="26"/>
        <v>0</v>
      </c>
      <c r="BN58" s="35">
        <f t="shared" si="27"/>
        <v>0</v>
      </c>
      <c r="BO58" s="35">
        <f t="shared" si="28"/>
        <v>0</v>
      </c>
      <c r="BP58" s="35">
        <f t="shared" si="29"/>
        <v>0</v>
      </c>
      <c r="BQ58" s="35">
        <f t="shared" si="30"/>
        <v>0</v>
      </c>
      <c r="BR58" s="35">
        <f t="shared" si="31"/>
        <v>0</v>
      </c>
      <c r="BS58" s="35">
        <f t="shared" si="32"/>
        <v>0</v>
      </c>
      <c r="BT58" s="43">
        <f t="shared" si="33"/>
        <v>0</v>
      </c>
    </row>
    <row r="59" spans="1:72">
      <c r="A59" s="9"/>
      <c r="B59" s="34"/>
      <c r="C59" s="34"/>
      <c r="D59" s="2205"/>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06"/>
      <c r="AV59" s="1783">
        <f t="shared" si="12"/>
        <v>0</v>
      </c>
      <c r="AW59" s="1783">
        <f t="shared" si="13"/>
        <v>0</v>
      </c>
      <c r="AX59" s="1783">
        <f t="shared" si="36"/>
        <v>0</v>
      </c>
      <c r="AY59" s="42">
        <f t="shared" si="14"/>
        <v>0</v>
      </c>
      <c r="AZ59" s="35">
        <f t="shared" si="15"/>
        <v>0</v>
      </c>
      <c r="BA59" s="35">
        <f t="shared" si="16"/>
        <v>0</v>
      </c>
      <c r="BB59" s="35">
        <f t="shared" si="17"/>
        <v>0</v>
      </c>
      <c r="BC59" s="35">
        <f t="shared" si="34"/>
        <v>0</v>
      </c>
      <c r="BD59" s="35">
        <f t="shared" si="18"/>
        <v>0</v>
      </c>
      <c r="BE59" s="35">
        <f t="shared" si="35"/>
        <v>0</v>
      </c>
      <c r="BF59" s="35">
        <f t="shared" si="19"/>
        <v>0</v>
      </c>
      <c r="BG59" s="35">
        <f t="shared" si="20"/>
        <v>0</v>
      </c>
      <c r="BH59" s="35">
        <f t="shared" si="21"/>
        <v>0</v>
      </c>
      <c r="BI59" s="35">
        <f t="shared" si="22"/>
        <v>0</v>
      </c>
      <c r="BJ59" s="35">
        <f t="shared" si="23"/>
        <v>0</v>
      </c>
      <c r="BK59" s="35">
        <f t="shared" si="24"/>
        <v>0</v>
      </c>
      <c r="BL59" s="35">
        <f t="shared" si="25"/>
        <v>0</v>
      </c>
      <c r="BM59" s="35">
        <f t="shared" si="26"/>
        <v>0</v>
      </c>
      <c r="BN59" s="35">
        <f t="shared" si="27"/>
        <v>0</v>
      </c>
      <c r="BO59" s="35">
        <f t="shared" si="28"/>
        <v>0</v>
      </c>
      <c r="BP59" s="35">
        <f t="shared" si="29"/>
        <v>0</v>
      </c>
      <c r="BQ59" s="35">
        <f t="shared" si="30"/>
        <v>0</v>
      </c>
      <c r="BR59" s="35">
        <f t="shared" si="31"/>
        <v>0</v>
      </c>
      <c r="BS59" s="35">
        <f t="shared" si="32"/>
        <v>0</v>
      </c>
      <c r="BT59" s="43">
        <f t="shared" si="33"/>
        <v>0</v>
      </c>
    </row>
    <row r="60" spans="1:72">
      <c r="A60" s="9"/>
      <c r="B60" s="34"/>
      <c r="C60" s="34"/>
      <c r="D60" s="2205"/>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06"/>
      <c r="AV60" s="1783">
        <f t="shared" si="12"/>
        <v>0</v>
      </c>
      <c r="AW60" s="1783">
        <f t="shared" si="13"/>
        <v>0</v>
      </c>
      <c r="AX60" s="1783">
        <f t="shared" si="36"/>
        <v>0</v>
      </c>
      <c r="AY60" s="42">
        <f t="shared" si="14"/>
        <v>0</v>
      </c>
      <c r="AZ60" s="35">
        <f t="shared" si="15"/>
        <v>0</v>
      </c>
      <c r="BA60" s="35">
        <f t="shared" si="16"/>
        <v>0</v>
      </c>
      <c r="BB60" s="35">
        <f t="shared" si="17"/>
        <v>0</v>
      </c>
      <c r="BC60" s="35">
        <f t="shared" si="34"/>
        <v>0</v>
      </c>
      <c r="BD60" s="35">
        <f t="shared" si="18"/>
        <v>0</v>
      </c>
      <c r="BE60" s="35">
        <f t="shared" si="35"/>
        <v>0</v>
      </c>
      <c r="BF60" s="35">
        <f t="shared" si="19"/>
        <v>0</v>
      </c>
      <c r="BG60" s="35">
        <f t="shared" si="20"/>
        <v>0</v>
      </c>
      <c r="BH60" s="35">
        <f t="shared" si="21"/>
        <v>0</v>
      </c>
      <c r="BI60" s="35">
        <f t="shared" si="22"/>
        <v>0</v>
      </c>
      <c r="BJ60" s="35">
        <f t="shared" si="23"/>
        <v>0</v>
      </c>
      <c r="BK60" s="35">
        <f t="shared" si="24"/>
        <v>0</v>
      </c>
      <c r="BL60" s="35">
        <f t="shared" si="25"/>
        <v>0</v>
      </c>
      <c r="BM60" s="35">
        <f t="shared" si="26"/>
        <v>0</v>
      </c>
      <c r="BN60" s="35">
        <f t="shared" si="27"/>
        <v>0</v>
      </c>
      <c r="BO60" s="35">
        <f t="shared" si="28"/>
        <v>0</v>
      </c>
      <c r="BP60" s="35">
        <f t="shared" si="29"/>
        <v>0</v>
      </c>
      <c r="BQ60" s="35">
        <f t="shared" si="30"/>
        <v>0</v>
      </c>
      <c r="BR60" s="35">
        <f t="shared" si="31"/>
        <v>0</v>
      </c>
      <c r="BS60" s="35">
        <f t="shared" si="32"/>
        <v>0</v>
      </c>
      <c r="BT60" s="43">
        <f t="shared" si="33"/>
        <v>0</v>
      </c>
    </row>
    <row r="61" spans="1:72">
      <c r="A61" s="9"/>
      <c r="B61" s="34"/>
      <c r="C61" s="34"/>
      <c r="D61" s="2205"/>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06"/>
      <c r="AV61" s="1783">
        <f t="shared" si="12"/>
        <v>0</v>
      </c>
      <c r="AW61" s="1783">
        <f t="shared" si="13"/>
        <v>0</v>
      </c>
      <c r="AX61" s="1783">
        <f t="shared" si="36"/>
        <v>0</v>
      </c>
      <c r="AY61" s="42">
        <f t="shared" si="14"/>
        <v>0</v>
      </c>
      <c r="AZ61" s="35">
        <f t="shared" si="15"/>
        <v>0</v>
      </c>
      <c r="BA61" s="35">
        <f t="shared" si="16"/>
        <v>0</v>
      </c>
      <c r="BB61" s="35">
        <f t="shared" si="17"/>
        <v>0</v>
      </c>
      <c r="BC61" s="35">
        <f t="shared" si="34"/>
        <v>0</v>
      </c>
      <c r="BD61" s="35">
        <f t="shared" si="18"/>
        <v>0</v>
      </c>
      <c r="BE61" s="35">
        <f t="shared" si="35"/>
        <v>0</v>
      </c>
      <c r="BF61" s="35">
        <f t="shared" si="19"/>
        <v>0</v>
      </c>
      <c r="BG61" s="35">
        <f t="shared" si="20"/>
        <v>0</v>
      </c>
      <c r="BH61" s="35">
        <f t="shared" si="21"/>
        <v>0</v>
      </c>
      <c r="BI61" s="35">
        <f t="shared" si="22"/>
        <v>0</v>
      </c>
      <c r="BJ61" s="35">
        <f t="shared" si="23"/>
        <v>0</v>
      </c>
      <c r="BK61" s="35">
        <f t="shared" si="24"/>
        <v>0</v>
      </c>
      <c r="BL61" s="35">
        <f t="shared" si="25"/>
        <v>0</v>
      </c>
      <c r="BM61" s="35">
        <f t="shared" si="26"/>
        <v>0</v>
      </c>
      <c r="BN61" s="35">
        <f t="shared" si="27"/>
        <v>0</v>
      </c>
      <c r="BO61" s="35">
        <f t="shared" si="28"/>
        <v>0</v>
      </c>
      <c r="BP61" s="35">
        <f t="shared" si="29"/>
        <v>0</v>
      </c>
      <c r="BQ61" s="35">
        <f t="shared" si="30"/>
        <v>0</v>
      </c>
      <c r="BR61" s="35">
        <f t="shared" si="31"/>
        <v>0</v>
      </c>
      <c r="BS61" s="35">
        <f t="shared" si="32"/>
        <v>0</v>
      </c>
      <c r="BT61" s="43">
        <f t="shared" si="33"/>
        <v>0</v>
      </c>
    </row>
    <row r="62" spans="1:72">
      <c r="A62" s="9"/>
      <c r="B62" s="34"/>
      <c r="C62" s="34"/>
      <c r="D62" s="2205"/>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06"/>
      <c r="AV62" s="1783">
        <f t="shared" si="12"/>
        <v>0</v>
      </c>
      <c r="AW62" s="1783">
        <f t="shared" si="13"/>
        <v>0</v>
      </c>
      <c r="AX62" s="1783">
        <f t="shared" si="36"/>
        <v>0</v>
      </c>
      <c r="AY62" s="42">
        <f t="shared" si="14"/>
        <v>0</v>
      </c>
      <c r="AZ62" s="35">
        <f t="shared" si="15"/>
        <v>0</v>
      </c>
      <c r="BA62" s="35">
        <f t="shared" si="16"/>
        <v>0</v>
      </c>
      <c r="BB62" s="35">
        <f t="shared" si="17"/>
        <v>0</v>
      </c>
      <c r="BC62" s="35">
        <f t="shared" si="34"/>
        <v>0</v>
      </c>
      <c r="BD62" s="35">
        <f t="shared" si="18"/>
        <v>0</v>
      </c>
      <c r="BE62" s="35">
        <f t="shared" si="35"/>
        <v>0</v>
      </c>
      <c r="BF62" s="35">
        <f t="shared" si="19"/>
        <v>0</v>
      </c>
      <c r="BG62" s="35">
        <f t="shared" si="20"/>
        <v>0</v>
      </c>
      <c r="BH62" s="35">
        <f t="shared" si="21"/>
        <v>0</v>
      </c>
      <c r="BI62" s="35">
        <f t="shared" si="22"/>
        <v>0</v>
      </c>
      <c r="BJ62" s="35">
        <f t="shared" si="23"/>
        <v>0</v>
      </c>
      <c r="BK62" s="35">
        <f t="shared" si="24"/>
        <v>0</v>
      </c>
      <c r="BL62" s="35">
        <f t="shared" si="25"/>
        <v>0</v>
      </c>
      <c r="BM62" s="35">
        <f t="shared" si="26"/>
        <v>0</v>
      </c>
      <c r="BN62" s="35">
        <f t="shared" si="27"/>
        <v>0</v>
      </c>
      <c r="BO62" s="35">
        <f t="shared" si="28"/>
        <v>0</v>
      </c>
      <c r="BP62" s="35">
        <f t="shared" si="29"/>
        <v>0</v>
      </c>
      <c r="BQ62" s="35">
        <f t="shared" si="30"/>
        <v>0</v>
      </c>
      <c r="BR62" s="35">
        <f t="shared" si="31"/>
        <v>0</v>
      </c>
      <c r="BS62" s="35">
        <f t="shared" si="32"/>
        <v>0</v>
      </c>
      <c r="BT62" s="43">
        <f t="shared" si="33"/>
        <v>0</v>
      </c>
    </row>
    <row r="63" spans="1:72">
      <c r="A63" s="9"/>
      <c r="B63" s="34"/>
      <c r="C63" s="34"/>
      <c r="D63" s="2205"/>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06"/>
      <c r="AV63" s="1783">
        <f t="shared" si="12"/>
        <v>0</v>
      </c>
      <c r="AW63" s="1783">
        <f t="shared" si="13"/>
        <v>0</v>
      </c>
      <c r="AX63" s="1783">
        <f t="shared" si="36"/>
        <v>0</v>
      </c>
      <c r="AY63" s="42">
        <f t="shared" si="14"/>
        <v>0</v>
      </c>
      <c r="AZ63" s="35">
        <f t="shared" si="15"/>
        <v>0</v>
      </c>
      <c r="BA63" s="35">
        <f t="shared" si="16"/>
        <v>0</v>
      </c>
      <c r="BB63" s="35">
        <f t="shared" si="17"/>
        <v>0</v>
      </c>
      <c r="BC63" s="35">
        <f t="shared" si="34"/>
        <v>0</v>
      </c>
      <c r="BD63" s="35">
        <f t="shared" si="18"/>
        <v>0</v>
      </c>
      <c r="BE63" s="35">
        <f t="shared" si="35"/>
        <v>0</v>
      </c>
      <c r="BF63" s="35">
        <f t="shared" si="19"/>
        <v>0</v>
      </c>
      <c r="BG63" s="35">
        <f t="shared" si="20"/>
        <v>0</v>
      </c>
      <c r="BH63" s="35">
        <f t="shared" si="21"/>
        <v>0</v>
      </c>
      <c r="BI63" s="35">
        <f t="shared" si="22"/>
        <v>0</v>
      </c>
      <c r="BJ63" s="35">
        <f t="shared" si="23"/>
        <v>0</v>
      </c>
      <c r="BK63" s="35">
        <f t="shared" si="24"/>
        <v>0</v>
      </c>
      <c r="BL63" s="35">
        <f t="shared" si="25"/>
        <v>0</v>
      </c>
      <c r="BM63" s="35">
        <f t="shared" si="26"/>
        <v>0</v>
      </c>
      <c r="BN63" s="35">
        <f t="shared" si="27"/>
        <v>0</v>
      </c>
      <c r="BO63" s="35">
        <f t="shared" si="28"/>
        <v>0</v>
      </c>
      <c r="BP63" s="35">
        <f t="shared" si="29"/>
        <v>0</v>
      </c>
      <c r="BQ63" s="35">
        <f t="shared" si="30"/>
        <v>0</v>
      </c>
      <c r="BR63" s="35">
        <f t="shared" si="31"/>
        <v>0</v>
      </c>
      <c r="BS63" s="35">
        <f t="shared" si="32"/>
        <v>0</v>
      </c>
      <c r="BT63" s="43">
        <f t="shared" si="33"/>
        <v>0</v>
      </c>
    </row>
    <row r="64" spans="1:72">
      <c r="A64" s="9"/>
      <c r="B64" s="34"/>
      <c r="C64" s="34"/>
      <c r="D64" s="2205"/>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06"/>
      <c r="AV64" s="1783">
        <f t="shared" si="12"/>
        <v>0</v>
      </c>
      <c r="AW64" s="1783">
        <f t="shared" si="13"/>
        <v>0</v>
      </c>
      <c r="AX64" s="1783">
        <f t="shared" si="36"/>
        <v>0</v>
      </c>
      <c r="AY64" s="42">
        <f t="shared" si="14"/>
        <v>0</v>
      </c>
      <c r="AZ64" s="35">
        <f t="shared" si="15"/>
        <v>0</v>
      </c>
      <c r="BA64" s="35">
        <f t="shared" si="16"/>
        <v>0</v>
      </c>
      <c r="BB64" s="35">
        <f t="shared" si="17"/>
        <v>0</v>
      </c>
      <c r="BC64" s="35">
        <f t="shared" si="34"/>
        <v>0</v>
      </c>
      <c r="BD64" s="35">
        <f t="shared" si="18"/>
        <v>0</v>
      </c>
      <c r="BE64" s="35">
        <f t="shared" si="35"/>
        <v>0</v>
      </c>
      <c r="BF64" s="35">
        <f t="shared" si="19"/>
        <v>0</v>
      </c>
      <c r="BG64" s="35">
        <f t="shared" si="20"/>
        <v>0</v>
      </c>
      <c r="BH64" s="35">
        <f t="shared" si="21"/>
        <v>0</v>
      </c>
      <c r="BI64" s="35">
        <f t="shared" si="22"/>
        <v>0</v>
      </c>
      <c r="BJ64" s="35">
        <f t="shared" si="23"/>
        <v>0</v>
      </c>
      <c r="BK64" s="35">
        <f t="shared" si="24"/>
        <v>0</v>
      </c>
      <c r="BL64" s="35">
        <f t="shared" si="25"/>
        <v>0</v>
      </c>
      <c r="BM64" s="35">
        <f t="shared" si="26"/>
        <v>0</v>
      </c>
      <c r="BN64" s="35">
        <f t="shared" si="27"/>
        <v>0</v>
      </c>
      <c r="BO64" s="35">
        <f t="shared" si="28"/>
        <v>0</v>
      </c>
      <c r="BP64" s="35">
        <f t="shared" si="29"/>
        <v>0</v>
      </c>
      <c r="BQ64" s="35">
        <f t="shared" si="30"/>
        <v>0</v>
      </c>
      <c r="BR64" s="35">
        <f t="shared" si="31"/>
        <v>0</v>
      </c>
      <c r="BS64" s="35">
        <f t="shared" si="32"/>
        <v>0</v>
      </c>
      <c r="BT64" s="43">
        <f t="shared" si="33"/>
        <v>0</v>
      </c>
    </row>
    <row r="65" spans="1:72">
      <c r="A65" s="9"/>
      <c r="B65" s="34"/>
      <c r="C65" s="34"/>
      <c r="D65" s="2205"/>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06"/>
      <c r="AV65" s="1783">
        <f t="shared" si="12"/>
        <v>0</v>
      </c>
      <c r="AW65" s="1783">
        <f t="shared" si="13"/>
        <v>0</v>
      </c>
      <c r="AX65" s="1783">
        <f t="shared" si="36"/>
        <v>0</v>
      </c>
      <c r="AY65" s="42">
        <f t="shared" si="14"/>
        <v>0</v>
      </c>
      <c r="AZ65" s="35">
        <f t="shared" si="15"/>
        <v>0</v>
      </c>
      <c r="BA65" s="35">
        <f t="shared" si="16"/>
        <v>0</v>
      </c>
      <c r="BB65" s="35">
        <f t="shared" si="17"/>
        <v>0</v>
      </c>
      <c r="BC65" s="35">
        <f t="shared" si="34"/>
        <v>0</v>
      </c>
      <c r="BD65" s="35">
        <f t="shared" si="18"/>
        <v>0</v>
      </c>
      <c r="BE65" s="35">
        <f t="shared" si="35"/>
        <v>0</v>
      </c>
      <c r="BF65" s="35">
        <f t="shared" si="19"/>
        <v>0</v>
      </c>
      <c r="BG65" s="35">
        <f t="shared" si="20"/>
        <v>0</v>
      </c>
      <c r="BH65" s="35">
        <f t="shared" si="21"/>
        <v>0</v>
      </c>
      <c r="BI65" s="35">
        <f t="shared" si="22"/>
        <v>0</v>
      </c>
      <c r="BJ65" s="35">
        <f t="shared" si="23"/>
        <v>0</v>
      </c>
      <c r="BK65" s="35">
        <f t="shared" si="24"/>
        <v>0</v>
      </c>
      <c r="BL65" s="35">
        <f t="shared" si="25"/>
        <v>0</v>
      </c>
      <c r="BM65" s="35">
        <f t="shared" si="26"/>
        <v>0</v>
      </c>
      <c r="BN65" s="35">
        <f t="shared" si="27"/>
        <v>0</v>
      </c>
      <c r="BO65" s="35">
        <f t="shared" si="28"/>
        <v>0</v>
      </c>
      <c r="BP65" s="35">
        <f t="shared" si="29"/>
        <v>0</v>
      </c>
      <c r="BQ65" s="35">
        <f t="shared" si="30"/>
        <v>0</v>
      </c>
      <c r="BR65" s="35">
        <f t="shared" si="31"/>
        <v>0</v>
      </c>
      <c r="BS65" s="35">
        <f t="shared" si="32"/>
        <v>0</v>
      </c>
      <c r="BT65" s="43">
        <f t="shared" si="33"/>
        <v>0</v>
      </c>
    </row>
    <row r="66" spans="1:72">
      <c r="A66" s="9"/>
      <c r="B66" s="34"/>
      <c r="C66" s="34"/>
      <c r="D66" s="2205"/>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06"/>
      <c r="AV66" s="1783">
        <f t="shared" si="12"/>
        <v>0</v>
      </c>
      <c r="AW66" s="1783">
        <f t="shared" si="13"/>
        <v>0</v>
      </c>
      <c r="AX66" s="1783">
        <f t="shared" si="36"/>
        <v>0</v>
      </c>
      <c r="AY66" s="42">
        <f t="shared" si="14"/>
        <v>0</v>
      </c>
      <c r="AZ66" s="35">
        <f t="shared" si="15"/>
        <v>0</v>
      </c>
      <c r="BA66" s="35">
        <f t="shared" si="16"/>
        <v>0</v>
      </c>
      <c r="BB66" s="35">
        <f t="shared" si="17"/>
        <v>0</v>
      </c>
      <c r="BC66" s="35">
        <f t="shared" si="34"/>
        <v>0</v>
      </c>
      <c r="BD66" s="35">
        <f t="shared" si="18"/>
        <v>0</v>
      </c>
      <c r="BE66" s="35">
        <f t="shared" si="35"/>
        <v>0</v>
      </c>
      <c r="BF66" s="35">
        <f t="shared" si="19"/>
        <v>0</v>
      </c>
      <c r="BG66" s="35">
        <f t="shared" si="20"/>
        <v>0</v>
      </c>
      <c r="BH66" s="35">
        <f t="shared" si="21"/>
        <v>0</v>
      </c>
      <c r="BI66" s="35">
        <f t="shared" si="22"/>
        <v>0</v>
      </c>
      <c r="BJ66" s="35">
        <f t="shared" si="23"/>
        <v>0</v>
      </c>
      <c r="BK66" s="35">
        <f t="shared" si="24"/>
        <v>0</v>
      </c>
      <c r="BL66" s="35">
        <f t="shared" si="25"/>
        <v>0</v>
      </c>
      <c r="BM66" s="35">
        <f t="shared" si="26"/>
        <v>0</v>
      </c>
      <c r="BN66" s="35">
        <f t="shared" si="27"/>
        <v>0</v>
      </c>
      <c r="BO66" s="35">
        <f t="shared" si="28"/>
        <v>0</v>
      </c>
      <c r="BP66" s="35">
        <f t="shared" si="29"/>
        <v>0</v>
      </c>
      <c r="BQ66" s="35">
        <f t="shared" si="30"/>
        <v>0</v>
      </c>
      <c r="BR66" s="35">
        <f t="shared" si="31"/>
        <v>0</v>
      </c>
      <c r="BS66" s="35">
        <f t="shared" si="32"/>
        <v>0</v>
      </c>
      <c r="BT66" s="43">
        <f t="shared" si="33"/>
        <v>0</v>
      </c>
    </row>
    <row r="67" spans="1:72">
      <c r="A67" s="9"/>
      <c r="B67" s="34"/>
      <c r="C67" s="34"/>
      <c r="D67" s="2205"/>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06"/>
      <c r="AV67" s="1783">
        <f t="shared" si="12"/>
        <v>0</v>
      </c>
      <c r="AW67" s="1783">
        <f t="shared" si="13"/>
        <v>0</v>
      </c>
      <c r="AX67" s="1783">
        <f t="shared" si="36"/>
        <v>0</v>
      </c>
      <c r="AY67" s="42">
        <f t="shared" si="14"/>
        <v>0</v>
      </c>
      <c r="AZ67" s="35">
        <f t="shared" si="15"/>
        <v>0</v>
      </c>
      <c r="BA67" s="35">
        <f t="shared" si="16"/>
        <v>0</v>
      </c>
      <c r="BB67" s="35">
        <f t="shared" si="17"/>
        <v>0</v>
      </c>
      <c r="BC67" s="35">
        <f t="shared" si="34"/>
        <v>0</v>
      </c>
      <c r="BD67" s="35">
        <f t="shared" si="18"/>
        <v>0</v>
      </c>
      <c r="BE67" s="35">
        <f t="shared" si="35"/>
        <v>0</v>
      </c>
      <c r="BF67" s="35">
        <f t="shared" si="19"/>
        <v>0</v>
      </c>
      <c r="BG67" s="35">
        <f t="shared" si="20"/>
        <v>0</v>
      </c>
      <c r="BH67" s="35">
        <f t="shared" si="21"/>
        <v>0</v>
      </c>
      <c r="BI67" s="35">
        <f t="shared" si="22"/>
        <v>0</v>
      </c>
      <c r="BJ67" s="35">
        <f t="shared" si="23"/>
        <v>0</v>
      </c>
      <c r="BK67" s="35">
        <f t="shared" si="24"/>
        <v>0</v>
      </c>
      <c r="BL67" s="35">
        <f t="shared" si="25"/>
        <v>0</v>
      </c>
      <c r="BM67" s="35">
        <f t="shared" si="26"/>
        <v>0</v>
      </c>
      <c r="BN67" s="35">
        <f t="shared" si="27"/>
        <v>0</v>
      </c>
      <c r="BO67" s="35">
        <f t="shared" si="28"/>
        <v>0</v>
      </c>
      <c r="BP67" s="35">
        <f t="shared" si="29"/>
        <v>0</v>
      </c>
      <c r="BQ67" s="35">
        <f t="shared" si="30"/>
        <v>0</v>
      </c>
      <c r="BR67" s="35">
        <f t="shared" si="31"/>
        <v>0</v>
      </c>
      <c r="BS67" s="35">
        <f t="shared" si="32"/>
        <v>0</v>
      </c>
      <c r="BT67" s="43">
        <f t="shared" si="33"/>
        <v>0</v>
      </c>
    </row>
    <row r="68" spans="1:72">
      <c r="A68" s="9"/>
      <c r="B68" s="34"/>
      <c r="C68" s="34"/>
      <c r="D68" s="2205"/>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06"/>
      <c r="AV68" s="1783">
        <f t="shared" si="12"/>
        <v>0</v>
      </c>
      <c r="AW68" s="1783">
        <f t="shared" si="13"/>
        <v>0</v>
      </c>
      <c r="AX68" s="1783">
        <f t="shared" si="36"/>
        <v>0</v>
      </c>
      <c r="AY68" s="42">
        <f t="shared" si="14"/>
        <v>0</v>
      </c>
      <c r="AZ68" s="35">
        <f t="shared" si="15"/>
        <v>0</v>
      </c>
      <c r="BA68" s="35">
        <f t="shared" si="16"/>
        <v>0</v>
      </c>
      <c r="BB68" s="35">
        <f t="shared" si="17"/>
        <v>0</v>
      </c>
      <c r="BC68" s="35">
        <f t="shared" si="34"/>
        <v>0</v>
      </c>
      <c r="BD68" s="35">
        <f t="shared" si="18"/>
        <v>0</v>
      </c>
      <c r="BE68" s="35">
        <f t="shared" si="35"/>
        <v>0</v>
      </c>
      <c r="BF68" s="35">
        <f t="shared" si="19"/>
        <v>0</v>
      </c>
      <c r="BG68" s="35">
        <f t="shared" si="20"/>
        <v>0</v>
      </c>
      <c r="BH68" s="35">
        <f t="shared" si="21"/>
        <v>0</v>
      </c>
      <c r="BI68" s="35">
        <f t="shared" si="22"/>
        <v>0</v>
      </c>
      <c r="BJ68" s="35">
        <f t="shared" si="23"/>
        <v>0</v>
      </c>
      <c r="BK68" s="35">
        <f t="shared" si="24"/>
        <v>0</v>
      </c>
      <c r="BL68" s="35">
        <f t="shared" si="25"/>
        <v>0</v>
      </c>
      <c r="BM68" s="35">
        <f t="shared" si="26"/>
        <v>0</v>
      </c>
      <c r="BN68" s="35">
        <f t="shared" si="27"/>
        <v>0</v>
      </c>
      <c r="BO68" s="35">
        <f t="shared" si="28"/>
        <v>0</v>
      </c>
      <c r="BP68" s="35">
        <f t="shared" si="29"/>
        <v>0</v>
      </c>
      <c r="BQ68" s="35">
        <f t="shared" si="30"/>
        <v>0</v>
      </c>
      <c r="BR68" s="35">
        <f t="shared" si="31"/>
        <v>0</v>
      </c>
      <c r="BS68" s="35">
        <f t="shared" si="32"/>
        <v>0</v>
      </c>
      <c r="BT68" s="43">
        <f t="shared" si="33"/>
        <v>0</v>
      </c>
    </row>
    <row r="69" spans="1:72">
      <c r="A69" s="9"/>
      <c r="B69" s="34"/>
      <c r="C69" s="34"/>
      <c r="D69" s="2205"/>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06"/>
      <c r="AV69" s="1783">
        <f t="shared" si="12"/>
        <v>0</v>
      </c>
      <c r="AW69" s="1783">
        <f t="shared" si="13"/>
        <v>0</v>
      </c>
      <c r="AX69" s="1783">
        <f t="shared" si="36"/>
        <v>0</v>
      </c>
      <c r="AY69" s="42">
        <f t="shared" si="14"/>
        <v>0</v>
      </c>
      <c r="AZ69" s="35">
        <f t="shared" si="15"/>
        <v>0</v>
      </c>
      <c r="BA69" s="35">
        <f t="shared" si="16"/>
        <v>0</v>
      </c>
      <c r="BB69" s="35">
        <f t="shared" si="17"/>
        <v>0</v>
      </c>
      <c r="BC69" s="35">
        <f t="shared" si="34"/>
        <v>0</v>
      </c>
      <c r="BD69" s="35">
        <f t="shared" si="18"/>
        <v>0</v>
      </c>
      <c r="BE69" s="35">
        <f t="shared" si="35"/>
        <v>0</v>
      </c>
      <c r="BF69" s="35">
        <f t="shared" si="19"/>
        <v>0</v>
      </c>
      <c r="BG69" s="35">
        <f t="shared" si="20"/>
        <v>0</v>
      </c>
      <c r="BH69" s="35">
        <f t="shared" si="21"/>
        <v>0</v>
      </c>
      <c r="BI69" s="35">
        <f t="shared" si="22"/>
        <v>0</v>
      </c>
      <c r="BJ69" s="35">
        <f t="shared" si="23"/>
        <v>0</v>
      </c>
      <c r="BK69" s="35">
        <f t="shared" si="24"/>
        <v>0</v>
      </c>
      <c r="BL69" s="35">
        <f t="shared" si="25"/>
        <v>0</v>
      </c>
      <c r="BM69" s="35">
        <f t="shared" si="26"/>
        <v>0</v>
      </c>
      <c r="BN69" s="35">
        <f t="shared" si="27"/>
        <v>0</v>
      </c>
      <c r="BO69" s="35">
        <f t="shared" si="28"/>
        <v>0</v>
      </c>
      <c r="BP69" s="35">
        <f t="shared" si="29"/>
        <v>0</v>
      </c>
      <c r="BQ69" s="35">
        <f t="shared" si="30"/>
        <v>0</v>
      </c>
      <c r="BR69" s="35">
        <f t="shared" si="31"/>
        <v>0</v>
      </c>
      <c r="BS69" s="35">
        <f t="shared" si="32"/>
        <v>0</v>
      </c>
      <c r="BT69" s="43">
        <f t="shared" si="33"/>
        <v>0</v>
      </c>
    </row>
    <row r="70" spans="1:72">
      <c r="A70" s="9"/>
      <c r="B70" s="34"/>
      <c r="C70" s="34"/>
      <c r="D70" s="2205"/>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06"/>
      <c r="AV70" s="1783">
        <f t="shared" si="12"/>
        <v>0</v>
      </c>
      <c r="AW70" s="1783">
        <f t="shared" si="13"/>
        <v>0</v>
      </c>
      <c r="AX70" s="1783">
        <f t="shared" si="36"/>
        <v>0</v>
      </c>
      <c r="AY70" s="42">
        <f t="shared" si="14"/>
        <v>0</v>
      </c>
      <c r="AZ70" s="35">
        <f t="shared" si="15"/>
        <v>0</v>
      </c>
      <c r="BA70" s="35">
        <f t="shared" si="16"/>
        <v>0</v>
      </c>
      <c r="BB70" s="35">
        <f t="shared" si="17"/>
        <v>0</v>
      </c>
      <c r="BC70" s="35">
        <f t="shared" si="34"/>
        <v>0</v>
      </c>
      <c r="BD70" s="35">
        <f t="shared" si="18"/>
        <v>0</v>
      </c>
      <c r="BE70" s="35">
        <f t="shared" si="35"/>
        <v>0</v>
      </c>
      <c r="BF70" s="35">
        <f t="shared" si="19"/>
        <v>0</v>
      </c>
      <c r="BG70" s="35">
        <f t="shared" si="20"/>
        <v>0</v>
      </c>
      <c r="BH70" s="35">
        <f t="shared" si="21"/>
        <v>0</v>
      </c>
      <c r="BI70" s="35">
        <f t="shared" si="22"/>
        <v>0</v>
      </c>
      <c r="BJ70" s="35">
        <f t="shared" si="23"/>
        <v>0</v>
      </c>
      <c r="BK70" s="35">
        <f t="shared" si="24"/>
        <v>0</v>
      </c>
      <c r="BL70" s="35">
        <f t="shared" si="25"/>
        <v>0</v>
      </c>
      <c r="BM70" s="35">
        <f t="shared" si="26"/>
        <v>0</v>
      </c>
      <c r="BN70" s="35">
        <f t="shared" si="27"/>
        <v>0</v>
      </c>
      <c r="BO70" s="35">
        <f t="shared" si="28"/>
        <v>0</v>
      </c>
      <c r="BP70" s="35">
        <f t="shared" si="29"/>
        <v>0</v>
      </c>
      <c r="BQ70" s="35">
        <f t="shared" si="30"/>
        <v>0</v>
      </c>
      <c r="BR70" s="35">
        <f t="shared" si="31"/>
        <v>0</v>
      </c>
      <c r="BS70" s="35">
        <f t="shared" si="32"/>
        <v>0</v>
      </c>
      <c r="BT70" s="43">
        <f t="shared" si="33"/>
        <v>0</v>
      </c>
    </row>
    <row r="71" spans="1:72">
      <c r="A71" s="9"/>
      <c r="B71" s="34"/>
      <c r="C71" s="34"/>
      <c r="D71" s="2205"/>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06"/>
      <c r="AV71" s="1783">
        <f t="shared" si="12"/>
        <v>0</v>
      </c>
      <c r="AW71" s="1783">
        <f t="shared" si="13"/>
        <v>0</v>
      </c>
      <c r="AX71" s="1783">
        <f t="shared" si="36"/>
        <v>0</v>
      </c>
      <c r="AY71" s="42">
        <f t="shared" si="14"/>
        <v>0</v>
      </c>
      <c r="AZ71" s="35">
        <f t="shared" si="15"/>
        <v>0</v>
      </c>
      <c r="BA71" s="35">
        <f t="shared" si="16"/>
        <v>0</v>
      </c>
      <c r="BB71" s="35">
        <f t="shared" si="17"/>
        <v>0</v>
      </c>
      <c r="BC71" s="35">
        <f t="shared" si="34"/>
        <v>0</v>
      </c>
      <c r="BD71" s="35">
        <f t="shared" si="18"/>
        <v>0</v>
      </c>
      <c r="BE71" s="35">
        <f t="shared" si="35"/>
        <v>0</v>
      </c>
      <c r="BF71" s="35">
        <f t="shared" si="19"/>
        <v>0</v>
      </c>
      <c r="BG71" s="35">
        <f t="shared" si="20"/>
        <v>0</v>
      </c>
      <c r="BH71" s="35">
        <f t="shared" si="21"/>
        <v>0</v>
      </c>
      <c r="BI71" s="35">
        <f t="shared" si="22"/>
        <v>0</v>
      </c>
      <c r="BJ71" s="35">
        <f t="shared" si="23"/>
        <v>0</v>
      </c>
      <c r="BK71" s="35">
        <f t="shared" si="24"/>
        <v>0</v>
      </c>
      <c r="BL71" s="35">
        <f t="shared" si="25"/>
        <v>0</v>
      </c>
      <c r="BM71" s="35">
        <f t="shared" si="26"/>
        <v>0</v>
      </c>
      <c r="BN71" s="35">
        <f t="shared" si="27"/>
        <v>0</v>
      </c>
      <c r="BO71" s="35">
        <f t="shared" si="28"/>
        <v>0</v>
      </c>
      <c r="BP71" s="35">
        <f t="shared" si="29"/>
        <v>0</v>
      </c>
      <c r="BQ71" s="35">
        <f t="shared" si="30"/>
        <v>0</v>
      </c>
      <c r="BR71" s="35">
        <f t="shared" si="31"/>
        <v>0</v>
      </c>
      <c r="BS71" s="35">
        <f t="shared" si="32"/>
        <v>0</v>
      </c>
      <c r="BT71" s="43">
        <f t="shared" si="33"/>
        <v>0</v>
      </c>
    </row>
    <row r="72" spans="1:72">
      <c r="A72" s="9"/>
      <c r="B72" s="34"/>
      <c r="C72" s="34"/>
      <c r="D72" s="2205"/>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06"/>
      <c r="AV72" s="1783">
        <f t="shared" si="12"/>
        <v>0</v>
      </c>
      <c r="AW72" s="1783">
        <f t="shared" si="13"/>
        <v>0</v>
      </c>
      <c r="AX72" s="1783">
        <f t="shared" si="36"/>
        <v>0</v>
      </c>
      <c r="AY72" s="42">
        <f t="shared" si="14"/>
        <v>0</v>
      </c>
      <c r="AZ72" s="35">
        <f t="shared" si="15"/>
        <v>0</v>
      </c>
      <c r="BA72" s="35">
        <f t="shared" si="16"/>
        <v>0</v>
      </c>
      <c r="BB72" s="35">
        <f t="shared" si="17"/>
        <v>0</v>
      </c>
      <c r="BC72" s="35">
        <f t="shared" si="34"/>
        <v>0</v>
      </c>
      <c r="BD72" s="35">
        <f t="shared" si="18"/>
        <v>0</v>
      </c>
      <c r="BE72" s="35">
        <f t="shared" si="35"/>
        <v>0</v>
      </c>
      <c r="BF72" s="35">
        <f t="shared" si="19"/>
        <v>0</v>
      </c>
      <c r="BG72" s="35">
        <f t="shared" si="20"/>
        <v>0</v>
      </c>
      <c r="BH72" s="35">
        <f t="shared" si="21"/>
        <v>0</v>
      </c>
      <c r="BI72" s="35">
        <f t="shared" si="22"/>
        <v>0</v>
      </c>
      <c r="BJ72" s="35">
        <f t="shared" si="23"/>
        <v>0</v>
      </c>
      <c r="BK72" s="35">
        <f t="shared" si="24"/>
        <v>0</v>
      </c>
      <c r="BL72" s="35">
        <f t="shared" si="25"/>
        <v>0</v>
      </c>
      <c r="BM72" s="35">
        <f t="shared" si="26"/>
        <v>0</v>
      </c>
      <c r="BN72" s="35">
        <f t="shared" si="27"/>
        <v>0</v>
      </c>
      <c r="BO72" s="35">
        <f t="shared" si="28"/>
        <v>0</v>
      </c>
      <c r="BP72" s="35">
        <f t="shared" si="29"/>
        <v>0</v>
      </c>
      <c r="BQ72" s="35">
        <f t="shared" si="30"/>
        <v>0</v>
      </c>
      <c r="BR72" s="35">
        <f t="shared" si="31"/>
        <v>0</v>
      </c>
      <c r="BS72" s="35">
        <f t="shared" si="32"/>
        <v>0</v>
      </c>
      <c r="BT72" s="43">
        <f t="shared" si="33"/>
        <v>0</v>
      </c>
    </row>
    <row r="73" spans="1:72">
      <c r="A73" s="9"/>
      <c r="B73" s="34"/>
      <c r="C73" s="34"/>
      <c r="D73" s="2205"/>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06"/>
      <c r="AV73" s="1783">
        <f t="shared" si="12"/>
        <v>0</v>
      </c>
      <c r="AW73" s="1783">
        <f t="shared" si="13"/>
        <v>0</v>
      </c>
      <c r="AX73" s="1783">
        <f t="shared" si="36"/>
        <v>0</v>
      </c>
      <c r="AY73" s="42">
        <f t="shared" si="14"/>
        <v>0</v>
      </c>
      <c r="AZ73" s="35">
        <f t="shared" si="15"/>
        <v>0</v>
      </c>
      <c r="BA73" s="35">
        <f t="shared" si="16"/>
        <v>0</v>
      </c>
      <c r="BB73" s="35">
        <f t="shared" si="17"/>
        <v>0</v>
      </c>
      <c r="BC73" s="35">
        <f t="shared" si="34"/>
        <v>0</v>
      </c>
      <c r="BD73" s="35">
        <f t="shared" si="18"/>
        <v>0</v>
      </c>
      <c r="BE73" s="35">
        <f t="shared" si="35"/>
        <v>0</v>
      </c>
      <c r="BF73" s="35">
        <f t="shared" si="19"/>
        <v>0</v>
      </c>
      <c r="BG73" s="35">
        <f t="shared" si="20"/>
        <v>0</v>
      </c>
      <c r="BH73" s="35">
        <f t="shared" si="21"/>
        <v>0</v>
      </c>
      <c r="BI73" s="35">
        <f t="shared" si="22"/>
        <v>0</v>
      </c>
      <c r="BJ73" s="35">
        <f t="shared" si="23"/>
        <v>0</v>
      </c>
      <c r="BK73" s="35">
        <f t="shared" si="24"/>
        <v>0</v>
      </c>
      <c r="BL73" s="35">
        <f t="shared" si="25"/>
        <v>0</v>
      </c>
      <c r="BM73" s="35">
        <f t="shared" si="26"/>
        <v>0</v>
      </c>
      <c r="BN73" s="35">
        <f t="shared" si="27"/>
        <v>0</v>
      </c>
      <c r="BO73" s="35">
        <f t="shared" si="28"/>
        <v>0</v>
      </c>
      <c r="BP73" s="35">
        <f t="shared" si="29"/>
        <v>0</v>
      </c>
      <c r="BQ73" s="35">
        <f t="shared" si="30"/>
        <v>0</v>
      </c>
      <c r="BR73" s="35">
        <f t="shared" si="31"/>
        <v>0</v>
      </c>
      <c r="BS73" s="35">
        <f t="shared" si="32"/>
        <v>0</v>
      </c>
      <c r="BT73" s="43">
        <f t="shared" si="33"/>
        <v>0</v>
      </c>
    </row>
    <row r="74" spans="1:72">
      <c r="A74" s="9"/>
      <c r="B74" s="34"/>
      <c r="C74" s="34"/>
      <c r="D74" s="2205"/>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06"/>
      <c r="AV74" s="1783">
        <f t="shared" si="12"/>
        <v>0</v>
      </c>
      <c r="AW74" s="1783">
        <f t="shared" si="13"/>
        <v>0</v>
      </c>
      <c r="AX74" s="1783">
        <f t="shared" si="36"/>
        <v>0</v>
      </c>
      <c r="AY74" s="42">
        <f t="shared" si="14"/>
        <v>0</v>
      </c>
      <c r="AZ74" s="35">
        <f t="shared" si="15"/>
        <v>0</v>
      </c>
      <c r="BA74" s="35">
        <f t="shared" si="16"/>
        <v>0</v>
      </c>
      <c r="BB74" s="35">
        <f t="shared" si="17"/>
        <v>0</v>
      </c>
      <c r="BC74" s="35">
        <f t="shared" si="34"/>
        <v>0</v>
      </c>
      <c r="BD74" s="35">
        <f t="shared" si="18"/>
        <v>0</v>
      </c>
      <c r="BE74" s="35">
        <f t="shared" si="35"/>
        <v>0</v>
      </c>
      <c r="BF74" s="35">
        <f t="shared" si="19"/>
        <v>0</v>
      </c>
      <c r="BG74" s="35">
        <f t="shared" si="20"/>
        <v>0</v>
      </c>
      <c r="BH74" s="35">
        <f t="shared" si="21"/>
        <v>0</v>
      </c>
      <c r="BI74" s="35">
        <f t="shared" si="22"/>
        <v>0</v>
      </c>
      <c r="BJ74" s="35">
        <f t="shared" si="23"/>
        <v>0</v>
      </c>
      <c r="BK74" s="35">
        <f t="shared" si="24"/>
        <v>0</v>
      </c>
      <c r="BL74" s="35">
        <f t="shared" si="25"/>
        <v>0</v>
      </c>
      <c r="BM74" s="35">
        <f t="shared" si="26"/>
        <v>0</v>
      </c>
      <c r="BN74" s="35">
        <f t="shared" si="27"/>
        <v>0</v>
      </c>
      <c r="BO74" s="35">
        <f t="shared" si="28"/>
        <v>0</v>
      </c>
      <c r="BP74" s="35">
        <f t="shared" si="29"/>
        <v>0</v>
      </c>
      <c r="BQ74" s="35">
        <f t="shared" si="30"/>
        <v>0</v>
      </c>
      <c r="BR74" s="35">
        <f t="shared" si="31"/>
        <v>0</v>
      </c>
      <c r="BS74" s="35">
        <f t="shared" si="32"/>
        <v>0</v>
      </c>
      <c r="BT74" s="43">
        <f t="shared" si="33"/>
        <v>0</v>
      </c>
    </row>
    <row r="75" spans="1:72">
      <c r="A75" s="9"/>
      <c r="B75" s="34"/>
      <c r="C75" s="34"/>
      <c r="D75" s="2205"/>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06"/>
      <c r="AV75" s="1783">
        <f t="shared" si="12"/>
        <v>0</v>
      </c>
      <c r="AW75" s="1783">
        <f t="shared" si="13"/>
        <v>0</v>
      </c>
      <c r="AX75" s="1783">
        <f t="shared" si="36"/>
        <v>0</v>
      </c>
      <c r="AY75" s="42">
        <f t="shared" si="14"/>
        <v>0</v>
      </c>
      <c r="AZ75" s="35">
        <f t="shared" si="15"/>
        <v>0</v>
      </c>
      <c r="BA75" s="35">
        <f t="shared" si="16"/>
        <v>0</v>
      </c>
      <c r="BB75" s="35">
        <f t="shared" si="17"/>
        <v>0</v>
      </c>
      <c r="BC75" s="35">
        <f t="shared" si="34"/>
        <v>0</v>
      </c>
      <c r="BD75" s="35">
        <f t="shared" si="18"/>
        <v>0</v>
      </c>
      <c r="BE75" s="35">
        <f t="shared" si="35"/>
        <v>0</v>
      </c>
      <c r="BF75" s="35">
        <f t="shared" si="19"/>
        <v>0</v>
      </c>
      <c r="BG75" s="35">
        <f t="shared" si="20"/>
        <v>0</v>
      </c>
      <c r="BH75" s="35">
        <f t="shared" si="21"/>
        <v>0</v>
      </c>
      <c r="BI75" s="35">
        <f t="shared" si="22"/>
        <v>0</v>
      </c>
      <c r="BJ75" s="35">
        <f t="shared" si="23"/>
        <v>0</v>
      </c>
      <c r="BK75" s="35">
        <f t="shared" si="24"/>
        <v>0</v>
      </c>
      <c r="BL75" s="35">
        <f t="shared" si="25"/>
        <v>0</v>
      </c>
      <c r="BM75" s="35">
        <f t="shared" si="26"/>
        <v>0</v>
      </c>
      <c r="BN75" s="35">
        <f t="shared" si="27"/>
        <v>0</v>
      </c>
      <c r="BO75" s="35">
        <f t="shared" si="28"/>
        <v>0</v>
      </c>
      <c r="BP75" s="35">
        <f t="shared" si="29"/>
        <v>0</v>
      </c>
      <c r="BQ75" s="35">
        <f t="shared" si="30"/>
        <v>0</v>
      </c>
      <c r="BR75" s="35">
        <f t="shared" si="31"/>
        <v>0</v>
      </c>
      <c r="BS75" s="35">
        <f t="shared" si="32"/>
        <v>0</v>
      </c>
      <c r="BT75" s="43">
        <f t="shared" si="33"/>
        <v>0</v>
      </c>
    </row>
    <row r="76" spans="1:72">
      <c r="A76" s="9"/>
      <c r="B76" s="34"/>
      <c r="C76" s="34"/>
      <c r="D76" s="2205"/>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06"/>
      <c r="AV76" s="1783">
        <f t="shared" si="12"/>
        <v>0</v>
      </c>
      <c r="AW76" s="1783">
        <f t="shared" si="13"/>
        <v>0</v>
      </c>
      <c r="AX76" s="1783">
        <f t="shared" si="36"/>
        <v>0</v>
      </c>
      <c r="AY76" s="42">
        <f t="shared" si="14"/>
        <v>0</v>
      </c>
      <c r="AZ76" s="35">
        <f t="shared" si="15"/>
        <v>0</v>
      </c>
      <c r="BA76" s="35">
        <f t="shared" si="16"/>
        <v>0</v>
      </c>
      <c r="BB76" s="35">
        <f t="shared" si="17"/>
        <v>0</v>
      </c>
      <c r="BC76" s="35">
        <f t="shared" si="34"/>
        <v>0</v>
      </c>
      <c r="BD76" s="35">
        <f t="shared" si="18"/>
        <v>0</v>
      </c>
      <c r="BE76" s="35">
        <f t="shared" si="35"/>
        <v>0</v>
      </c>
      <c r="BF76" s="35">
        <f t="shared" si="19"/>
        <v>0</v>
      </c>
      <c r="BG76" s="35">
        <f t="shared" si="20"/>
        <v>0</v>
      </c>
      <c r="BH76" s="35">
        <f t="shared" si="21"/>
        <v>0</v>
      </c>
      <c r="BI76" s="35">
        <f t="shared" si="22"/>
        <v>0</v>
      </c>
      <c r="BJ76" s="35">
        <f t="shared" si="23"/>
        <v>0</v>
      </c>
      <c r="BK76" s="35">
        <f t="shared" si="24"/>
        <v>0</v>
      </c>
      <c r="BL76" s="35">
        <f t="shared" si="25"/>
        <v>0</v>
      </c>
      <c r="BM76" s="35">
        <f t="shared" si="26"/>
        <v>0</v>
      </c>
      <c r="BN76" s="35">
        <f t="shared" si="27"/>
        <v>0</v>
      </c>
      <c r="BO76" s="35">
        <f t="shared" si="28"/>
        <v>0</v>
      </c>
      <c r="BP76" s="35">
        <f t="shared" si="29"/>
        <v>0</v>
      </c>
      <c r="BQ76" s="35">
        <f t="shared" si="30"/>
        <v>0</v>
      </c>
      <c r="BR76" s="35">
        <f t="shared" si="31"/>
        <v>0</v>
      </c>
      <c r="BS76" s="35">
        <f t="shared" si="32"/>
        <v>0</v>
      </c>
      <c r="BT76" s="43">
        <f t="shared" si="33"/>
        <v>0</v>
      </c>
    </row>
    <row r="77" spans="1:72">
      <c r="A77" s="9"/>
      <c r="B77" s="34"/>
      <c r="C77" s="34"/>
      <c r="D77" s="2205"/>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06"/>
      <c r="AV77" s="1783">
        <f t="shared" si="12"/>
        <v>0</v>
      </c>
      <c r="AW77" s="1783">
        <f t="shared" si="13"/>
        <v>0</v>
      </c>
      <c r="AX77" s="1783">
        <f t="shared" si="36"/>
        <v>0</v>
      </c>
      <c r="AY77" s="42">
        <f t="shared" si="14"/>
        <v>0</v>
      </c>
      <c r="AZ77" s="35">
        <f t="shared" si="15"/>
        <v>0</v>
      </c>
      <c r="BA77" s="35">
        <f t="shared" si="16"/>
        <v>0</v>
      </c>
      <c r="BB77" s="35">
        <f t="shared" si="17"/>
        <v>0</v>
      </c>
      <c r="BC77" s="35">
        <f t="shared" si="34"/>
        <v>0</v>
      </c>
      <c r="BD77" s="35">
        <f t="shared" si="18"/>
        <v>0</v>
      </c>
      <c r="BE77" s="35">
        <f t="shared" si="35"/>
        <v>0</v>
      </c>
      <c r="BF77" s="35">
        <f t="shared" si="19"/>
        <v>0</v>
      </c>
      <c r="BG77" s="35">
        <f t="shared" si="20"/>
        <v>0</v>
      </c>
      <c r="BH77" s="35">
        <f t="shared" si="21"/>
        <v>0</v>
      </c>
      <c r="BI77" s="35">
        <f t="shared" si="22"/>
        <v>0</v>
      </c>
      <c r="BJ77" s="35">
        <f t="shared" si="23"/>
        <v>0</v>
      </c>
      <c r="BK77" s="35">
        <f t="shared" si="24"/>
        <v>0</v>
      </c>
      <c r="BL77" s="35">
        <f t="shared" si="25"/>
        <v>0</v>
      </c>
      <c r="BM77" s="35">
        <f t="shared" si="26"/>
        <v>0</v>
      </c>
      <c r="BN77" s="35">
        <f t="shared" si="27"/>
        <v>0</v>
      </c>
      <c r="BO77" s="35">
        <f t="shared" si="28"/>
        <v>0</v>
      </c>
      <c r="BP77" s="35">
        <f t="shared" si="29"/>
        <v>0</v>
      </c>
      <c r="BQ77" s="35">
        <f t="shared" si="30"/>
        <v>0</v>
      </c>
      <c r="BR77" s="35">
        <f t="shared" si="31"/>
        <v>0</v>
      </c>
      <c r="BS77" s="35">
        <f t="shared" si="32"/>
        <v>0</v>
      </c>
      <c r="BT77" s="43">
        <f t="shared" si="33"/>
        <v>0</v>
      </c>
    </row>
    <row r="78" spans="1:72">
      <c r="A78" s="9"/>
      <c r="B78" s="34"/>
      <c r="C78" s="34"/>
      <c r="D78" s="2205"/>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06"/>
      <c r="AV78" s="1783">
        <f t="shared" si="12"/>
        <v>0</v>
      </c>
      <c r="AW78" s="1783">
        <f t="shared" si="13"/>
        <v>0</v>
      </c>
      <c r="AX78" s="1783">
        <f t="shared" si="36"/>
        <v>0</v>
      </c>
      <c r="AY78" s="42">
        <f t="shared" si="14"/>
        <v>0</v>
      </c>
      <c r="AZ78" s="35">
        <f t="shared" si="15"/>
        <v>0</v>
      </c>
      <c r="BA78" s="35">
        <f t="shared" si="16"/>
        <v>0</v>
      </c>
      <c r="BB78" s="35">
        <f t="shared" si="17"/>
        <v>0</v>
      </c>
      <c r="BC78" s="35">
        <f t="shared" si="34"/>
        <v>0</v>
      </c>
      <c r="BD78" s="35">
        <f t="shared" si="18"/>
        <v>0</v>
      </c>
      <c r="BE78" s="35">
        <f t="shared" si="35"/>
        <v>0</v>
      </c>
      <c r="BF78" s="35">
        <f t="shared" si="19"/>
        <v>0</v>
      </c>
      <c r="BG78" s="35">
        <f t="shared" si="20"/>
        <v>0</v>
      </c>
      <c r="BH78" s="35">
        <f t="shared" si="21"/>
        <v>0</v>
      </c>
      <c r="BI78" s="35">
        <f t="shared" si="22"/>
        <v>0</v>
      </c>
      <c r="BJ78" s="35">
        <f t="shared" si="23"/>
        <v>0</v>
      </c>
      <c r="BK78" s="35">
        <f t="shared" si="24"/>
        <v>0</v>
      </c>
      <c r="BL78" s="35">
        <f t="shared" si="25"/>
        <v>0</v>
      </c>
      <c r="BM78" s="35">
        <f t="shared" si="26"/>
        <v>0</v>
      </c>
      <c r="BN78" s="35">
        <f t="shared" si="27"/>
        <v>0</v>
      </c>
      <c r="BO78" s="35">
        <f t="shared" si="28"/>
        <v>0</v>
      </c>
      <c r="BP78" s="35">
        <f t="shared" si="29"/>
        <v>0</v>
      </c>
      <c r="BQ78" s="35">
        <f t="shared" si="30"/>
        <v>0</v>
      </c>
      <c r="BR78" s="35">
        <f t="shared" si="31"/>
        <v>0</v>
      </c>
      <c r="BS78" s="35">
        <f t="shared" si="32"/>
        <v>0</v>
      </c>
      <c r="BT78" s="43">
        <f t="shared" si="33"/>
        <v>0</v>
      </c>
    </row>
    <row r="79" spans="1:72">
      <c r="A79" s="9"/>
      <c r="B79" s="34"/>
      <c r="C79" s="34"/>
      <c r="D79" s="2205"/>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06"/>
      <c r="AV79" s="1783">
        <f t="shared" si="12"/>
        <v>0</v>
      </c>
      <c r="AW79" s="1783">
        <f t="shared" si="13"/>
        <v>0</v>
      </c>
      <c r="AX79" s="1783">
        <f t="shared" si="36"/>
        <v>0</v>
      </c>
      <c r="AY79" s="42">
        <f t="shared" si="14"/>
        <v>0</v>
      </c>
      <c r="AZ79" s="35">
        <f t="shared" si="15"/>
        <v>0</v>
      </c>
      <c r="BA79" s="35">
        <f t="shared" si="16"/>
        <v>0</v>
      </c>
      <c r="BB79" s="35">
        <f t="shared" si="17"/>
        <v>0</v>
      </c>
      <c r="BC79" s="35">
        <f t="shared" si="34"/>
        <v>0</v>
      </c>
      <c r="BD79" s="35">
        <f t="shared" si="18"/>
        <v>0</v>
      </c>
      <c r="BE79" s="35">
        <f t="shared" si="35"/>
        <v>0</v>
      </c>
      <c r="BF79" s="35">
        <f t="shared" si="19"/>
        <v>0</v>
      </c>
      <c r="BG79" s="35">
        <f t="shared" si="20"/>
        <v>0</v>
      </c>
      <c r="BH79" s="35">
        <f t="shared" si="21"/>
        <v>0</v>
      </c>
      <c r="BI79" s="35">
        <f t="shared" si="22"/>
        <v>0</v>
      </c>
      <c r="BJ79" s="35">
        <f t="shared" si="23"/>
        <v>0</v>
      </c>
      <c r="BK79" s="35">
        <f t="shared" si="24"/>
        <v>0</v>
      </c>
      <c r="BL79" s="35">
        <f t="shared" si="25"/>
        <v>0</v>
      </c>
      <c r="BM79" s="35">
        <f t="shared" si="26"/>
        <v>0</v>
      </c>
      <c r="BN79" s="35">
        <f t="shared" si="27"/>
        <v>0</v>
      </c>
      <c r="BO79" s="35">
        <f t="shared" si="28"/>
        <v>0</v>
      </c>
      <c r="BP79" s="35">
        <f t="shared" si="29"/>
        <v>0</v>
      </c>
      <c r="BQ79" s="35">
        <f t="shared" si="30"/>
        <v>0</v>
      </c>
      <c r="BR79" s="35">
        <f t="shared" si="31"/>
        <v>0</v>
      </c>
      <c r="BS79" s="35">
        <f t="shared" si="32"/>
        <v>0</v>
      </c>
      <c r="BT79" s="43">
        <f t="shared" si="33"/>
        <v>0</v>
      </c>
    </row>
    <row r="80" spans="1:72">
      <c r="A80" s="9"/>
      <c r="B80" s="34"/>
      <c r="C80" s="34"/>
      <c r="D80" s="2205"/>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06"/>
      <c r="AV80" s="1783">
        <f t="shared" si="12"/>
        <v>0</v>
      </c>
      <c r="AW80" s="1783">
        <f t="shared" si="13"/>
        <v>0</v>
      </c>
      <c r="AX80" s="1783">
        <f t="shared" si="36"/>
        <v>0</v>
      </c>
      <c r="AY80" s="42">
        <f t="shared" si="14"/>
        <v>0</v>
      </c>
      <c r="AZ80" s="35">
        <f t="shared" si="15"/>
        <v>0</v>
      </c>
      <c r="BA80" s="35">
        <f t="shared" si="16"/>
        <v>0</v>
      </c>
      <c r="BB80" s="35">
        <f t="shared" si="17"/>
        <v>0</v>
      </c>
      <c r="BC80" s="35">
        <f t="shared" si="34"/>
        <v>0</v>
      </c>
      <c r="BD80" s="35">
        <f t="shared" si="18"/>
        <v>0</v>
      </c>
      <c r="BE80" s="35">
        <f t="shared" si="35"/>
        <v>0</v>
      </c>
      <c r="BF80" s="35">
        <f t="shared" si="19"/>
        <v>0</v>
      </c>
      <c r="BG80" s="35">
        <f t="shared" si="20"/>
        <v>0</v>
      </c>
      <c r="BH80" s="35">
        <f t="shared" si="21"/>
        <v>0</v>
      </c>
      <c r="BI80" s="35">
        <f t="shared" si="22"/>
        <v>0</v>
      </c>
      <c r="BJ80" s="35">
        <f t="shared" si="23"/>
        <v>0</v>
      </c>
      <c r="BK80" s="35">
        <f t="shared" si="24"/>
        <v>0</v>
      </c>
      <c r="BL80" s="35">
        <f t="shared" si="25"/>
        <v>0</v>
      </c>
      <c r="BM80" s="35">
        <f t="shared" si="26"/>
        <v>0</v>
      </c>
      <c r="BN80" s="35">
        <f t="shared" si="27"/>
        <v>0</v>
      </c>
      <c r="BO80" s="35">
        <f t="shared" si="28"/>
        <v>0</v>
      </c>
      <c r="BP80" s="35">
        <f t="shared" si="29"/>
        <v>0</v>
      </c>
      <c r="BQ80" s="35">
        <f t="shared" si="30"/>
        <v>0</v>
      </c>
      <c r="BR80" s="35">
        <f t="shared" si="31"/>
        <v>0</v>
      </c>
      <c r="BS80" s="35">
        <f t="shared" si="32"/>
        <v>0</v>
      </c>
      <c r="BT80" s="43">
        <f t="shared" si="33"/>
        <v>0</v>
      </c>
    </row>
    <row r="81" spans="1:72">
      <c r="A81" s="9"/>
      <c r="B81" s="34"/>
      <c r="C81" s="34"/>
      <c r="D81" s="2205"/>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06"/>
      <c r="AV81" s="1783">
        <f t="shared" si="12"/>
        <v>0</v>
      </c>
      <c r="AW81" s="1783">
        <f t="shared" si="13"/>
        <v>0</v>
      </c>
      <c r="AX81" s="1783">
        <f t="shared" si="36"/>
        <v>0</v>
      </c>
      <c r="AY81" s="42">
        <f t="shared" si="14"/>
        <v>0</v>
      </c>
      <c r="AZ81" s="35">
        <f t="shared" si="15"/>
        <v>0</v>
      </c>
      <c r="BA81" s="35">
        <f t="shared" si="16"/>
        <v>0</v>
      </c>
      <c r="BB81" s="35">
        <f t="shared" si="17"/>
        <v>0</v>
      </c>
      <c r="BC81" s="35">
        <f t="shared" si="34"/>
        <v>0</v>
      </c>
      <c r="BD81" s="35">
        <f t="shared" si="18"/>
        <v>0</v>
      </c>
      <c r="BE81" s="35">
        <f t="shared" si="35"/>
        <v>0</v>
      </c>
      <c r="BF81" s="35">
        <f t="shared" si="19"/>
        <v>0</v>
      </c>
      <c r="BG81" s="35">
        <f t="shared" si="20"/>
        <v>0</v>
      </c>
      <c r="BH81" s="35">
        <f t="shared" si="21"/>
        <v>0</v>
      </c>
      <c r="BI81" s="35">
        <f t="shared" si="22"/>
        <v>0</v>
      </c>
      <c r="BJ81" s="35">
        <f t="shared" si="23"/>
        <v>0</v>
      </c>
      <c r="BK81" s="35">
        <f t="shared" si="24"/>
        <v>0</v>
      </c>
      <c r="BL81" s="35">
        <f t="shared" si="25"/>
        <v>0</v>
      </c>
      <c r="BM81" s="35">
        <f t="shared" si="26"/>
        <v>0</v>
      </c>
      <c r="BN81" s="35">
        <f t="shared" si="27"/>
        <v>0</v>
      </c>
      <c r="BO81" s="35">
        <f t="shared" si="28"/>
        <v>0</v>
      </c>
      <c r="BP81" s="35">
        <f t="shared" si="29"/>
        <v>0</v>
      </c>
      <c r="BQ81" s="35">
        <f t="shared" si="30"/>
        <v>0</v>
      </c>
      <c r="BR81" s="35">
        <f t="shared" si="31"/>
        <v>0</v>
      </c>
      <c r="BS81" s="35">
        <f t="shared" si="32"/>
        <v>0</v>
      </c>
      <c r="BT81" s="43">
        <f t="shared" si="33"/>
        <v>0</v>
      </c>
    </row>
    <row r="82" spans="1:72">
      <c r="A82" s="9"/>
      <c r="B82" s="34"/>
      <c r="C82" s="34"/>
      <c r="D82" s="2205"/>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06"/>
      <c r="AV82" s="1783">
        <f t="shared" si="12"/>
        <v>0</v>
      </c>
      <c r="AW82" s="1783">
        <f t="shared" si="13"/>
        <v>0</v>
      </c>
      <c r="AX82" s="1783">
        <f t="shared" si="36"/>
        <v>0</v>
      </c>
      <c r="AY82" s="42">
        <f t="shared" si="14"/>
        <v>0</v>
      </c>
      <c r="AZ82" s="35">
        <f t="shared" si="15"/>
        <v>0</v>
      </c>
      <c r="BA82" s="35">
        <f t="shared" si="16"/>
        <v>0</v>
      </c>
      <c r="BB82" s="35">
        <f t="shared" si="17"/>
        <v>0</v>
      </c>
      <c r="BC82" s="35">
        <f t="shared" si="34"/>
        <v>0</v>
      </c>
      <c r="BD82" s="35">
        <f t="shared" si="18"/>
        <v>0</v>
      </c>
      <c r="BE82" s="35">
        <f t="shared" si="35"/>
        <v>0</v>
      </c>
      <c r="BF82" s="35">
        <f t="shared" si="19"/>
        <v>0</v>
      </c>
      <c r="BG82" s="35">
        <f t="shared" si="20"/>
        <v>0</v>
      </c>
      <c r="BH82" s="35">
        <f t="shared" si="21"/>
        <v>0</v>
      </c>
      <c r="BI82" s="35">
        <f t="shared" si="22"/>
        <v>0</v>
      </c>
      <c r="BJ82" s="35">
        <f t="shared" si="23"/>
        <v>0</v>
      </c>
      <c r="BK82" s="35">
        <f t="shared" si="24"/>
        <v>0</v>
      </c>
      <c r="BL82" s="35">
        <f t="shared" si="25"/>
        <v>0</v>
      </c>
      <c r="BM82" s="35">
        <f t="shared" si="26"/>
        <v>0</v>
      </c>
      <c r="BN82" s="35">
        <f t="shared" si="27"/>
        <v>0</v>
      </c>
      <c r="BO82" s="35">
        <f t="shared" si="28"/>
        <v>0</v>
      </c>
      <c r="BP82" s="35">
        <f t="shared" si="29"/>
        <v>0</v>
      </c>
      <c r="BQ82" s="35">
        <f t="shared" si="30"/>
        <v>0</v>
      </c>
      <c r="BR82" s="35">
        <f t="shared" si="31"/>
        <v>0</v>
      </c>
      <c r="BS82" s="35">
        <f t="shared" si="32"/>
        <v>0</v>
      </c>
      <c r="BT82" s="43">
        <f t="shared" si="33"/>
        <v>0</v>
      </c>
    </row>
    <row r="83" spans="1:72">
      <c r="A83" s="9"/>
      <c r="B83" s="34"/>
      <c r="C83" s="34"/>
      <c r="D83" s="2205"/>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06"/>
      <c r="AV83" s="1783">
        <f t="shared" si="12"/>
        <v>0</v>
      </c>
      <c r="AW83" s="1783">
        <f t="shared" si="13"/>
        <v>0</v>
      </c>
      <c r="AX83" s="1783">
        <f t="shared" si="36"/>
        <v>0</v>
      </c>
      <c r="AY83" s="42">
        <f t="shared" si="14"/>
        <v>0</v>
      </c>
      <c r="AZ83" s="35">
        <f t="shared" si="15"/>
        <v>0</v>
      </c>
      <c r="BA83" s="35">
        <f t="shared" si="16"/>
        <v>0</v>
      </c>
      <c r="BB83" s="35">
        <f t="shared" si="17"/>
        <v>0</v>
      </c>
      <c r="BC83" s="35">
        <f t="shared" si="34"/>
        <v>0</v>
      </c>
      <c r="BD83" s="35">
        <f t="shared" si="18"/>
        <v>0</v>
      </c>
      <c r="BE83" s="35">
        <f t="shared" si="35"/>
        <v>0</v>
      </c>
      <c r="BF83" s="35">
        <f t="shared" si="19"/>
        <v>0</v>
      </c>
      <c r="BG83" s="35">
        <f t="shared" si="20"/>
        <v>0</v>
      </c>
      <c r="BH83" s="35">
        <f t="shared" si="21"/>
        <v>0</v>
      </c>
      <c r="BI83" s="35">
        <f t="shared" si="22"/>
        <v>0</v>
      </c>
      <c r="BJ83" s="35">
        <f t="shared" si="23"/>
        <v>0</v>
      </c>
      <c r="BK83" s="35">
        <f t="shared" si="24"/>
        <v>0</v>
      </c>
      <c r="BL83" s="35">
        <f t="shared" si="25"/>
        <v>0</v>
      </c>
      <c r="BM83" s="35">
        <f t="shared" si="26"/>
        <v>0</v>
      </c>
      <c r="BN83" s="35">
        <f t="shared" si="27"/>
        <v>0</v>
      </c>
      <c r="BO83" s="35">
        <f t="shared" si="28"/>
        <v>0</v>
      </c>
      <c r="BP83" s="35">
        <f t="shared" si="29"/>
        <v>0</v>
      </c>
      <c r="BQ83" s="35">
        <f t="shared" si="30"/>
        <v>0</v>
      </c>
      <c r="BR83" s="35">
        <f t="shared" si="31"/>
        <v>0</v>
      </c>
      <c r="BS83" s="35">
        <f t="shared" si="32"/>
        <v>0</v>
      </c>
      <c r="BT83" s="43">
        <f t="shared" si="33"/>
        <v>0</v>
      </c>
    </row>
    <row r="84" spans="1:72">
      <c r="A84" s="9"/>
      <c r="B84" s="34"/>
      <c r="C84" s="34"/>
      <c r="D84" s="2205"/>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06"/>
      <c r="AV84" s="1783">
        <f t="shared" si="12"/>
        <v>0</v>
      </c>
      <c r="AW84" s="1783">
        <f t="shared" si="13"/>
        <v>0</v>
      </c>
      <c r="AX84" s="1783">
        <f t="shared" si="36"/>
        <v>0</v>
      </c>
      <c r="AY84" s="42">
        <f t="shared" si="14"/>
        <v>0</v>
      </c>
      <c r="AZ84" s="35">
        <f t="shared" si="15"/>
        <v>0</v>
      </c>
      <c r="BA84" s="35">
        <f t="shared" si="16"/>
        <v>0</v>
      </c>
      <c r="BB84" s="35">
        <f t="shared" si="17"/>
        <v>0</v>
      </c>
      <c r="BC84" s="35">
        <f t="shared" si="34"/>
        <v>0</v>
      </c>
      <c r="BD84" s="35">
        <f t="shared" si="18"/>
        <v>0</v>
      </c>
      <c r="BE84" s="35">
        <f t="shared" si="35"/>
        <v>0</v>
      </c>
      <c r="BF84" s="35">
        <f t="shared" si="19"/>
        <v>0</v>
      </c>
      <c r="BG84" s="35">
        <f t="shared" si="20"/>
        <v>0</v>
      </c>
      <c r="BH84" s="35">
        <f t="shared" si="21"/>
        <v>0</v>
      </c>
      <c r="BI84" s="35">
        <f t="shared" si="22"/>
        <v>0</v>
      </c>
      <c r="BJ84" s="35">
        <f t="shared" si="23"/>
        <v>0</v>
      </c>
      <c r="BK84" s="35">
        <f t="shared" si="24"/>
        <v>0</v>
      </c>
      <c r="BL84" s="35">
        <f t="shared" si="25"/>
        <v>0</v>
      </c>
      <c r="BM84" s="35">
        <f t="shared" si="26"/>
        <v>0</v>
      </c>
      <c r="BN84" s="35">
        <f t="shared" si="27"/>
        <v>0</v>
      </c>
      <c r="BO84" s="35">
        <f t="shared" si="28"/>
        <v>0</v>
      </c>
      <c r="BP84" s="35">
        <f t="shared" si="29"/>
        <v>0</v>
      </c>
      <c r="BQ84" s="35">
        <f t="shared" si="30"/>
        <v>0</v>
      </c>
      <c r="BR84" s="35">
        <f t="shared" si="31"/>
        <v>0</v>
      </c>
      <c r="BS84" s="35">
        <f t="shared" si="32"/>
        <v>0</v>
      </c>
      <c r="BT84" s="43">
        <f t="shared" si="33"/>
        <v>0</v>
      </c>
    </row>
    <row r="85" spans="1:72">
      <c r="A85" s="9"/>
      <c r="B85" s="34"/>
      <c r="C85" s="34"/>
      <c r="D85" s="2205"/>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06"/>
      <c r="AV85" s="1783">
        <f t="shared" si="12"/>
        <v>0</v>
      </c>
      <c r="AW85" s="1783">
        <f t="shared" si="13"/>
        <v>0</v>
      </c>
      <c r="AX85" s="1783">
        <f t="shared" si="36"/>
        <v>0</v>
      </c>
      <c r="AY85" s="42">
        <f t="shared" si="14"/>
        <v>0</v>
      </c>
      <c r="AZ85" s="35">
        <f t="shared" si="15"/>
        <v>0</v>
      </c>
      <c r="BA85" s="35">
        <f t="shared" si="16"/>
        <v>0</v>
      </c>
      <c r="BB85" s="35">
        <f t="shared" si="17"/>
        <v>0</v>
      </c>
      <c r="BC85" s="35">
        <f t="shared" si="34"/>
        <v>0</v>
      </c>
      <c r="BD85" s="35">
        <f t="shared" si="18"/>
        <v>0</v>
      </c>
      <c r="BE85" s="35">
        <f t="shared" si="35"/>
        <v>0</v>
      </c>
      <c r="BF85" s="35">
        <f t="shared" si="19"/>
        <v>0</v>
      </c>
      <c r="BG85" s="35">
        <f t="shared" si="20"/>
        <v>0</v>
      </c>
      <c r="BH85" s="35">
        <f t="shared" si="21"/>
        <v>0</v>
      </c>
      <c r="BI85" s="35">
        <f t="shared" si="22"/>
        <v>0</v>
      </c>
      <c r="BJ85" s="35">
        <f t="shared" si="23"/>
        <v>0</v>
      </c>
      <c r="BK85" s="35">
        <f t="shared" si="24"/>
        <v>0</v>
      </c>
      <c r="BL85" s="35">
        <f t="shared" si="25"/>
        <v>0</v>
      </c>
      <c r="BM85" s="35">
        <f t="shared" si="26"/>
        <v>0</v>
      </c>
      <c r="BN85" s="35">
        <f t="shared" si="27"/>
        <v>0</v>
      </c>
      <c r="BO85" s="35">
        <f t="shared" si="28"/>
        <v>0</v>
      </c>
      <c r="BP85" s="35">
        <f t="shared" si="29"/>
        <v>0</v>
      </c>
      <c r="BQ85" s="35">
        <f t="shared" si="30"/>
        <v>0</v>
      </c>
      <c r="BR85" s="35">
        <f t="shared" si="31"/>
        <v>0</v>
      </c>
      <c r="BS85" s="35">
        <f t="shared" si="32"/>
        <v>0</v>
      </c>
      <c r="BT85" s="43">
        <f t="shared" si="33"/>
        <v>0</v>
      </c>
    </row>
    <row r="86" spans="1:72">
      <c r="A86" s="9"/>
      <c r="B86" s="34"/>
      <c r="C86" s="34"/>
      <c r="D86" s="2205"/>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06"/>
      <c r="AV86" s="1783">
        <f t="shared" si="12"/>
        <v>0</v>
      </c>
      <c r="AW86" s="1783">
        <f t="shared" si="13"/>
        <v>0</v>
      </c>
      <c r="AX86" s="1783">
        <f t="shared" si="36"/>
        <v>0</v>
      </c>
      <c r="AY86" s="42">
        <f t="shared" si="14"/>
        <v>0</v>
      </c>
      <c r="AZ86" s="35">
        <f t="shared" si="15"/>
        <v>0</v>
      </c>
      <c r="BA86" s="35">
        <f t="shared" si="16"/>
        <v>0</v>
      </c>
      <c r="BB86" s="35">
        <f t="shared" si="17"/>
        <v>0</v>
      </c>
      <c r="BC86" s="35">
        <f t="shared" si="34"/>
        <v>0</v>
      </c>
      <c r="BD86" s="35">
        <f t="shared" si="18"/>
        <v>0</v>
      </c>
      <c r="BE86" s="35">
        <f t="shared" si="35"/>
        <v>0</v>
      </c>
      <c r="BF86" s="35">
        <f t="shared" si="19"/>
        <v>0</v>
      </c>
      <c r="BG86" s="35">
        <f t="shared" si="20"/>
        <v>0</v>
      </c>
      <c r="BH86" s="35">
        <f t="shared" si="21"/>
        <v>0</v>
      </c>
      <c r="BI86" s="35">
        <f t="shared" si="22"/>
        <v>0</v>
      </c>
      <c r="BJ86" s="35">
        <f t="shared" si="23"/>
        <v>0</v>
      </c>
      <c r="BK86" s="35">
        <f t="shared" si="24"/>
        <v>0</v>
      </c>
      <c r="BL86" s="35">
        <f t="shared" si="25"/>
        <v>0</v>
      </c>
      <c r="BM86" s="35">
        <f t="shared" si="26"/>
        <v>0</v>
      </c>
      <c r="BN86" s="35">
        <f t="shared" si="27"/>
        <v>0</v>
      </c>
      <c r="BO86" s="35">
        <f t="shared" si="28"/>
        <v>0</v>
      </c>
      <c r="BP86" s="35">
        <f t="shared" si="29"/>
        <v>0</v>
      </c>
      <c r="BQ86" s="35">
        <f t="shared" si="30"/>
        <v>0</v>
      </c>
      <c r="BR86" s="35">
        <f t="shared" si="31"/>
        <v>0</v>
      </c>
      <c r="BS86" s="35">
        <f t="shared" si="32"/>
        <v>0</v>
      </c>
      <c r="BT86" s="43">
        <f t="shared" si="33"/>
        <v>0</v>
      </c>
    </row>
    <row r="87" spans="1:72">
      <c r="A87" s="9"/>
      <c r="B87" s="34"/>
      <c r="C87" s="34"/>
      <c r="D87" s="2205"/>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06"/>
      <c r="AV87" s="1783">
        <f t="shared" si="12"/>
        <v>0</v>
      </c>
      <c r="AW87" s="1783">
        <f t="shared" si="13"/>
        <v>0</v>
      </c>
      <c r="AX87" s="1783">
        <f t="shared" si="36"/>
        <v>0</v>
      </c>
      <c r="AY87" s="42">
        <f t="shared" si="14"/>
        <v>0</v>
      </c>
      <c r="AZ87" s="35">
        <f t="shared" si="15"/>
        <v>0</v>
      </c>
      <c r="BA87" s="35">
        <f t="shared" si="16"/>
        <v>0</v>
      </c>
      <c r="BB87" s="35">
        <f t="shared" si="17"/>
        <v>0</v>
      </c>
      <c r="BC87" s="35">
        <f t="shared" si="34"/>
        <v>0</v>
      </c>
      <c r="BD87" s="35">
        <f t="shared" si="18"/>
        <v>0</v>
      </c>
      <c r="BE87" s="35">
        <f t="shared" si="35"/>
        <v>0</v>
      </c>
      <c r="BF87" s="35">
        <f t="shared" si="19"/>
        <v>0</v>
      </c>
      <c r="BG87" s="35">
        <f t="shared" si="20"/>
        <v>0</v>
      </c>
      <c r="BH87" s="35">
        <f t="shared" si="21"/>
        <v>0</v>
      </c>
      <c r="BI87" s="35">
        <f t="shared" si="22"/>
        <v>0</v>
      </c>
      <c r="BJ87" s="35">
        <f t="shared" si="23"/>
        <v>0</v>
      </c>
      <c r="BK87" s="35">
        <f t="shared" si="24"/>
        <v>0</v>
      </c>
      <c r="BL87" s="35">
        <f t="shared" si="25"/>
        <v>0</v>
      </c>
      <c r="BM87" s="35">
        <f t="shared" si="26"/>
        <v>0</v>
      </c>
      <c r="BN87" s="35">
        <f t="shared" si="27"/>
        <v>0</v>
      </c>
      <c r="BO87" s="35">
        <f t="shared" si="28"/>
        <v>0</v>
      </c>
      <c r="BP87" s="35">
        <f t="shared" si="29"/>
        <v>0</v>
      </c>
      <c r="BQ87" s="35">
        <f t="shared" si="30"/>
        <v>0</v>
      </c>
      <c r="BR87" s="35">
        <f t="shared" si="31"/>
        <v>0</v>
      </c>
      <c r="BS87" s="35">
        <f t="shared" si="32"/>
        <v>0</v>
      </c>
      <c r="BT87" s="43">
        <f t="shared" si="33"/>
        <v>0</v>
      </c>
    </row>
    <row r="88" spans="1:72">
      <c r="A88" s="9"/>
      <c r="B88" s="34"/>
      <c r="C88" s="34"/>
      <c r="D88" s="2205"/>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06"/>
      <c r="AV88" s="1783">
        <f t="shared" si="12"/>
        <v>0</v>
      </c>
      <c r="AW88" s="1783">
        <f t="shared" si="13"/>
        <v>0</v>
      </c>
      <c r="AX88" s="1783">
        <f t="shared" si="36"/>
        <v>0</v>
      </c>
      <c r="AY88" s="42">
        <f t="shared" si="14"/>
        <v>0</v>
      </c>
      <c r="AZ88" s="35">
        <f t="shared" si="15"/>
        <v>0</v>
      </c>
      <c r="BA88" s="35">
        <f t="shared" si="16"/>
        <v>0</v>
      </c>
      <c r="BB88" s="35">
        <f t="shared" si="17"/>
        <v>0</v>
      </c>
      <c r="BC88" s="35">
        <f t="shared" si="34"/>
        <v>0</v>
      </c>
      <c r="BD88" s="35">
        <f t="shared" si="18"/>
        <v>0</v>
      </c>
      <c r="BE88" s="35">
        <f t="shared" si="35"/>
        <v>0</v>
      </c>
      <c r="BF88" s="35">
        <f t="shared" si="19"/>
        <v>0</v>
      </c>
      <c r="BG88" s="35">
        <f t="shared" si="20"/>
        <v>0</v>
      </c>
      <c r="BH88" s="35">
        <f t="shared" si="21"/>
        <v>0</v>
      </c>
      <c r="BI88" s="35">
        <f t="shared" si="22"/>
        <v>0</v>
      </c>
      <c r="BJ88" s="35">
        <f t="shared" si="23"/>
        <v>0</v>
      </c>
      <c r="BK88" s="35">
        <f t="shared" si="24"/>
        <v>0</v>
      </c>
      <c r="BL88" s="35">
        <f t="shared" si="25"/>
        <v>0</v>
      </c>
      <c r="BM88" s="35">
        <f t="shared" si="26"/>
        <v>0</v>
      </c>
      <c r="BN88" s="35">
        <f t="shared" si="27"/>
        <v>0</v>
      </c>
      <c r="BO88" s="35">
        <f t="shared" si="28"/>
        <v>0</v>
      </c>
      <c r="BP88" s="35">
        <f t="shared" si="29"/>
        <v>0</v>
      </c>
      <c r="BQ88" s="35">
        <f t="shared" si="30"/>
        <v>0</v>
      </c>
      <c r="BR88" s="35">
        <f t="shared" si="31"/>
        <v>0</v>
      </c>
      <c r="BS88" s="35">
        <f t="shared" si="32"/>
        <v>0</v>
      </c>
      <c r="BT88" s="43">
        <f t="shared" si="33"/>
        <v>0</v>
      </c>
    </row>
    <row r="89" spans="1:72">
      <c r="A89" s="9"/>
      <c r="B89" s="34"/>
      <c r="C89" s="34"/>
      <c r="D89" s="2205"/>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06"/>
      <c r="AV89" s="1783">
        <f t="shared" si="12"/>
        <v>0</v>
      </c>
      <c r="AW89" s="1783">
        <f t="shared" si="13"/>
        <v>0</v>
      </c>
      <c r="AX89" s="1783">
        <f t="shared" si="36"/>
        <v>0</v>
      </c>
      <c r="AY89" s="42">
        <f t="shared" si="14"/>
        <v>0</v>
      </c>
      <c r="AZ89" s="35">
        <f t="shared" si="15"/>
        <v>0</v>
      </c>
      <c r="BA89" s="35">
        <f t="shared" si="16"/>
        <v>0</v>
      </c>
      <c r="BB89" s="35">
        <f t="shared" si="17"/>
        <v>0</v>
      </c>
      <c r="BC89" s="35">
        <f t="shared" si="34"/>
        <v>0</v>
      </c>
      <c r="BD89" s="35">
        <f t="shared" si="18"/>
        <v>0</v>
      </c>
      <c r="BE89" s="35">
        <f t="shared" si="35"/>
        <v>0</v>
      </c>
      <c r="BF89" s="35">
        <f t="shared" si="19"/>
        <v>0</v>
      </c>
      <c r="BG89" s="35">
        <f t="shared" si="20"/>
        <v>0</v>
      </c>
      <c r="BH89" s="35">
        <f t="shared" si="21"/>
        <v>0</v>
      </c>
      <c r="BI89" s="35">
        <f t="shared" si="22"/>
        <v>0</v>
      </c>
      <c r="BJ89" s="35">
        <f t="shared" si="23"/>
        <v>0</v>
      </c>
      <c r="BK89" s="35">
        <f t="shared" si="24"/>
        <v>0</v>
      </c>
      <c r="BL89" s="35">
        <f t="shared" si="25"/>
        <v>0</v>
      </c>
      <c r="BM89" s="35">
        <f t="shared" si="26"/>
        <v>0</v>
      </c>
      <c r="BN89" s="35">
        <f t="shared" si="27"/>
        <v>0</v>
      </c>
      <c r="BO89" s="35">
        <f t="shared" si="28"/>
        <v>0</v>
      </c>
      <c r="BP89" s="35">
        <f t="shared" si="29"/>
        <v>0</v>
      </c>
      <c r="BQ89" s="35">
        <f t="shared" si="30"/>
        <v>0</v>
      </c>
      <c r="BR89" s="35">
        <f t="shared" si="31"/>
        <v>0</v>
      </c>
      <c r="BS89" s="35">
        <f t="shared" si="32"/>
        <v>0</v>
      </c>
      <c r="BT89" s="43">
        <f t="shared" si="33"/>
        <v>0</v>
      </c>
    </row>
    <row r="90" spans="1:72">
      <c r="A90" s="9"/>
      <c r="B90" s="34"/>
      <c r="C90" s="34"/>
      <c r="D90" s="2205"/>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06"/>
      <c r="AV90" s="1783">
        <f t="shared" si="12"/>
        <v>0</v>
      </c>
      <c r="AW90" s="1783">
        <f t="shared" si="13"/>
        <v>0</v>
      </c>
      <c r="AX90" s="1783">
        <f t="shared" si="36"/>
        <v>0</v>
      </c>
      <c r="AY90" s="42">
        <f t="shared" si="14"/>
        <v>0</v>
      </c>
      <c r="AZ90" s="35">
        <f t="shared" si="15"/>
        <v>0</v>
      </c>
      <c r="BA90" s="35">
        <f t="shared" si="16"/>
        <v>0</v>
      </c>
      <c r="BB90" s="35">
        <f t="shared" si="17"/>
        <v>0</v>
      </c>
      <c r="BC90" s="35">
        <f t="shared" si="34"/>
        <v>0</v>
      </c>
      <c r="BD90" s="35">
        <f t="shared" si="18"/>
        <v>0</v>
      </c>
      <c r="BE90" s="35">
        <f t="shared" si="35"/>
        <v>0</v>
      </c>
      <c r="BF90" s="35">
        <f t="shared" si="19"/>
        <v>0</v>
      </c>
      <c r="BG90" s="35">
        <f t="shared" si="20"/>
        <v>0</v>
      </c>
      <c r="BH90" s="35">
        <f t="shared" si="21"/>
        <v>0</v>
      </c>
      <c r="BI90" s="35">
        <f t="shared" si="22"/>
        <v>0</v>
      </c>
      <c r="BJ90" s="35">
        <f t="shared" si="23"/>
        <v>0</v>
      </c>
      <c r="BK90" s="35">
        <f t="shared" si="24"/>
        <v>0</v>
      </c>
      <c r="BL90" s="35">
        <f t="shared" si="25"/>
        <v>0</v>
      </c>
      <c r="BM90" s="35">
        <f t="shared" si="26"/>
        <v>0</v>
      </c>
      <c r="BN90" s="35">
        <f t="shared" si="27"/>
        <v>0</v>
      </c>
      <c r="BO90" s="35">
        <f t="shared" si="28"/>
        <v>0</v>
      </c>
      <c r="BP90" s="35">
        <f t="shared" si="29"/>
        <v>0</v>
      </c>
      <c r="BQ90" s="35">
        <f t="shared" si="30"/>
        <v>0</v>
      </c>
      <c r="BR90" s="35">
        <f t="shared" si="31"/>
        <v>0</v>
      </c>
      <c r="BS90" s="35">
        <f t="shared" si="32"/>
        <v>0</v>
      </c>
      <c r="BT90" s="43">
        <f t="shared" si="33"/>
        <v>0</v>
      </c>
    </row>
    <row r="91" spans="1:72">
      <c r="A91" s="9"/>
      <c r="B91" s="34"/>
      <c r="C91" s="34"/>
      <c r="D91" s="2205"/>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06"/>
      <c r="AV91" s="1783">
        <f t="shared" si="12"/>
        <v>0</v>
      </c>
      <c r="AW91" s="1783">
        <f t="shared" si="13"/>
        <v>0</v>
      </c>
      <c r="AX91" s="1783">
        <f t="shared" si="36"/>
        <v>0</v>
      </c>
      <c r="AY91" s="42">
        <f t="shared" si="14"/>
        <v>0</v>
      </c>
      <c r="AZ91" s="35">
        <f t="shared" si="15"/>
        <v>0</v>
      </c>
      <c r="BA91" s="35">
        <f t="shared" si="16"/>
        <v>0</v>
      </c>
      <c r="BB91" s="35">
        <f t="shared" si="17"/>
        <v>0</v>
      </c>
      <c r="BC91" s="35">
        <f t="shared" si="34"/>
        <v>0</v>
      </c>
      <c r="BD91" s="35">
        <f t="shared" si="18"/>
        <v>0</v>
      </c>
      <c r="BE91" s="35">
        <f t="shared" si="35"/>
        <v>0</v>
      </c>
      <c r="BF91" s="35">
        <f t="shared" si="19"/>
        <v>0</v>
      </c>
      <c r="BG91" s="35">
        <f t="shared" si="20"/>
        <v>0</v>
      </c>
      <c r="BH91" s="35">
        <f t="shared" si="21"/>
        <v>0</v>
      </c>
      <c r="BI91" s="35">
        <f t="shared" si="22"/>
        <v>0</v>
      </c>
      <c r="BJ91" s="35">
        <f t="shared" si="23"/>
        <v>0</v>
      </c>
      <c r="BK91" s="35">
        <f t="shared" si="24"/>
        <v>0</v>
      </c>
      <c r="BL91" s="35">
        <f t="shared" si="25"/>
        <v>0</v>
      </c>
      <c r="BM91" s="35">
        <f t="shared" si="26"/>
        <v>0</v>
      </c>
      <c r="BN91" s="35">
        <f t="shared" si="27"/>
        <v>0</v>
      </c>
      <c r="BO91" s="35">
        <f t="shared" si="28"/>
        <v>0</v>
      </c>
      <c r="BP91" s="35">
        <f t="shared" si="29"/>
        <v>0</v>
      </c>
      <c r="BQ91" s="35">
        <f t="shared" si="30"/>
        <v>0</v>
      </c>
      <c r="BR91" s="35">
        <f t="shared" si="31"/>
        <v>0</v>
      </c>
      <c r="BS91" s="35">
        <f t="shared" si="32"/>
        <v>0</v>
      </c>
      <c r="BT91" s="43">
        <f t="shared" si="33"/>
        <v>0</v>
      </c>
    </row>
    <row r="92" spans="1:72">
      <c r="A92" s="9"/>
      <c r="B92" s="34"/>
      <c r="C92" s="34"/>
      <c r="D92" s="2205"/>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06"/>
      <c r="AV92" s="1783">
        <f t="shared" si="12"/>
        <v>0</v>
      </c>
      <c r="AW92" s="1783">
        <f t="shared" si="13"/>
        <v>0</v>
      </c>
      <c r="AX92" s="1783">
        <f t="shared" si="36"/>
        <v>0</v>
      </c>
      <c r="AY92" s="42">
        <f t="shared" si="14"/>
        <v>0</v>
      </c>
      <c r="AZ92" s="35">
        <f t="shared" si="15"/>
        <v>0</v>
      </c>
      <c r="BA92" s="35">
        <f t="shared" si="16"/>
        <v>0</v>
      </c>
      <c r="BB92" s="35">
        <f t="shared" si="17"/>
        <v>0</v>
      </c>
      <c r="BC92" s="35">
        <f t="shared" si="34"/>
        <v>0</v>
      </c>
      <c r="BD92" s="35">
        <f t="shared" si="18"/>
        <v>0</v>
      </c>
      <c r="BE92" s="35">
        <f t="shared" si="35"/>
        <v>0</v>
      </c>
      <c r="BF92" s="35">
        <f t="shared" si="19"/>
        <v>0</v>
      </c>
      <c r="BG92" s="35">
        <f t="shared" si="20"/>
        <v>0</v>
      </c>
      <c r="BH92" s="35">
        <f t="shared" si="21"/>
        <v>0</v>
      </c>
      <c r="BI92" s="35">
        <f t="shared" si="22"/>
        <v>0</v>
      </c>
      <c r="BJ92" s="35">
        <f t="shared" si="23"/>
        <v>0</v>
      </c>
      <c r="BK92" s="35">
        <f t="shared" si="24"/>
        <v>0</v>
      </c>
      <c r="BL92" s="35">
        <f t="shared" si="25"/>
        <v>0</v>
      </c>
      <c r="BM92" s="35">
        <f t="shared" si="26"/>
        <v>0</v>
      </c>
      <c r="BN92" s="35">
        <f t="shared" si="27"/>
        <v>0</v>
      </c>
      <c r="BO92" s="35">
        <f t="shared" si="28"/>
        <v>0</v>
      </c>
      <c r="BP92" s="35">
        <f t="shared" si="29"/>
        <v>0</v>
      </c>
      <c r="BQ92" s="35">
        <f t="shared" si="30"/>
        <v>0</v>
      </c>
      <c r="BR92" s="35">
        <f t="shared" si="31"/>
        <v>0</v>
      </c>
      <c r="BS92" s="35">
        <f t="shared" si="32"/>
        <v>0</v>
      </c>
      <c r="BT92" s="43">
        <f t="shared" si="33"/>
        <v>0</v>
      </c>
    </row>
    <row r="93" spans="1:72">
      <c r="A93" s="9"/>
      <c r="B93" s="34"/>
      <c r="C93" s="34"/>
      <c r="D93" s="2205"/>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06"/>
      <c r="AV93" s="1783">
        <f t="shared" si="12"/>
        <v>0</v>
      </c>
      <c r="AW93" s="1783">
        <f t="shared" si="13"/>
        <v>0</v>
      </c>
      <c r="AX93" s="1783">
        <f t="shared" si="36"/>
        <v>0</v>
      </c>
      <c r="AY93" s="42">
        <f t="shared" si="14"/>
        <v>0</v>
      </c>
      <c r="AZ93" s="35">
        <f t="shared" si="15"/>
        <v>0</v>
      </c>
      <c r="BA93" s="35">
        <f t="shared" si="16"/>
        <v>0</v>
      </c>
      <c r="BB93" s="35">
        <f t="shared" si="17"/>
        <v>0</v>
      </c>
      <c r="BC93" s="35">
        <f t="shared" si="34"/>
        <v>0</v>
      </c>
      <c r="BD93" s="35">
        <f t="shared" si="18"/>
        <v>0</v>
      </c>
      <c r="BE93" s="35">
        <f t="shared" si="35"/>
        <v>0</v>
      </c>
      <c r="BF93" s="35">
        <f t="shared" si="19"/>
        <v>0</v>
      </c>
      <c r="BG93" s="35">
        <f t="shared" si="20"/>
        <v>0</v>
      </c>
      <c r="BH93" s="35">
        <f t="shared" si="21"/>
        <v>0</v>
      </c>
      <c r="BI93" s="35">
        <f t="shared" si="22"/>
        <v>0</v>
      </c>
      <c r="BJ93" s="35">
        <f t="shared" si="23"/>
        <v>0</v>
      </c>
      <c r="BK93" s="35">
        <f t="shared" si="24"/>
        <v>0</v>
      </c>
      <c r="BL93" s="35">
        <f t="shared" si="25"/>
        <v>0</v>
      </c>
      <c r="BM93" s="35">
        <f t="shared" si="26"/>
        <v>0</v>
      </c>
      <c r="BN93" s="35">
        <f t="shared" si="27"/>
        <v>0</v>
      </c>
      <c r="BO93" s="35">
        <f t="shared" si="28"/>
        <v>0</v>
      </c>
      <c r="BP93" s="35">
        <f t="shared" si="29"/>
        <v>0</v>
      </c>
      <c r="BQ93" s="35">
        <f t="shared" si="30"/>
        <v>0</v>
      </c>
      <c r="BR93" s="35">
        <f t="shared" si="31"/>
        <v>0</v>
      </c>
      <c r="BS93" s="35">
        <f t="shared" si="32"/>
        <v>0</v>
      </c>
      <c r="BT93" s="43">
        <f t="shared" si="33"/>
        <v>0</v>
      </c>
    </row>
    <row r="94" spans="1:72">
      <c r="A94" s="9"/>
      <c r="B94" s="34"/>
      <c r="C94" s="34"/>
      <c r="D94" s="2205"/>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06"/>
      <c r="AV94" s="1783">
        <f t="shared" si="12"/>
        <v>0</v>
      </c>
      <c r="AW94" s="1783">
        <f t="shared" si="13"/>
        <v>0</v>
      </c>
      <c r="AX94" s="1783">
        <f t="shared" si="36"/>
        <v>0</v>
      </c>
      <c r="AY94" s="42">
        <f t="shared" si="14"/>
        <v>0</v>
      </c>
      <c r="AZ94" s="35">
        <f t="shared" si="15"/>
        <v>0</v>
      </c>
      <c r="BA94" s="35">
        <f t="shared" si="16"/>
        <v>0</v>
      </c>
      <c r="BB94" s="35">
        <f t="shared" si="17"/>
        <v>0</v>
      </c>
      <c r="BC94" s="35">
        <f t="shared" si="34"/>
        <v>0</v>
      </c>
      <c r="BD94" s="35">
        <f t="shared" si="18"/>
        <v>0</v>
      </c>
      <c r="BE94" s="35">
        <f t="shared" si="35"/>
        <v>0</v>
      </c>
      <c r="BF94" s="35">
        <f t="shared" si="19"/>
        <v>0</v>
      </c>
      <c r="BG94" s="35">
        <f t="shared" si="20"/>
        <v>0</v>
      </c>
      <c r="BH94" s="35">
        <f t="shared" si="21"/>
        <v>0</v>
      </c>
      <c r="BI94" s="35">
        <f t="shared" si="22"/>
        <v>0</v>
      </c>
      <c r="BJ94" s="35">
        <f t="shared" si="23"/>
        <v>0</v>
      </c>
      <c r="BK94" s="35">
        <f t="shared" si="24"/>
        <v>0</v>
      </c>
      <c r="BL94" s="35">
        <f t="shared" si="25"/>
        <v>0</v>
      </c>
      <c r="BM94" s="35">
        <f t="shared" si="26"/>
        <v>0</v>
      </c>
      <c r="BN94" s="35">
        <f t="shared" si="27"/>
        <v>0</v>
      </c>
      <c r="BO94" s="35">
        <f t="shared" si="28"/>
        <v>0</v>
      </c>
      <c r="BP94" s="35">
        <f t="shared" si="29"/>
        <v>0</v>
      </c>
      <c r="BQ94" s="35">
        <f t="shared" si="30"/>
        <v>0</v>
      </c>
      <c r="BR94" s="35">
        <f t="shared" si="31"/>
        <v>0</v>
      </c>
      <c r="BS94" s="35">
        <f t="shared" si="32"/>
        <v>0</v>
      </c>
      <c r="BT94" s="43">
        <f t="shared" si="33"/>
        <v>0</v>
      </c>
    </row>
    <row r="95" spans="1:72">
      <c r="A95" s="9"/>
      <c r="B95" s="34"/>
      <c r="C95" s="34"/>
      <c r="D95" s="2205"/>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06"/>
      <c r="AV95" s="1783">
        <f t="shared" si="12"/>
        <v>0</v>
      </c>
      <c r="AW95" s="1783">
        <f t="shared" si="13"/>
        <v>0</v>
      </c>
      <c r="AX95" s="1783">
        <f t="shared" si="36"/>
        <v>0</v>
      </c>
      <c r="AY95" s="42">
        <f t="shared" si="14"/>
        <v>0</v>
      </c>
      <c r="AZ95" s="35">
        <f t="shared" si="15"/>
        <v>0</v>
      </c>
      <c r="BA95" s="35">
        <f t="shared" si="16"/>
        <v>0</v>
      </c>
      <c r="BB95" s="35">
        <f t="shared" si="17"/>
        <v>0</v>
      </c>
      <c r="BC95" s="35">
        <f t="shared" si="34"/>
        <v>0</v>
      </c>
      <c r="BD95" s="35">
        <f t="shared" si="18"/>
        <v>0</v>
      </c>
      <c r="BE95" s="35">
        <f t="shared" si="35"/>
        <v>0</v>
      </c>
      <c r="BF95" s="35">
        <f t="shared" si="19"/>
        <v>0</v>
      </c>
      <c r="BG95" s="35">
        <f t="shared" si="20"/>
        <v>0</v>
      </c>
      <c r="BH95" s="35">
        <f t="shared" si="21"/>
        <v>0</v>
      </c>
      <c r="BI95" s="35">
        <f t="shared" si="22"/>
        <v>0</v>
      </c>
      <c r="BJ95" s="35">
        <f t="shared" si="23"/>
        <v>0</v>
      </c>
      <c r="BK95" s="35">
        <f t="shared" si="24"/>
        <v>0</v>
      </c>
      <c r="BL95" s="35">
        <f t="shared" si="25"/>
        <v>0</v>
      </c>
      <c r="BM95" s="35">
        <f t="shared" si="26"/>
        <v>0</v>
      </c>
      <c r="BN95" s="35">
        <f t="shared" si="27"/>
        <v>0</v>
      </c>
      <c r="BO95" s="35">
        <f t="shared" si="28"/>
        <v>0</v>
      </c>
      <c r="BP95" s="35">
        <f t="shared" si="29"/>
        <v>0</v>
      </c>
      <c r="BQ95" s="35">
        <f t="shared" si="30"/>
        <v>0</v>
      </c>
      <c r="BR95" s="35">
        <f t="shared" si="31"/>
        <v>0</v>
      </c>
      <c r="BS95" s="35">
        <f t="shared" si="32"/>
        <v>0</v>
      </c>
      <c r="BT95" s="43">
        <f t="shared" si="33"/>
        <v>0</v>
      </c>
    </row>
    <row r="96" spans="1:72">
      <c r="A96" s="9"/>
      <c r="B96" s="34"/>
      <c r="C96" s="34"/>
      <c r="D96" s="2205"/>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06"/>
      <c r="AV96" s="1783">
        <f t="shared" si="12"/>
        <v>0</v>
      </c>
      <c r="AW96" s="1783">
        <f t="shared" si="13"/>
        <v>0</v>
      </c>
      <c r="AX96" s="1783">
        <f t="shared" si="36"/>
        <v>0</v>
      </c>
      <c r="AY96" s="42">
        <f t="shared" si="14"/>
        <v>0</v>
      </c>
      <c r="AZ96" s="35">
        <f t="shared" si="15"/>
        <v>0</v>
      </c>
      <c r="BA96" s="35">
        <f t="shared" si="16"/>
        <v>0</v>
      </c>
      <c r="BB96" s="35">
        <f t="shared" si="17"/>
        <v>0</v>
      </c>
      <c r="BC96" s="35">
        <f t="shared" si="34"/>
        <v>0</v>
      </c>
      <c r="BD96" s="35">
        <f t="shared" si="18"/>
        <v>0</v>
      </c>
      <c r="BE96" s="35">
        <f t="shared" si="35"/>
        <v>0</v>
      </c>
      <c r="BF96" s="35">
        <f t="shared" si="19"/>
        <v>0</v>
      </c>
      <c r="BG96" s="35">
        <f t="shared" si="20"/>
        <v>0</v>
      </c>
      <c r="BH96" s="35">
        <f t="shared" si="21"/>
        <v>0</v>
      </c>
      <c r="BI96" s="35">
        <f t="shared" si="22"/>
        <v>0</v>
      </c>
      <c r="BJ96" s="35">
        <f t="shared" si="23"/>
        <v>0</v>
      </c>
      <c r="BK96" s="35">
        <f t="shared" si="24"/>
        <v>0</v>
      </c>
      <c r="BL96" s="35">
        <f t="shared" si="25"/>
        <v>0</v>
      </c>
      <c r="BM96" s="35">
        <f t="shared" si="26"/>
        <v>0</v>
      </c>
      <c r="BN96" s="35">
        <f t="shared" si="27"/>
        <v>0</v>
      </c>
      <c r="BO96" s="35">
        <f t="shared" si="28"/>
        <v>0</v>
      </c>
      <c r="BP96" s="35">
        <f t="shared" si="29"/>
        <v>0</v>
      </c>
      <c r="BQ96" s="35">
        <f t="shared" si="30"/>
        <v>0</v>
      </c>
      <c r="BR96" s="35">
        <f t="shared" si="31"/>
        <v>0</v>
      </c>
      <c r="BS96" s="35">
        <f t="shared" si="32"/>
        <v>0</v>
      </c>
      <c r="BT96" s="43">
        <f t="shared" si="33"/>
        <v>0</v>
      </c>
    </row>
    <row r="97" spans="1:72">
      <c r="A97" s="9"/>
      <c r="B97" s="34"/>
      <c r="C97" s="34"/>
      <c r="D97" s="2205"/>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06"/>
      <c r="AV97" s="1783">
        <f t="shared" si="12"/>
        <v>0</v>
      </c>
      <c r="AW97" s="1783">
        <f t="shared" si="13"/>
        <v>0</v>
      </c>
      <c r="AX97" s="1783">
        <f t="shared" si="36"/>
        <v>0</v>
      </c>
      <c r="AY97" s="42">
        <f t="shared" si="14"/>
        <v>0</v>
      </c>
      <c r="AZ97" s="35">
        <f t="shared" si="15"/>
        <v>0</v>
      </c>
      <c r="BA97" s="35">
        <f t="shared" si="16"/>
        <v>0</v>
      </c>
      <c r="BB97" s="35">
        <f t="shared" si="17"/>
        <v>0</v>
      </c>
      <c r="BC97" s="35">
        <f t="shared" si="34"/>
        <v>0</v>
      </c>
      <c r="BD97" s="35">
        <f t="shared" si="18"/>
        <v>0</v>
      </c>
      <c r="BE97" s="35">
        <f t="shared" si="35"/>
        <v>0</v>
      </c>
      <c r="BF97" s="35">
        <f t="shared" si="19"/>
        <v>0</v>
      </c>
      <c r="BG97" s="35">
        <f t="shared" si="20"/>
        <v>0</v>
      </c>
      <c r="BH97" s="35">
        <f t="shared" si="21"/>
        <v>0</v>
      </c>
      <c r="BI97" s="35">
        <f t="shared" si="22"/>
        <v>0</v>
      </c>
      <c r="BJ97" s="35">
        <f t="shared" si="23"/>
        <v>0</v>
      </c>
      <c r="BK97" s="35">
        <f t="shared" si="24"/>
        <v>0</v>
      </c>
      <c r="BL97" s="35">
        <f t="shared" si="25"/>
        <v>0</v>
      </c>
      <c r="BM97" s="35">
        <f t="shared" si="26"/>
        <v>0</v>
      </c>
      <c r="BN97" s="35">
        <f t="shared" si="27"/>
        <v>0</v>
      </c>
      <c r="BO97" s="35">
        <f t="shared" si="28"/>
        <v>0</v>
      </c>
      <c r="BP97" s="35">
        <f t="shared" si="29"/>
        <v>0</v>
      </c>
      <c r="BQ97" s="35">
        <f t="shared" si="30"/>
        <v>0</v>
      </c>
      <c r="BR97" s="35">
        <f t="shared" si="31"/>
        <v>0</v>
      </c>
      <c r="BS97" s="35">
        <f t="shared" si="32"/>
        <v>0</v>
      </c>
      <c r="BT97" s="43">
        <f t="shared" si="33"/>
        <v>0</v>
      </c>
    </row>
    <row r="98" spans="1:72">
      <c r="A98" s="9"/>
      <c r="B98" s="34"/>
      <c r="C98" s="34"/>
      <c r="D98" s="2205"/>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06"/>
      <c r="AV98" s="1783">
        <f t="shared" si="12"/>
        <v>0</v>
      </c>
      <c r="AW98" s="1783">
        <f t="shared" si="13"/>
        <v>0</v>
      </c>
      <c r="AX98" s="1783">
        <f t="shared" si="36"/>
        <v>0</v>
      </c>
      <c r="AY98" s="42">
        <f t="shared" si="14"/>
        <v>0</v>
      </c>
      <c r="AZ98" s="35">
        <f t="shared" si="15"/>
        <v>0</v>
      </c>
      <c r="BA98" s="35">
        <f t="shared" si="16"/>
        <v>0</v>
      </c>
      <c r="BB98" s="35">
        <f t="shared" si="17"/>
        <v>0</v>
      </c>
      <c r="BC98" s="35">
        <f t="shared" si="34"/>
        <v>0</v>
      </c>
      <c r="BD98" s="35">
        <f t="shared" si="18"/>
        <v>0</v>
      </c>
      <c r="BE98" s="35">
        <f t="shared" si="35"/>
        <v>0</v>
      </c>
      <c r="BF98" s="35">
        <f t="shared" si="19"/>
        <v>0</v>
      </c>
      <c r="BG98" s="35">
        <f t="shared" si="20"/>
        <v>0</v>
      </c>
      <c r="BH98" s="35">
        <f t="shared" si="21"/>
        <v>0</v>
      </c>
      <c r="BI98" s="35">
        <f t="shared" si="22"/>
        <v>0</v>
      </c>
      <c r="BJ98" s="35">
        <f t="shared" si="23"/>
        <v>0</v>
      </c>
      <c r="BK98" s="35">
        <f t="shared" si="24"/>
        <v>0</v>
      </c>
      <c r="BL98" s="35">
        <f t="shared" si="25"/>
        <v>0</v>
      </c>
      <c r="BM98" s="35">
        <f t="shared" si="26"/>
        <v>0</v>
      </c>
      <c r="BN98" s="35">
        <f t="shared" si="27"/>
        <v>0</v>
      </c>
      <c r="BO98" s="35">
        <f t="shared" si="28"/>
        <v>0</v>
      </c>
      <c r="BP98" s="35">
        <f t="shared" si="29"/>
        <v>0</v>
      </c>
      <c r="BQ98" s="35">
        <f t="shared" si="30"/>
        <v>0</v>
      </c>
      <c r="BR98" s="35">
        <f t="shared" si="31"/>
        <v>0</v>
      </c>
      <c r="BS98" s="35">
        <f t="shared" si="32"/>
        <v>0</v>
      </c>
      <c r="BT98" s="43">
        <f t="shared" si="33"/>
        <v>0</v>
      </c>
    </row>
    <row r="99" spans="1:72">
      <c r="A99" s="9"/>
      <c r="B99" s="34"/>
      <c r="C99" s="34"/>
      <c r="D99" s="2205"/>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06"/>
      <c r="AV99" s="1783">
        <f t="shared" si="12"/>
        <v>0</v>
      </c>
      <c r="AW99" s="1783">
        <f t="shared" si="13"/>
        <v>0</v>
      </c>
      <c r="AX99" s="1783">
        <f t="shared" si="36"/>
        <v>0</v>
      </c>
      <c r="AY99" s="42">
        <f t="shared" si="14"/>
        <v>0</v>
      </c>
      <c r="AZ99" s="35">
        <f t="shared" si="15"/>
        <v>0</v>
      </c>
      <c r="BA99" s="35">
        <f t="shared" si="16"/>
        <v>0</v>
      </c>
      <c r="BB99" s="35">
        <f t="shared" si="17"/>
        <v>0</v>
      </c>
      <c r="BC99" s="35">
        <f t="shared" si="34"/>
        <v>0</v>
      </c>
      <c r="BD99" s="35">
        <f t="shared" si="18"/>
        <v>0</v>
      </c>
      <c r="BE99" s="35">
        <f t="shared" si="35"/>
        <v>0</v>
      </c>
      <c r="BF99" s="35">
        <f t="shared" si="19"/>
        <v>0</v>
      </c>
      <c r="BG99" s="35">
        <f t="shared" si="20"/>
        <v>0</v>
      </c>
      <c r="BH99" s="35">
        <f t="shared" si="21"/>
        <v>0</v>
      </c>
      <c r="BI99" s="35">
        <f t="shared" si="22"/>
        <v>0</v>
      </c>
      <c r="BJ99" s="35">
        <f t="shared" si="23"/>
        <v>0</v>
      </c>
      <c r="BK99" s="35">
        <f t="shared" si="24"/>
        <v>0</v>
      </c>
      <c r="BL99" s="35">
        <f t="shared" si="25"/>
        <v>0</v>
      </c>
      <c r="BM99" s="35">
        <f t="shared" si="26"/>
        <v>0</v>
      </c>
      <c r="BN99" s="35">
        <f t="shared" si="27"/>
        <v>0</v>
      </c>
      <c r="BO99" s="35">
        <f t="shared" si="28"/>
        <v>0</v>
      </c>
      <c r="BP99" s="35">
        <f t="shared" si="29"/>
        <v>0</v>
      </c>
      <c r="BQ99" s="35">
        <f t="shared" si="30"/>
        <v>0</v>
      </c>
      <c r="BR99" s="35">
        <f t="shared" si="31"/>
        <v>0</v>
      </c>
      <c r="BS99" s="35">
        <f t="shared" si="32"/>
        <v>0</v>
      </c>
      <c r="BT99" s="43">
        <f t="shared" si="33"/>
        <v>0</v>
      </c>
    </row>
    <row r="100" spans="1:72">
      <c r="A100" s="9"/>
      <c r="B100" s="34"/>
      <c r="C100" s="34"/>
      <c r="D100" s="2205"/>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06"/>
      <c r="AV100" s="1783">
        <f t="shared" si="12"/>
        <v>0</v>
      </c>
      <c r="AW100" s="1783">
        <f t="shared" si="13"/>
        <v>0</v>
      </c>
      <c r="AX100" s="1783">
        <f t="shared" si="36"/>
        <v>0</v>
      </c>
      <c r="AY100" s="42">
        <f t="shared" si="14"/>
        <v>0</v>
      </c>
      <c r="AZ100" s="35">
        <f t="shared" si="15"/>
        <v>0</v>
      </c>
      <c r="BA100" s="35">
        <f t="shared" si="16"/>
        <v>0</v>
      </c>
      <c r="BB100" s="35">
        <f t="shared" si="17"/>
        <v>0</v>
      </c>
      <c r="BC100" s="35">
        <f t="shared" si="34"/>
        <v>0</v>
      </c>
      <c r="BD100" s="35">
        <f t="shared" si="18"/>
        <v>0</v>
      </c>
      <c r="BE100" s="35">
        <f t="shared" si="35"/>
        <v>0</v>
      </c>
      <c r="BF100" s="35">
        <f t="shared" si="19"/>
        <v>0</v>
      </c>
      <c r="BG100" s="35">
        <f t="shared" si="20"/>
        <v>0</v>
      </c>
      <c r="BH100" s="35">
        <f t="shared" si="21"/>
        <v>0</v>
      </c>
      <c r="BI100" s="35">
        <f t="shared" si="22"/>
        <v>0</v>
      </c>
      <c r="BJ100" s="35">
        <f t="shared" si="23"/>
        <v>0</v>
      </c>
      <c r="BK100" s="35">
        <f t="shared" si="24"/>
        <v>0</v>
      </c>
      <c r="BL100" s="35">
        <f t="shared" si="25"/>
        <v>0</v>
      </c>
      <c r="BM100" s="35">
        <f t="shared" si="26"/>
        <v>0</v>
      </c>
      <c r="BN100" s="35">
        <f t="shared" si="27"/>
        <v>0</v>
      </c>
      <c r="BO100" s="35">
        <f t="shared" si="28"/>
        <v>0</v>
      </c>
      <c r="BP100" s="35">
        <f t="shared" si="29"/>
        <v>0</v>
      </c>
      <c r="BQ100" s="35">
        <f t="shared" si="30"/>
        <v>0</v>
      </c>
      <c r="BR100" s="35">
        <f t="shared" si="31"/>
        <v>0</v>
      </c>
      <c r="BS100" s="35">
        <f t="shared" si="32"/>
        <v>0</v>
      </c>
      <c r="BT100" s="43">
        <f t="shared" si="33"/>
        <v>0</v>
      </c>
    </row>
    <row r="101" spans="1:72">
      <c r="A101" s="9"/>
      <c r="B101" s="34"/>
      <c r="C101" s="34"/>
      <c r="D101" s="2205"/>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06"/>
      <c r="AV101" s="1783">
        <f t="shared" si="12"/>
        <v>0</v>
      </c>
      <c r="AW101" s="1783">
        <f t="shared" si="13"/>
        <v>0</v>
      </c>
      <c r="AX101" s="1783">
        <f t="shared" si="36"/>
        <v>0</v>
      </c>
      <c r="AY101" s="42">
        <f t="shared" si="14"/>
        <v>0</v>
      </c>
      <c r="AZ101" s="35">
        <f t="shared" si="15"/>
        <v>0</v>
      </c>
      <c r="BA101" s="35">
        <f t="shared" si="16"/>
        <v>0</v>
      </c>
      <c r="BB101" s="35">
        <f t="shared" si="17"/>
        <v>0</v>
      </c>
      <c r="BC101" s="35">
        <f t="shared" si="34"/>
        <v>0</v>
      </c>
      <c r="BD101" s="35">
        <f t="shared" si="18"/>
        <v>0</v>
      </c>
      <c r="BE101" s="35">
        <f t="shared" si="35"/>
        <v>0</v>
      </c>
      <c r="BF101" s="35">
        <f t="shared" si="19"/>
        <v>0</v>
      </c>
      <c r="BG101" s="35">
        <f t="shared" si="20"/>
        <v>0</v>
      </c>
      <c r="BH101" s="35">
        <f t="shared" si="21"/>
        <v>0</v>
      </c>
      <c r="BI101" s="35">
        <f t="shared" si="22"/>
        <v>0</v>
      </c>
      <c r="BJ101" s="35">
        <f t="shared" si="23"/>
        <v>0</v>
      </c>
      <c r="BK101" s="35">
        <f t="shared" si="24"/>
        <v>0</v>
      </c>
      <c r="BL101" s="35">
        <f t="shared" si="25"/>
        <v>0</v>
      </c>
      <c r="BM101" s="35">
        <f t="shared" si="26"/>
        <v>0</v>
      </c>
      <c r="BN101" s="35">
        <f t="shared" si="27"/>
        <v>0</v>
      </c>
      <c r="BO101" s="35">
        <f t="shared" si="28"/>
        <v>0</v>
      </c>
      <c r="BP101" s="35">
        <f t="shared" si="29"/>
        <v>0</v>
      </c>
      <c r="BQ101" s="35">
        <f t="shared" si="30"/>
        <v>0</v>
      </c>
      <c r="BR101" s="35">
        <f t="shared" si="31"/>
        <v>0</v>
      </c>
      <c r="BS101" s="35">
        <f t="shared" si="32"/>
        <v>0</v>
      </c>
      <c r="BT101" s="43">
        <f t="shared" si="33"/>
        <v>0</v>
      </c>
    </row>
    <row r="102" spans="1:72">
      <c r="A102" s="9"/>
      <c r="B102" s="34"/>
      <c r="C102" s="34"/>
      <c r="D102" s="2205"/>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06"/>
      <c r="AV102" s="1783">
        <f t="shared" si="12"/>
        <v>0</v>
      </c>
      <c r="AW102" s="1783">
        <f t="shared" si="13"/>
        <v>0</v>
      </c>
      <c r="AX102" s="1783">
        <f t="shared" si="36"/>
        <v>0</v>
      </c>
      <c r="AY102" s="42">
        <f t="shared" si="14"/>
        <v>0</v>
      </c>
      <c r="AZ102" s="35">
        <f t="shared" si="15"/>
        <v>0</v>
      </c>
      <c r="BA102" s="35">
        <f t="shared" si="16"/>
        <v>0</v>
      </c>
      <c r="BB102" s="35">
        <f t="shared" si="17"/>
        <v>0</v>
      </c>
      <c r="BC102" s="35">
        <f t="shared" si="34"/>
        <v>0</v>
      </c>
      <c r="BD102" s="35">
        <f t="shared" si="18"/>
        <v>0</v>
      </c>
      <c r="BE102" s="35">
        <f t="shared" si="35"/>
        <v>0</v>
      </c>
      <c r="BF102" s="35">
        <f t="shared" si="19"/>
        <v>0</v>
      </c>
      <c r="BG102" s="35">
        <f t="shared" si="20"/>
        <v>0</v>
      </c>
      <c r="BH102" s="35">
        <f t="shared" si="21"/>
        <v>0</v>
      </c>
      <c r="BI102" s="35">
        <f t="shared" si="22"/>
        <v>0</v>
      </c>
      <c r="BJ102" s="35">
        <f t="shared" si="23"/>
        <v>0</v>
      </c>
      <c r="BK102" s="35">
        <f t="shared" si="24"/>
        <v>0</v>
      </c>
      <c r="BL102" s="35">
        <f t="shared" si="25"/>
        <v>0</v>
      </c>
      <c r="BM102" s="35">
        <f t="shared" si="26"/>
        <v>0</v>
      </c>
      <c r="BN102" s="35">
        <f t="shared" si="27"/>
        <v>0</v>
      </c>
      <c r="BO102" s="35">
        <f t="shared" si="28"/>
        <v>0</v>
      </c>
      <c r="BP102" s="35">
        <f t="shared" si="29"/>
        <v>0</v>
      </c>
      <c r="BQ102" s="35">
        <f t="shared" si="30"/>
        <v>0</v>
      </c>
      <c r="BR102" s="35">
        <f t="shared" si="31"/>
        <v>0</v>
      </c>
      <c r="BS102" s="35">
        <f t="shared" si="32"/>
        <v>0</v>
      </c>
      <c r="BT102" s="43">
        <f t="shared" si="33"/>
        <v>0</v>
      </c>
    </row>
    <row r="103" spans="1:72">
      <c r="A103" s="9"/>
      <c r="B103" s="34"/>
      <c r="C103" s="34"/>
      <c r="D103" s="2205"/>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06"/>
      <c r="AV103" s="1783">
        <f t="shared" si="12"/>
        <v>0</v>
      </c>
      <c r="AW103" s="1783">
        <f t="shared" si="13"/>
        <v>0</v>
      </c>
      <c r="AX103" s="1783">
        <f t="shared" si="36"/>
        <v>0</v>
      </c>
      <c r="AY103" s="42">
        <f t="shared" si="14"/>
        <v>0</v>
      </c>
      <c r="AZ103" s="35">
        <f t="shared" si="15"/>
        <v>0</v>
      </c>
      <c r="BA103" s="35">
        <f t="shared" si="16"/>
        <v>0</v>
      </c>
      <c r="BB103" s="35">
        <f t="shared" si="17"/>
        <v>0</v>
      </c>
      <c r="BC103" s="35">
        <f t="shared" si="34"/>
        <v>0</v>
      </c>
      <c r="BD103" s="35">
        <f t="shared" si="18"/>
        <v>0</v>
      </c>
      <c r="BE103" s="35">
        <f t="shared" si="35"/>
        <v>0</v>
      </c>
      <c r="BF103" s="35">
        <f t="shared" si="19"/>
        <v>0</v>
      </c>
      <c r="BG103" s="35">
        <f t="shared" si="20"/>
        <v>0</v>
      </c>
      <c r="BH103" s="35">
        <f t="shared" si="21"/>
        <v>0</v>
      </c>
      <c r="BI103" s="35">
        <f t="shared" si="22"/>
        <v>0</v>
      </c>
      <c r="BJ103" s="35">
        <f t="shared" si="23"/>
        <v>0</v>
      </c>
      <c r="BK103" s="35">
        <f t="shared" si="24"/>
        <v>0</v>
      </c>
      <c r="BL103" s="35">
        <f t="shared" si="25"/>
        <v>0</v>
      </c>
      <c r="BM103" s="35">
        <f t="shared" si="26"/>
        <v>0</v>
      </c>
      <c r="BN103" s="35">
        <f t="shared" si="27"/>
        <v>0</v>
      </c>
      <c r="BO103" s="35">
        <f t="shared" si="28"/>
        <v>0</v>
      </c>
      <c r="BP103" s="35">
        <f t="shared" si="29"/>
        <v>0</v>
      </c>
      <c r="BQ103" s="35">
        <f t="shared" si="30"/>
        <v>0</v>
      </c>
      <c r="BR103" s="35">
        <f t="shared" si="31"/>
        <v>0</v>
      </c>
      <c r="BS103" s="35">
        <f t="shared" si="32"/>
        <v>0</v>
      </c>
      <c r="BT103" s="43">
        <f t="shared" si="33"/>
        <v>0</v>
      </c>
    </row>
    <row r="104" spans="1:72">
      <c r="A104" s="9"/>
      <c r="B104" s="34"/>
      <c r="C104" s="34"/>
      <c r="D104" s="2205"/>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06"/>
      <c r="AV104" s="1783">
        <f t="shared" si="12"/>
        <v>0</v>
      </c>
      <c r="AW104" s="1783">
        <f t="shared" si="13"/>
        <v>0</v>
      </c>
      <c r="AX104" s="1783">
        <f t="shared" si="36"/>
        <v>0</v>
      </c>
      <c r="AY104" s="42">
        <f t="shared" si="14"/>
        <v>0</v>
      </c>
      <c r="AZ104" s="35">
        <f t="shared" si="15"/>
        <v>0</v>
      </c>
      <c r="BA104" s="35">
        <f t="shared" si="16"/>
        <v>0</v>
      </c>
      <c r="BB104" s="35">
        <f t="shared" si="17"/>
        <v>0</v>
      </c>
      <c r="BC104" s="35">
        <f t="shared" si="34"/>
        <v>0</v>
      </c>
      <c r="BD104" s="35">
        <f t="shared" si="18"/>
        <v>0</v>
      </c>
      <c r="BE104" s="35">
        <f t="shared" si="35"/>
        <v>0</v>
      </c>
      <c r="BF104" s="35">
        <f t="shared" si="19"/>
        <v>0</v>
      </c>
      <c r="BG104" s="35">
        <f t="shared" si="20"/>
        <v>0</v>
      </c>
      <c r="BH104" s="35">
        <f t="shared" si="21"/>
        <v>0</v>
      </c>
      <c r="BI104" s="35">
        <f t="shared" si="22"/>
        <v>0</v>
      </c>
      <c r="BJ104" s="35">
        <f t="shared" si="23"/>
        <v>0</v>
      </c>
      <c r="BK104" s="35">
        <f t="shared" si="24"/>
        <v>0</v>
      </c>
      <c r="BL104" s="35">
        <f t="shared" si="25"/>
        <v>0</v>
      </c>
      <c r="BM104" s="35">
        <f t="shared" si="26"/>
        <v>0</v>
      </c>
      <c r="BN104" s="35">
        <f t="shared" si="27"/>
        <v>0</v>
      </c>
      <c r="BO104" s="35">
        <f t="shared" si="28"/>
        <v>0</v>
      </c>
      <c r="BP104" s="35">
        <f t="shared" si="29"/>
        <v>0</v>
      </c>
      <c r="BQ104" s="35">
        <f t="shared" si="30"/>
        <v>0</v>
      </c>
      <c r="BR104" s="35">
        <f t="shared" si="31"/>
        <v>0</v>
      </c>
      <c r="BS104" s="35">
        <f t="shared" si="32"/>
        <v>0</v>
      </c>
      <c r="BT104" s="43">
        <f t="shared" si="33"/>
        <v>0</v>
      </c>
    </row>
    <row r="105" spans="1:72">
      <c r="A105" s="9"/>
      <c r="B105" s="34"/>
      <c r="C105" s="34"/>
      <c r="D105" s="2205"/>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06"/>
      <c r="AV105" s="1783">
        <f t="shared" si="12"/>
        <v>0</v>
      </c>
      <c r="AW105" s="1783">
        <f t="shared" si="13"/>
        <v>0</v>
      </c>
      <c r="AX105" s="1783">
        <f t="shared" si="36"/>
        <v>0</v>
      </c>
      <c r="AY105" s="42">
        <f t="shared" si="14"/>
        <v>0</v>
      </c>
      <c r="AZ105" s="35">
        <f t="shared" si="15"/>
        <v>0</v>
      </c>
      <c r="BA105" s="35">
        <f t="shared" si="16"/>
        <v>0</v>
      </c>
      <c r="BB105" s="35">
        <f t="shared" si="17"/>
        <v>0</v>
      </c>
      <c r="BC105" s="35">
        <f t="shared" si="34"/>
        <v>0</v>
      </c>
      <c r="BD105" s="35">
        <f t="shared" si="18"/>
        <v>0</v>
      </c>
      <c r="BE105" s="35">
        <f t="shared" si="35"/>
        <v>0</v>
      </c>
      <c r="BF105" s="35">
        <f t="shared" si="19"/>
        <v>0</v>
      </c>
      <c r="BG105" s="35">
        <f t="shared" si="20"/>
        <v>0</v>
      </c>
      <c r="BH105" s="35">
        <f t="shared" si="21"/>
        <v>0</v>
      </c>
      <c r="BI105" s="35">
        <f t="shared" si="22"/>
        <v>0</v>
      </c>
      <c r="BJ105" s="35">
        <f t="shared" si="23"/>
        <v>0</v>
      </c>
      <c r="BK105" s="35">
        <f t="shared" si="24"/>
        <v>0</v>
      </c>
      <c r="BL105" s="35">
        <f t="shared" si="25"/>
        <v>0</v>
      </c>
      <c r="BM105" s="35">
        <f t="shared" si="26"/>
        <v>0</v>
      </c>
      <c r="BN105" s="35">
        <f t="shared" si="27"/>
        <v>0</v>
      </c>
      <c r="BO105" s="35">
        <f t="shared" si="28"/>
        <v>0</v>
      </c>
      <c r="BP105" s="35">
        <f t="shared" si="29"/>
        <v>0</v>
      </c>
      <c r="BQ105" s="35">
        <f t="shared" si="30"/>
        <v>0</v>
      </c>
      <c r="BR105" s="35">
        <f t="shared" si="31"/>
        <v>0</v>
      </c>
      <c r="BS105" s="35">
        <f t="shared" si="32"/>
        <v>0</v>
      </c>
      <c r="BT105" s="43">
        <f t="shared" si="33"/>
        <v>0</v>
      </c>
    </row>
    <row r="106" spans="1:72">
      <c r="A106" s="9"/>
      <c r="B106" s="34"/>
      <c r="C106" s="34"/>
      <c r="D106" s="2205"/>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06"/>
      <c r="AV106" s="1783">
        <f t="shared" si="12"/>
        <v>0</v>
      </c>
      <c r="AW106" s="1783">
        <f t="shared" si="13"/>
        <v>0</v>
      </c>
      <c r="AX106" s="1783">
        <f t="shared" si="36"/>
        <v>0</v>
      </c>
      <c r="AY106" s="42">
        <f t="shared" si="14"/>
        <v>0</v>
      </c>
      <c r="AZ106" s="35">
        <f t="shared" si="15"/>
        <v>0</v>
      </c>
      <c r="BA106" s="35">
        <f t="shared" si="16"/>
        <v>0</v>
      </c>
      <c r="BB106" s="35">
        <f t="shared" si="17"/>
        <v>0</v>
      </c>
      <c r="BC106" s="35">
        <f t="shared" si="34"/>
        <v>0</v>
      </c>
      <c r="BD106" s="35">
        <f t="shared" si="18"/>
        <v>0</v>
      </c>
      <c r="BE106" s="35">
        <f t="shared" si="35"/>
        <v>0</v>
      </c>
      <c r="BF106" s="35">
        <f t="shared" si="19"/>
        <v>0</v>
      </c>
      <c r="BG106" s="35">
        <f t="shared" si="20"/>
        <v>0</v>
      </c>
      <c r="BH106" s="35">
        <f t="shared" si="21"/>
        <v>0</v>
      </c>
      <c r="BI106" s="35">
        <f t="shared" si="22"/>
        <v>0</v>
      </c>
      <c r="BJ106" s="35">
        <f t="shared" si="23"/>
        <v>0</v>
      </c>
      <c r="BK106" s="35">
        <f t="shared" si="24"/>
        <v>0</v>
      </c>
      <c r="BL106" s="35">
        <f t="shared" si="25"/>
        <v>0</v>
      </c>
      <c r="BM106" s="35">
        <f t="shared" si="26"/>
        <v>0</v>
      </c>
      <c r="BN106" s="35">
        <f t="shared" si="27"/>
        <v>0</v>
      </c>
      <c r="BO106" s="35">
        <f t="shared" si="28"/>
        <v>0</v>
      </c>
      <c r="BP106" s="35">
        <f t="shared" si="29"/>
        <v>0</v>
      </c>
      <c r="BQ106" s="35">
        <f t="shared" si="30"/>
        <v>0</v>
      </c>
      <c r="BR106" s="35">
        <f t="shared" si="31"/>
        <v>0</v>
      </c>
      <c r="BS106" s="35">
        <f t="shared" si="32"/>
        <v>0</v>
      </c>
      <c r="BT106" s="43">
        <f t="shared" si="33"/>
        <v>0</v>
      </c>
    </row>
    <row r="107" spans="1:72">
      <c r="A107" s="9"/>
      <c r="B107" s="34"/>
      <c r="C107" s="34"/>
      <c r="D107" s="2205"/>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06"/>
      <c r="AV107" s="1783">
        <f t="shared" si="12"/>
        <v>0</v>
      </c>
      <c r="AW107" s="1783">
        <f t="shared" si="13"/>
        <v>0</v>
      </c>
      <c r="AX107" s="1783">
        <f t="shared" si="36"/>
        <v>0</v>
      </c>
      <c r="AY107" s="42">
        <f t="shared" si="14"/>
        <v>0</v>
      </c>
      <c r="AZ107" s="35">
        <f t="shared" si="15"/>
        <v>0</v>
      </c>
      <c r="BA107" s="35">
        <f t="shared" si="16"/>
        <v>0</v>
      </c>
      <c r="BB107" s="35">
        <f t="shared" si="17"/>
        <v>0</v>
      </c>
      <c r="BC107" s="35">
        <f t="shared" si="34"/>
        <v>0</v>
      </c>
      <c r="BD107" s="35">
        <f t="shared" si="18"/>
        <v>0</v>
      </c>
      <c r="BE107" s="35">
        <f t="shared" si="35"/>
        <v>0</v>
      </c>
      <c r="BF107" s="35">
        <f t="shared" si="19"/>
        <v>0</v>
      </c>
      <c r="BG107" s="35">
        <f t="shared" si="20"/>
        <v>0</v>
      </c>
      <c r="BH107" s="35">
        <f t="shared" si="21"/>
        <v>0</v>
      </c>
      <c r="BI107" s="35">
        <f t="shared" si="22"/>
        <v>0</v>
      </c>
      <c r="BJ107" s="35">
        <f t="shared" si="23"/>
        <v>0</v>
      </c>
      <c r="BK107" s="35">
        <f t="shared" si="24"/>
        <v>0</v>
      </c>
      <c r="BL107" s="35">
        <f t="shared" si="25"/>
        <v>0</v>
      </c>
      <c r="BM107" s="35">
        <f t="shared" si="26"/>
        <v>0</v>
      </c>
      <c r="BN107" s="35">
        <f t="shared" si="27"/>
        <v>0</v>
      </c>
      <c r="BO107" s="35">
        <f t="shared" si="28"/>
        <v>0</v>
      </c>
      <c r="BP107" s="35">
        <f t="shared" si="29"/>
        <v>0</v>
      </c>
      <c r="BQ107" s="35">
        <f t="shared" si="30"/>
        <v>0</v>
      </c>
      <c r="BR107" s="35">
        <f t="shared" si="31"/>
        <v>0</v>
      </c>
      <c r="BS107" s="35">
        <f t="shared" si="32"/>
        <v>0</v>
      </c>
      <c r="BT107" s="43">
        <f t="shared" si="33"/>
        <v>0</v>
      </c>
    </row>
    <row r="108" spans="1:72">
      <c r="A108" s="9"/>
      <c r="B108" s="34"/>
      <c r="C108" s="34"/>
      <c r="D108" s="2205"/>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06"/>
      <c r="AV108" s="1783">
        <f t="shared" si="12"/>
        <v>0</v>
      </c>
      <c r="AW108" s="1783">
        <f t="shared" si="13"/>
        <v>0</v>
      </c>
      <c r="AX108" s="1783">
        <f t="shared" si="36"/>
        <v>0</v>
      </c>
      <c r="AY108" s="42">
        <f t="shared" si="14"/>
        <v>0</v>
      </c>
      <c r="AZ108" s="35">
        <f t="shared" si="15"/>
        <v>0</v>
      </c>
      <c r="BA108" s="35">
        <f t="shared" si="16"/>
        <v>0</v>
      </c>
      <c r="BB108" s="35">
        <f t="shared" si="17"/>
        <v>0</v>
      </c>
      <c r="BC108" s="35">
        <f t="shared" si="34"/>
        <v>0</v>
      </c>
      <c r="BD108" s="35">
        <f t="shared" si="18"/>
        <v>0</v>
      </c>
      <c r="BE108" s="35">
        <f t="shared" si="35"/>
        <v>0</v>
      </c>
      <c r="BF108" s="35">
        <f t="shared" si="19"/>
        <v>0</v>
      </c>
      <c r="BG108" s="35">
        <f t="shared" si="20"/>
        <v>0</v>
      </c>
      <c r="BH108" s="35">
        <f t="shared" si="21"/>
        <v>0</v>
      </c>
      <c r="BI108" s="35">
        <f t="shared" si="22"/>
        <v>0</v>
      </c>
      <c r="BJ108" s="35">
        <f t="shared" si="23"/>
        <v>0</v>
      </c>
      <c r="BK108" s="35">
        <f t="shared" si="24"/>
        <v>0</v>
      </c>
      <c r="BL108" s="35">
        <f t="shared" si="25"/>
        <v>0</v>
      </c>
      <c r="BM108" s="35">
        <f t="shared" si="26"/>
        <v>0</v>
      </c>
      <c r="BN108" s="35">
        <f t="shared" si="27"/>
        <v>0</v>
      </c>
      <c r="BO108" s="35">
        <f t="shared" si="28"/>
        <v>0</v>
      </c>
      <c r="BP108" s="35">
        <f t="shared" si="29"/>
        <v>0</v>
      </c>
      <c r="BQ108" s="35">
        <f t="shared" si="30"/>
        <v>0</v>
      </c>
      <c r="BR108" s="35">
        <f t="shared" si="31"/>
        <v>0</v>
      </c>
      <c r="BS108" s="35">
        <f t="shared" si="32"/>
        <v>0</v>
      </c>
      <c r="BT108" s="43">
        <f t="shared" si="33"/>
        <v>0</v>
      </c>
    </row>
    <row r="109" spans="1:72">
      <c r="A109" s="9"/>
      <c r="B109" s="34"/>
      <c r="C109" s="34"/>
      <c r="D109" s="2205"/>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06"/>
      <c r="AV109" s="1783">
        <f t="shared" si="12"/>
        <v>0</v>
      </c>
      <c r="AW109" s="1783">
        <f t="shared" si="13"/>
        <v>0</v>
      </c>
      <c r="AX109" s="1783">
        <f t="shared" si="36"/>
        <v>0</v>
      </c>
      <c r="AY109" s="42">
        <f t="shared" si="14"/>
        <v>0</v>
      </c>
      <c r="AZ109" s="35">
        <f t="shared" si="15"/>
        <v>0</v>
      </c>
      <c r="BA109" s="35">
        <f t="shared" si="16"/>
        <v>0</v>
      </c>
      <c r="BB109" s="35">
        <f t="shared" si="17"/>
        <v>0</v>
      </c>
      <c r="BC109" s="35">
        <f t="shared" si="34"/>
        <v>0</v>
      </c>
      <c r="BD109" s="35">
        <f t="shared" si="18"/>
        <v>0</v>
      </c>
      <c r="BE109" s="35">
        <f t="shared" si="35"/>
        <v>0</v>
      </c>
      <c r="BF109" s="35">
        <f t="shared" si="19"/>
        <v>0</v>
      </c>
      <c r="BG109" s="35">
        <f t="shared" si="20"/>
        <v>0</v>
      </c>
      <c r="BH109" s="35">
        <f t="shared" si="21"/>
        <v>0</v>
      </c>
      <c r="BI109" s="35">
        <f t="shared" si="22"/>
        <v>0</v>
      </c>
      <c r="BJ109" s="35">
        <f t="shared" si="23"/>
        <v>0</v>
      </c>
      <c r="BK109" s="35">
        <f t="shared" si="24"/>
        <v>0</v>
      </c>
      <c r="BL109" s="35">
        <f t="shared" si="25"/>
        <v>0</v>
      </c>
      <c r="BM109" s="35">
        <f t="shared" si="26"/>
        <v>0</v>
      </c>
      <c r="BN109" s="35">
        <f t="shared" si="27"/>
        <v>0</v>
      </c>
      <c r="BO109" s="35">
        <f t="shared" si="28"/>
        <v>0</v>
      </c>
      <c r="BP109" s="35">
        <f t="shared" si="29"/>
        <v>0</v>
      </c>
      <c r="BQ109" s="35">
        <f t="shared" si="30"/>
        <v>0</v>
      </c>
      <c r="BR109" s="35">
        <f t="shared" si="31"/>
        <v>0</v>
      </c>
      <c r="BS109" s="35">
        <f t="shared" si="32"/>
        <v>0</v>
      </c>
      <c r="BT109" s="43">
        <f t="shared" si="33"/>
        <v>0</v>
      </c>
    </row>
    <row r="110" spans="1:72">
      <c r="A110" s="9"/>
      <c r="B110" s="9"/>
      <c r="C110" s="9"/>
      <c r="D110" s="2205"/>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3">
        <f t="shared" si="12"/>
        <v>0</v>
      </c>
      <c r="AW110" s="1783">
        <f t="shared" si="13"/>
        <v>0</v>
      </c>
      <c r="AX110" s="1783">
        <f t="shared" si="36"/>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05"/>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41"/>
      <c r="AV111" s="1783">
        <f t="shared" si="12"/>
        <v>0</v>
      </c>
      <c r="AW111" s="1783">
        <f t="shared" si="13"/>
        <v>0</v>
      </c>
      <c r="AX111" s="1783">
        <f t="shared" si="36"/>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05"/>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41"/>
      <c r="AV112" s="1783">
        <f t="shared" si="12"/>
        <v>0</v>
      </c>
      <c r="AW112" s="1783">
        <f t="shared" si="13"/>
        <v>0</v>
      </c>
      <c r="AX112" s="1783">
        <f t="shared" si="36"/>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05"/>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06"/>
      <c r="AV113" s="1783">
        <f t="shared" ref="AV113:AV144" si="63">A113</f>
        <v>0</v>
      </c>
      <c r="AW113" s="1783">
        <f t="shared" ref="AW113:AW144" si="64">B113</f>
        <v>0</v>
      </c>
      <c r="AX113" s="1783">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05"/>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06"/>
      <c r="AV114" s="1783">
        <f t="shared" si="63"/>
        <v>0</v>
      </c>
      <c r="AW114" s="1783">
        <f t="shared" si="64"/>
        <v>0</v>
      </c>
      <c r="AX114" s="1783">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05"/>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06"/>
      <c r="AV115" s="1783">
        <f t="shared" si="63"/>
        <v>0</v>
      </c>
      <c r="AW115" s="1783">
        <f t="shared" si="64"/>
        <v>0</v>
      </c>
      <c r="AX115" s="1783">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05"/>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06"/>
      <c r="AV116" s="1783">
        <f t="shared" si="63"/>
        <v>0</v>
      </c>
      <c r="AW116" s="1783">
        <f t="shared" si="64"/>
        <v>0</v>
      </c>
      <c r="AX116" s="1783">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05"/>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06"/>
      <c r="AV117" s="1783">
        <f t="shared" si="63"/>
        <v>0</v>
      </c>
      <c r="AW117" s="1783">
        <f t="shared" si="64"/>
        <v>0</v>
      </c>
      <c r="AX117" s="1783">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05"/>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06"/>
      <c r="AV118" s="1783">
        <f t="shared" si="63"/>
        <v>0</v>
      </c>
      <c r="AW118" s="1783">
        <f t="shared" si="64"/>
        <v>0</v>
      </c>
      <c r="AX118" s="1783">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05"/>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06"/>
      <c r="AV119" s="1783">
        <f t="shared" si="63"/>
        <v>0</v>
      </c>
      <c r="AW119" s="1783">
        <f t="shared" si="64"/>
        <v>0</v>
      </c>
      <c r="AX119" s="1783">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05"/>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06"/>
      <c r="AV120" s="1783">
        <f t="shared" si="63"/>
        <v>0</v>
      </c>
      <c r="AW120" s="1783">
        <f t="shared" si="64"/>
        <v>0</v>
      </c>
      <c r="AX120" s="1783">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05"/>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06"/>
      <c r="AV121" s="1783">
        <f t="shared" si="63"/>
        <v>0</v>
      </c>
      <c r="AW121" s="1783">
        <f t="shared" si="64"/>
        <v>0</v>
      </c>
      <c r="AX121" s="1783">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05"/>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06"/>
      <c r="AV122" s="1783">
        <f t="shared" si="63"/>
        <v>0</v>
      </c>
      <c r="AW122" s="1783">
        <f t="shared" si="64"/>
        <v>0</v>
      </c>
      <c r="AX122" s="1783">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05"/>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06"/>
      <c r="AV123" s="1783">
        <f t="shared" si="63"/>
        <v>0</v>
      </c>
      <c r="AW123" s="1783">
        <f t="shared" si="64"/>
        <v>0</v>
      </c>
      <c r="AX123" s="1783">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05"/>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06"/>
      <c r="AV124" s="1783">
        <f t="shared" si="63"/>
        <v>0</v>
      </c>
      <c r="AW124" s="1783">
        <f t="shared" si="64"/>
        <v>0</v>
      </c>
      <c r="AX124" s="1783">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05"/>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06"/>
      <c r="AV125" s="1783">
        <f t="shared" si="63"/>
        <v>0</v>
      </c>
      <c r="AW125" s="1783">
        <f t="shared" si="64"/>
        <v>0</v>
      </c>
      <c r="AX125" s="1783">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05"/>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06"/>
      <c r="AV126" s="1783">
        <f t="shared" si="63"/>
        <v>0</v>
      </c>
      <c r="AW126" s="1783">
        <f t="shared" si="64"/>
        <v>0</v>
      </c>
      <c r="AX126" s="1783">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05"/>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06"/>
      <c r="AV127" s="1783">
        <f t="shared" si="63"/>
        <v>0</v>
      </c>
      <c r="AW127" s="1783">
        <f t="shared" si="64"/>
        <v>0</v>
      </c>
      <c r="AX127" s="1783">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05"/>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06"/>
      <c r="AV128" s="1783">
        <f t="shared" si="63"/>
        <v>0</v>
      </c>
      <c r="AW128" s="1783">
        <f t="shared" si="64"/>
        <v>0</v>
      </c>
      <c r="AX128" s="1783">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05"/>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06"/>
      <c r="AV129" s="1783">
        <f t="shared" si="63"/>
        <v>0</v>
      </c>
      <c r="AW129" s="1783">
        <f t="shared" si="64"/>
        <v>0</v>
      </c>
      <c r="AX129" s="1783">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05"/>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06"/>
      <c r="AV130" s="1783">
        <f t="shared" si="63"/>
        <v>0</v>
      </c>
      <c r="AW130" s="1783">
        <f t="shared" si="64"/>
        <v>0</v>
      </c>
      <c r="AX130" s="1783">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05"/>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06"/>
      <c r="AV131" s="1783">
        <f t="shared" si="63"/>
        <v>0</v>
      </c>
      <c r="AW131" s="1783">
        <f t="shared" si="64"/>
        <v>0</v>
      </c>
      <c r="AX131" s="1783">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05"/>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06"/>
      <c r="AV132" s="1783">
        <f t="shared" si="63"/>
        <v>0</v>
      </c>
      <c r="AW132" s="1783">
        <f t="shared" si="64"/>
        <v>0</v>
      </c>
      <c r="AX132" s="1783">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05"/>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06"/>
      <c r="AV133" s="1783">
        <f t="shared" si="63"/>
        <v>0</v>
      </c>
      <c r="AW133" s="1783">
        <f t="shared" si="64"/>
        <v>0</v>
      </c>
      <c r="AX133" s="1783">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05"/>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06"/>
      <c r="AV134" s="1783">
        <f t="shared" si="63"/>
        <v>0</v>
      </c>
      <c r="AW134" s="1783">
        <f t="shared" si="64"/>
        <v>0</v>
      </c>
      <c r="AX134" s="1783">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05"/>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06"/>
      <c r="AV135" s="1783">
        <f t="shared" si="63"/>
        <v>0</v>
      </c>
      <c r="AW135" s="1783">
        <f t="shared" si="64"/>
        <v>0</v>
      </c>
      <c r="AX135" s="1783">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05"/>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06"/>
      <c r="AV136" s="1783">
        <f t="shared" si="63"/>
        <v>0</v>
      </c>
      <c r="AW136" s="1783">
        <f t="shared" si="64"/>
        <v>0</v>
      </c>
      <c r="AX136" s="1783">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05"/>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06"/>
      <c r="AV137" s="1783">
        <f t="shared" si="63"/>
        <v>0</v>
      </c>
      <c r="AW137" s="1783">
        <f t="shared" si="64"/>
        <v>0</v>
      </c>
      <c r="AX137" s="1783">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05"/>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06"/>
      <c r="AV138" s="1783">
        <f t="shared" si="63"/>
        <v>0</v>
      </c>
      <c r="AW138" s="1783">
        <f t="shared" si="64"/>
        <v>0</v>
      </c>
      <c r="AX138" s="1783">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05"/>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06"/>
      <c r="AV139" s="1783">
        <f t="shared" si="63"/>
        <v>0</v>
      </c>
      <c r="AW139" s="1783">
        <f t="shared" si="64"/>
        <v>0</v>
      </c>
      <c r="AX139" s="1783">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05"/>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06"/>
      <c r="AV140" s="1783">
        <f t="shared" si="63"/>
        <v>0</v>
      </c>
      <c r="AW140" s="1783">
        <f t="shared" si="64"/>
        <v>0</v>
      </c>
      <c r="AX140" s="1783">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05"/>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06"/>
      <c r="AV141" s="1783">
        <f t="shared" si="63"/>
        <v>0</v>
      </c>
      <c r="AW141" s="1783">
        <f t="shared" si="64"/>
        <v>0</v>
      </c>
      <c r="AX141" s="1783">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05"/>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3">
        <f t="shared" si="63"/>
        <v>0</v>
      </c>
      <c r="AW142" s="1783">
        <f t="shared" si="64"/>
        <v>0</v>
      </c>
      <c r="AX142" s="1783">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05"/>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06"/>
      <c r="AV143" s="1783">
        <f t="shared" si="63"/>
        <v>0</v>
      </c>
      <c r="AW143" s="1783">
        <f t="shared" si="64"/>
        <v>0</v>
      </c>
      <c r="AX143" s="1783">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05"/>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06"/>
      <c r="AV144" s="1783">
        <f t="shared" si="63"/>
        <v>0</v>
      </c>
      <c r="AW144" s="1783">
        <f t="shared" si="64"/>
        <v>0</v>
      </c>
      <c r="AX144" s="1783">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05"/>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06"/>
      <c r="AV145" s="1783">
        <f t="shared" ref="AV145:AV176" si="92">A145</f>
        <v>0</v>
      </c>
      <c r="AW145" s="1783">
        <f t="shared" ref="AW145:AW176" si="93">B145</f>
        <v>0</v>
      </c>
      <c r="AX145" s="1783">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05"/>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06"/>
      <c r="AV146" s="1783">
        <f t="shared" si="92"/>
        <v>0</v>
      </c>
      <c r="AW146" s="1783">
        <f t="shared" si="93"/>
        <v>0</v>
      </c>
      <c r="AX146" s="1783">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05"/>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06"/>
      <c r="AV147" s="1783">
        <f t="shared" si="92"/>
        <v>0</v>
      </c>
      <c r="AW147" s="1783">
        <f t="shared" si="93"/>
        <v>0</v>
      </c>
      <c r="AX147" s="1783">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05"/>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06"/>
      <c r="AV148" s="1783">
        <f t="shared" si="92"/>
        <v>0</v>
      </c>
      <c r="AW148" s="1783">
        <f t="shared" si="93"/>
        <v>0</v>
      </c>
      <c r="AX148" s="1783">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05"/>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06"/>
      <c r="AV149" s="1783">
        <f t="shared" si="92"/>
        <v>0</v>
      </c>
      <c r="AW149" s="1783">
        <f t="shared" si="93"/>
        <v>0</v>
      </c>
      <c r="AX149" s="1783">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05"/>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06"/>
      <c r="AV150" s="1783">
        <f t="shared" si="92"/>
        <v>0</v>
      </c>
      <c r="AW150" s="1783">
        <f t="shared" si="93"/>
        <v>0</v>
      </c>
      <c r="AX150" s="1783">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05"/>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06"/>
      <c r="AV151" s="1783">
        <f t="shared" si="92"/>
        <v>0</v>
      </c>
      <c r="AW151" s="1783">
        <f t="shared" si="93"/>
        <v>0</v>
      </c>
      <c r="AX151" s="1783">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05"/>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06"/>
      <c r="AV152" s="1783">
        <f t="shared" si="92"/>
        <v>0</v>
      </c>
      <c r="AW152" s="1783">
        <f t="shared" si="93"/>
        <v>0</v>
      </c>
      <c r="AX152" s="1783">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05"/>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06"/>
      <c r="AV153" s="1783">
        <f t="shared" si="92"/>
        <v>0</v>
      </c>
      <c r="AW153" s="1783">
        <f t="shared" si="93"/>
        <v>0</v>
      </c>
      <c r="AX153" s="1783">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05"/>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06"/>
      <c r="AV154" s="1783">
        <f t="shared" si="92"/>
        <v>0</v>
      </c>
      <c r="AW154" s="1783">
        <f t="shared" si="93"/>
        <v>0</v>
      </c>
      <c r="AX154" s="1783">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05"/>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06"/>
      <c r="AV155" s="1783">
        <f t="shared" si="92"/>
        <v>0</v>
      </c>
      <c r="AW155" s="1783">
        <f t="shared" si="93"/>
        <v>0</v>
      </c>
      <c r="AX155" s="1783">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05"/>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06"/>
      <c r="AV156" s="1783">
        <f t="shared" si="92"/>
        <v>0</v>
      </c>
      <c r="AW156" s="1783">
        <f t="shared" si="93"/>
        <v>0</v>
      </c>
      <c r="AX156" s="1783">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05"/>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06"/>
      <c r="AV157" s="1783">
        <f t="shared" si="92"/>
        <v>0</v>
      </c>
      <c r="AW157" s="1783">
        <f t="shared" si="93"/>
        <v>0</v>
      </c>
      <c r="AX157" s="1783">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05"/>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06"/>
      <c r="AV158" s="1783">
        <f t="shared" si="92"/>
        <v>0</v>
      </c>
      <c r="AW158" s="1783">
        <f t="shared" si="93"/>
        <v>0</v>
      </c>
      <c r="AX158" s="1783">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05"/>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06"/>
      <c r="AV159" s="1783">
        <f t="shared" si="92"/>
        <v>0</v>
      </c>
      <c r="AW159" s="1783">
        <f t="shared" si="93"/>
        <v>0</v>
      </c>
      <c r="AX159" s="1783">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05"/>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06"/>
      <c r="AV160" s="1783">
        <f t="shared" si="92"/>
        <v>0</v>
      </c>
      <c r="AW160" s="1783">
        <f t="shared" si="93"/>
        <v>0</v>
      </c>
      <c r="AX160" s="1783">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05"/>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06"/>
      <c r="AV161" s="1783">
        <f t="shared" si="92"/>
        <v>0</v>
      </c>
      <c r="AW161" s="1783">
        <f t="shared" si="93"/>
        <v>0</v>
      </c>
      <c r="AX161" s="1783">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05"/>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06"/>
      <c r="AV162" s="1783">
        <f t="shared" si="92"/>
        <v>0</v>
      </c>
      <c r="AW162" s="1783">
        <f t="shared" si="93"/>
        <v>0</v>
      </c>
      <c r="AX162" s="1783">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05"/>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06"/>
      <c r="AV163" s="1783">
        <f t="shared" si="92"/>
        <v>0</v>
      </c>
      <c r="AW163" s="1783">
        <f t="shared" si="93"/>
        <v>0</v>
      </c>
      <c r="AX163" s="1783">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05"/>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06"/>
      <c r="AV164" s="1783">
        <f t="shared" si="92"/>
        <v>0</v>
      </c>
      <c r="AW164" s="1783">
        <f t="shared" si="93"/>
        <v>0</v>
      </c>
      <c r="AX164" s="1783">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05"/>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06"/>
      <c r="AV165" s="1783">
        <f t="shared" si="92"/>
        <v>0</v>
      </c>
      <c r="AW165" s="1783">
        <f t="shared" si="93"/>
        <v>0</v>
      </c>
      <c r="AX165" s="1783">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05"/>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06"/>
      <c r="AV166" s="1783">
        <f t="shared" si="92"/>
        <v>0</v>
      </c>
      <c r="AW166" s="1783">
        <f t="shared" si="93"/>
        <v>0</v>
      </c>
      <c r="AX166" s="1783">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05"/>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06"/>
      <c r="AV167" s="1783">
        <f t="shared" si="92"/>
        <v>0</v>
      </c>
      <c r="AW167" s="1783">
        <f t="shared" si="93"/>
        <v>0</v>
      </c>
      <c r="AX167" s="1783">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05"/>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06"/>
      <c r="AV168" s="1783">
        <f t="shared" si="92"/>
        <v>0</v>
      </c>
      <c r="AW168" s="1783">
        <f t="shared" si="93"/>
        <v>0</v>
      </c>
      <c r="AX168" s="1783">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05"/>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06"/>
      <c r="AV169" s="1783">
        <f t="shared" si="92"/>
        <v>0</v>
      </c>
      <c r="AW169" s="1783">
        <f t="shared" si="93"/>
        <v>0</v>
      </c>
      <c r="AX169" s="1783">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05"/>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06"/>
      <c r="AV170" s="1783">
        <f t="shared" si="92"/>
        <v>0</v>
      </c>
      <c r="AW170" s="1783">
        <f t="shared" si="93"/>
        <v>0</v>
      </c>
      <c r="AX170" s="1783">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05"/>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06"/>
      <c r="AV171" s="1783">
        <f t="shared" si="92"/>
        <v>0</v>
      </c>
      <c r="AW171" s="1783">
        <f t="shared" si="93"/>
        <v>0</v>
      </c>
      <c r="AX171" s="1783">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05"/>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06"/>
      <c r="AV172" s="1783">
        <f t="shared" si="92"/>
        <v>0</v>
      </c>
      <c r="AW172" s="1783">
        <f t="shared" si="93"/>
        <v>0</v>
      </c>
      <c r="AX172" s="1783">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05"/>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06"/>
      <c r="AV173" s="1783">
        <f t="shared" si="92"/>
        <v>0</v>
      </c>
      <c r="AW173" s="1783">
        <f t="shared" si="93"/>
        <v>0</v>
      </c>
      <c r="AX173" s="1783">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05"/>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3">
        <f t="shared" si="92"/>
        <v>0</v>
      </c>
      <c r="AW174" s="1783">
        <f t="shared" si="93"/>
        <v>0</v>
      </c>
      <c r="AX174" s="1783">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05"/>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06"/>
      <c r="AV175" s="1783">
        <f t="shared" si="92"/>
        <v>0</v>
      </c>
      <c r="AW175" s="1783">
        <f t="shared" si="93"/>
        <v>0</v>
      </c>
      <c r="AX175" s="1783">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05"/>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06"/>
      <c r="AV176" s="1783">
        <f t="shared" si="92"/>
        <v>0</v>
      </c>
      <c r="AW176" s="1783">
        <f t="shared" si="93"/>
        <v>0</v>
      </c>
      <c r="AX176" s="1783">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05"/>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06"/>
      <c r="AV177" s="1783">
        <f t="shared" ref="AV177:AV207" si="121">A177</f>
        <v>0</v>
      </c>
      <c r="AW177" s="1783">
        <f t="shared" ref="AW177:AW207" si="122">B177</f>
        <v>0</v>
      </c>
      <c r="AX177" s="1783">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05"/>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06"/>
      <c r="AV178" s="1783">
        <f t="shared" si="121"/>
        <v>0</v>
      </c>
      <c r="AW178" s="1783">
        <f t="shared" si="122"/>
        <v>0</v>
      </c>
      <c r="AX178" s="1783">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05"/>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06"/>
      <c r="AV179" s="1783">
        <f t="shared" si="121"/>
        <v>0</v>
      </c>
      <c r="AW179" s="1783">
        <f t="shared" si="122"/>
        <v>0</v>
      </c>
      <c r="AX179" s="1783">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05"/>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06"/>
      <c r="AV180" s="1783">
        <f t="shared" si="121"/>
        <v>0</v>
      </c>
      <c r="AW180" s="1783">
        <f t="shared" si="122"/>
        <v>0</v>
      </c>
      <c r="AX180" s="1783">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05"/>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06"/>
      <c r="AV181" s="1783">
        <f t="shared" si="121"/>
        <v>0</v>
      </c>
      <c r="AW181" s="1783">
        <f t="shared" si="122"/>
        <v>0</v>
      </c>
      <c r="AX181" s="1783">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05"/>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06"/>
      <c r="AV182" s="1783">
        <f t="shared" si="121"/>
        <v>0</v>
      </c>
      <c r="AW182" s="1783">
        <f t="shared" si="122"/>
        <v>0</v>
      </c>
      <c r="AX182" s="1783">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05"/>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06"/>
      <c r="AV183" s="1783">
        <f t="shared" si="121"/>
        <v>0</v>
      </c>
      <c r="AW183" s="1783">
        <f t="shared" si="122"/>
        <v>0</v>
      </c>
      <c r="AX183" s="1783">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05"/>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06"/>
      <c r="AV184" s="1783">
        <f t="shared" si="121"/>
        <v>0</v>
      </c>
      <c r="AW184" s="1783">
        <f t="shared" si="122"/>
        <v>0</v>
      </c>
      <c r="AX184" s="1783">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05"/>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06"/>
      <c r="AV185" s="1783">
        <f t="shared" si="121"/>
        <v>0</v>
      </c>
      <c r="AW185" s="1783">
        <f t="shared" si="122"/>
        <v>0</v>
      </c>
      <c r="AX185" s="1783">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05"/>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06"/>
      <c r="AV186" s="1783">
        <f t="shared" si="121"/>
        <v>0</v>
      </c>
      <c r="AW186" s="1783">
        <f t="shared" si="122"/>
        <v>0</v>
      </c>
      <c r="AX186" s="1783">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05"/>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06"/>
      <c r="AV187" s="1783">
        <f t="shared" si="121"/>
        <v>0</v>
      </c>
      <c r="AW187" s="1783">
        <f t="shared" si="122"/>
        <v>0</v>
      </c>
      <c r="AX187" s="1783">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05"/>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06"/>
      <c r="AV188" s="1783">
        <f t="shared" si="121"/>
        <v>0</v>
      </c>
      <c r="AW188" s="1783">
        <f t="shared" si="122"/>
        <v>0</v>
      </c>
      <c r="AX188" s="1783">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05"/>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06"/>
      <c r="AV189" s="1783">
        <f t="shared" si="121"/>
        <v>0</v>
      </c>
      <c r="AW189" s="1783">
        <f t="shared" si="122"/>
        <v>0</v>
      </c>
      <c r="AX189" s="1783">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05"/>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06"/>
      <c r="AV190" s="1783">
        <f t="shared" si="121"/>
        <v>0</v>
      </c>
      <c r="AW190" s="1783">
        <f t="shared" si="122"/>
        <v>0</v>
      </c>
      <c r="AX190" s="1783">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05"/>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06"/>
      <c r="AV191" s="1783">
        <f t="shared" si="121"/>
        <v>0</v>
      </c>
      <c r="AW191" s="1783">
        <f t="shared" si="122"/>
        <v>0</v>
      </c>
      <c r="AX191" s="1783">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05"/>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06"/>
      <c r="AV192" s="1783">
        <f t="shared" si="121"/>
        <v>0</v>
      </c>
      <c r="AW192" s="1783">
        <f t="shared" si="122"/>
        <v>0</v>
      </c>
      <c r="AX192" s="1783">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05"/>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06"/>
      <c r="AV193" s="1783">
        <f t="shared" si="121"/>
        <v>0</v>
      </c>
      <c r="AW193" s="1783">
        <f t="shared" si="122"/>
        <v>0</v>
      </c>
      <c r="AX193" s="1783">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05"/>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06"/>
      <c r="AV194" s="1783">
        <f t="shared" si="121"/>
        <v>0</v>
      </c>
      <c r="AW194" s="1783">
        <f t="shared" si="122"/>
        <v>0</v>
      </c>
      <c r="AX194" s="1783">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05"/>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06"/>
      <c r="AV195" s="1783">
        <f t="shared" si="121"/>
        <v>0</v>
      </c>
      <c r="AW195" s="1783">
        <f t="shared" si="122"/>
        <v>0</v>
      </c>
      <c r="AX195" s="1783">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05"/>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06"/>
      <c r="AV196" s="1783">
        <f t="shared" si="121"/>
        <v>0</v>
      </c>
      <c r="AW196" s="1783">
        <f t="shared" si="122"/>
        <v>0</v>
      </c>
      <c r="AX196" s="1783">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05"/>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06"/>
      <c r="AV197" s="1783">
        <f t="shared" si="121"/>
        <v>0</v>
      </c>
      <c r="AW197" s="1783">
        <f t="shared" si="122"/>
        <v>0</v>
      </c>
      <c r="AX197" s="1783">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05"/>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06"/>
      <c r="AV198" s="1783">
        <f t="shared" si="121"/>
        <v>0</v>
      </c>
      <c r="AW198" s="1783">
        <f t="shared" si="122"/>
        <v>0</v>
      </c>
      <c r="AX198" s="1783">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05"/>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06"/>
      <c r="AV199" s="1783">
        <f t="shared" si="121"/>
        <v>0</v>
      </c>
      <c r="AW199" s="1783">
        <f t="shared" si="122"/>
        <v>0</v>
      </c>
      <c r="AX199" s="1783">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05"/>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06"/>
      <c r="AV200" s="1783">
        <f t="shared" si="121"/>
        <v>0</v>
      </c>
      <c r="AW200" s="1783">
        <f t="shared" si="122"/>
        <v>0</v>
      </c>
      <c r="AX200" s="1783">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05"/>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06"/>
      <c r="AV201" s="1783">
        <f t="shared" si="121"/>
        <v>0</v>
      </c>
      <c r="AW201" s="1783">
        <f t="shared" si="122"/>
        <v>0</v>
      </c>
      <c r="AX201" s="1783">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05"/>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06"/>
      <c r="AV202" s="1783">
        <f t="shared" si="121"/>
        <v>0</v>
      </c>
      <c r="AW202" s="1783">
        <f t="shared" si="122"/>
        <v>0</v>
      </c>
      <c r="AX202" s="1783">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05"/>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06"/>
      <c r="AV203" s="1783">
        <f t="shared" si="121"/>
        <v>0</v>
      </c>
      <c r="AW203" s="1783">
        <f t="shared" si="122"/>
        <v>0</v>
      </c>
      <c r="AX203" s="1783">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05"/>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06"/>
      <c r="AV204" s="1783">
        <f t="shared" si="121"/>
        <v>0</v>
      </c>
      <c r="AW204" s="1783">
        <f t="shared" si="122"/>
        <v>0</v>
      </c>
      <c r="AX204" s="1783">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05"/>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41"/>
      <c r="AV205" s="1783">
        <f t="shared" si="121"/>
        <v>0</v>
      </c>
      <c r="AW205" s="1783">
        <f t="shared" si="122"/>
        <v>0</v>
      </c>
      <c r="AX205" s="1783">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05"/>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3">
        <f t="shared" si="121"/>
        <v>0</v>
      </c>
      <c r="AW206" s="1783">
        <f t="shared" si="122"/>
        <v>0</v>
      </c>
      <c r="AX206" s="1783">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05"/>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3">
        <f t="shared" si="121"/>
        <v>0</v>
      </c>
      <c r="AW207" s="1783">
        <f t="shared" si="122"/>
        <v>0</v>
      </c>
      <c r="AX207" s="1783">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05"/>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3">
        <f t="shared" ref="AV208:AV302" si="128">A208</f>
        <v>0</v>
      </c>
      <c r="AW208" s="1783">
        <f t="shared" ref="AW208:AW302" si="129">B208</f>
        <v>0</v>
      </c>
      <c r="AX208" s="1783">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05"/>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06"/>
      <c r="AV209" s="1783">
        <f t="shared" si="128"/>
        <v>0</v>
      </c>
      <c r="AW209" s="1783">
        <f t="shared" si="129"/>
        <v>0</v>
      </c>
      <c r="AX209" s="1783">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05"/>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06"/>
      <c r="AV210" s="1783">
        <f t="shared" si="128"/>
        <v>0</v>
      </c>
      <c r="AW210" s="1783">
        <f t="shared" si="129"/>
        <v>0</v>
      </c>
      <c r="AX210" s="1783">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05"/>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06"/>
      <c r="AV211" s="1783">
        <f t="shared" si="128"/>
        <v>0</v>
      </c>
      <c r="AW211" s="1783">
        <f t="shared" si="129"/>
        <v>0</v>
      </c>
      <c r="AX211" s="1783">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05"/>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06"/>
      <c r="AV212" s="1783">
        <f t="shared" si="128"/>
        <v>0</v>
      </c>
      <c r="AW212" s="1783">
        <f t="shared" si="129"/>
        <v>0</v>
      </c>
      <c r="AX212" s="1783">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05"/>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06"/>
      <c r="AV213" s="1783">
        <f t="shared" si="128"/>
        <v>0</v>
      </c>
      <c r="AW213" s="1783">
        <f t="shared" si="129"/>
        <v>0</v>
      </c>
      <c r="AX213" s="1783">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05"/>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06"/>
      <c r="AV214" s="1783">
        <f t="shared" si="128"/>
        <v>0</v>
      </c>
      <c r="AW214" s="1783">
        <f t="shared" si="129"/>
        <v>0</v>
      </c>
      <c r="AX214" s="1783">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05"/>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06"/>
      <c r="AV215" s="1783">
        <f t="shared" si="128"/>
        <v>0</v>
      </c>
      <c r="AW215" s="1783">
        <f t="shared" si="129"/>
        <v>0</v>
      </c>
      <c r="AX215" s="1783">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05"/>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06"/>
      <c r="AV216" s="1783">
        <f t="shared" si="128"/>
        <v>0</v>
      </c>
      <c r="AW216" s="1783">
        <f t="shared" si="129"/>
        <v>0</v>
      </c>
      <c r="AX216" s="1783">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05"/>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06"/>
      <c r="AV217" s="1783">
        <f t="shared" si="128"/>
        <v>0</v>
      </c>
      <c r="AW217" s="1783">
        <f t="shared" si="129"/>
        <v>0</v>
      </c>
      <c r="AX217" s="1783">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05"/>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06"/>
      <c r="AV218" s="1783">
        <f t="shared" si="128"/>
        <v>0</v>
      </c>
      <c r="AW218" s="1783">
        <f t="shared" si="129"/>
        <v>0</v>
      </c>
      <c r="AX218" s="1783">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05"/>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06"/>
      <c r="AV219" s="1783">
        <f t="shared" si="128"/>
        <v>0</v>
      </c>
      <c r="AW219" s="1783">
        <f t="shared" si="129"/>
        <v>0</v>
      </c>
      <c r="AX219" s="1783">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05"/>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06"/>
      <c r="AV220" s="1783">
        <f t="shared" si="128"/>
        <v>0</v>
      </c>
      <c r="AW220" s="1783">
        <f t="shared" si="129"/>
        <v>0</v>
      </c>
      <c r="AX220" s="1783">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05"/>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06"/>
      <c r="AV221" s="1783">
        <f t="shared" si="128"/>
        <v>0</v>
      </c>
      <c r="AW221" s="1783">
        <f t="shared" si="129"/>
        <v>0</v>
      </c>
      <c r="AX221" s="1783">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05"/>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06"/>
      <c r="AV222" s="1783">
        <f t="shared" si="128"/>
        <v>0</v>
      </c>
      <c r="AW222" s="1783">
        <f t="shared" si="129"/>
        <v>0</v>
      </c>
      <c r="AX222" s="1783">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05"/>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06"/>
      <c r="AV223" s="1783">
        <f t="shared" si="128"/>
        <v>0</v>
      </c>
      <c r="AW223" s="1783">
        <f t="shared" si="129"/>
        <v>0</v>
      </c>
      <c r="AX223" s="1783">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05"/>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06"/>
      <c r="AV224" s="1783">
        <f t="shared" si="128"/>
        <v>0</v>
      </c>
      <c r="AW224" s="1783">
        <f t="shared" si="129"/>
        <v>0</v>
      </c>
      <c r="AX224" s="1783">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05"/>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06"/>
      <c r="AV225" s="1783">
        <f t="shared" si="128"/>
        <v>0</v>
      </c>
      <c r="AW225" s="1783">
        <f t="shared" si="129"/>
        <v>0</v>
      </c>
      <c r="AX225" s="1783">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05"/>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06"/>
      <c r="AV226" s="1783">
        <f t="shared" si="128"/>
        <v>0</v>
      </c>
      <c r="AW226" s="1783">
        <f t="shared" si="129"/>
        <v>0</v>
      </c>
      <c r="AX226" s="1783">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05"/>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06"/>
      <c r="AV227" s="1783">
        <f t="shared" si="128"/>
        <v>0</v>
      </c>
      <c r="AW227" s="1783">
        <f t="shared" si="129"/>
        <v>0</v>
      </c>
      <c r="AX227" s="1783">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05"/>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06"/>
      <c r="AV228" s="1783">
        <f t="shared" si="128"/>
        <v>0</v>
      </c>
      <c r="AW228" s="1783">
        <f t="shared" si="129"/>
        <v>0</v>
      </c>
      <c r="AX228" s="1783">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05"/>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06"/>
      <c r="AV229" s="1783">
        <f t="shared" si="128"/>
        <v>0</v>
      </c>
      <c r="AW229" s="1783">
        <f t="shared" si="129"/>
        <v>0</v>
      </c>
      <c r="AX229" s="1783">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05"/>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06"/>
      <c r="AV230" s="1783">
        <f t="shared" si="128"/>
        <v>0</v>
      </c>
      <c r="AW230" s="1783">
        <f t="shared" si="129"/>
        <v>0</v>
      </c>
      <c r="AX230" s="1783">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05"/>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06"/>
      <c r="AV231" s="1783">
        <f t="shared" si="128"/>
        <v>0</v>
      </c>
      <c r="AW231" s="1783">
        <f t="shared" si="129"/>
        <v>0</v>
      </c>
      <c r="AX231" s="1783">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05"/>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06"/>
      <c r="AV232" s="1783">
        <f t="shared" si="128"/>
        <v>0</v>
      </c>
      <c r="AW232" s="1783">
        <f t="shared" si="129"/>
        <v>0</v>
      </c>
      <c r="AX232" s="1783">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05"/>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06"/>
      <c r="AV233" s="1783">
        <f t="shared" si="128"/>
        <v>0</v>
      </c>
      <c r="AW233" s="1783">
        <f t="shared" si="129"/>
        <v>0</v>
      </c>
      <c r="AX233" s="1783">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05"/>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06"/>
      <c r="AV234" s="1783">
        <f t="shared" si="128"/>
        <v>0</v>
      </c>
      <c r="AW234" s="1783">
        <f t="shared" si="129"/>
        <v>0</v>
      </c>
      <c r="AX234" s="1783">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05"/>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06"/>
      <c r="AV235" s="1783">
        <f t="shared" si="128"/>
        <v>0</v>
      </c>
      <c r="AW235" s="1783">
        <f t="shared" si="129"/>
        <v>0</v>
      </c>
      <c r="AX235" s="1783">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05"/>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06"/>
      <c r="AV236" s="1783">
        <f t="shared" si="128"/>
        <v>0</v>
      </c>
      <c r="AW236" s="1783">
        <f t="shared" si="129"/>
        <v>0</v>
      </c>
      <c r="AX236" s="1783">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05"/>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06"/>
      <c r="AV237" s="1783">
        <f t="shared" si="128"/>
        <v>0</v>
      </c>
      <c r="AW237" s="1783">
        <f t="shared" si="129"/>
        <v>0</v>
      </c>
      <c r="AX237" s="1783">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05"/>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06"/>
      <c r="AV238" s="1783">
        <f t="shared" si="128"/>
        <v>0</v>
      </c>
      <c r="AW238" s="1783">
        <f t="shared" si="129"/>
        <v>0</v>
      </c>
      <c r="AX238" s="1783">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05"/>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06"/>
      <c r="AV239" s="1783">
        <f t="shared" si="128"/>
        <v>0</v>
      </c>
      <c r="AW239" s="1783">
        <f t="shared" si="129"/>
        <v>0</v>
      </c>
      <c r="AX239" s="1783">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05"/>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06"/>
      <c r="AV240" s="1783">
        <f t="shared" si="128"/>
        <v>0</v>
      </c>
      <c r="AW240" s="1783">
        <f t="shared" si="129"/>
        <v>0</v>
      </c>
      <c r="AX240" s="1783">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05"/>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06"/>
      <c r="AV241" s="1783">
        <f t="shared" si="128"/>
        <v>0</v>
      </c>
      <c r="AW241" s="1783">
        <f t="shared" si="129"/>
        <v>0</v>
      </c>
      <c r="AX241" s="1783">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05"/>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06"/>
      <c r="AV242" s="1783">
        <f t="shared" si="128"/>
        <v>0</v>
      </c>
      <c r="AW242" s="1783">
        <f t="shared" si="129"/>
        <v>0</v>
      </c>
      <c r="AX242" s="1783">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05"/>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06"/>
      <c r="AV243" s="1783">
        <f t="shared" si="128"/>
        <v>0</v>
      </c>
      <c r="AW243" s="1783">
        <f t="shared" si="129"/>
        <v>0</v>
      </c>
      <c r="AX243" s="1783">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05"/>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06"/>
      <c r="AV244" s="1783">
        <f t="shared" si="128"/>
        <v>0</v>
      </c>
      <c r="AW244" s="1783">
        <f t="shared" si="129"/>
        <v>0</v>
      </c>
      <c r="AX244" s="1783">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05"/>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06"/>
      <c r="AV245" s="1783">
        <f t="shared" si="128"/>
        <v>0</v>
      </c>
      <c r="AW245" s="1783">
        <f t="shared" si="129"/>
        <v>0</v>
      </c>
      <c r="AX245" s="1783">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05"/>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06"/>
      <c r="AV246" s="1783">
        <f t="shared" si="128"/>
        <v>0</v>
      </c>
      <c r="AW246" s="1783">
        <f t="shared" si="129"/>
        <v>0</v>
      </c>
      <c r="AX246" s="1783">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05"/>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06"/>
      <c r="AV247" s="1783">
        <f t="shared" si="128"/>
        <v>0</v>
      </c>
      <c r="AW247" s="1783">
        <f t="shared" si="129"/>
        <v>0</v>
      </c>
      <c r="AX247" s="1783">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05"/>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06"/>
      <c r="AV248" s="1783">
        <f t="shared" si="128"/>
        <v>0</v>
      </c>
      <c r="AW248" s="1783">
        <f t="shared" si="129"/>
        <v>0</v>
      </c>
      <c r="AX248" s="1783">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05"/>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06"/>
      <c r="AV249" s="1783">
        <f t="shared" si="128"/>
        <v>0</v>
      </c>
      <c r="AW249" s="1783">
        <f t="shared" si="129"/>
        <v>0</v>
      </c>
      <c r="AX249" s="1783">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05"/>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06"/>
      <c r="AV250" s="1783">
        <f t="shared" si="128"/>
        <v>0</v>
      </c>
      <c r="AW250" s="1783">
        <f t="shared" si="129"/>
        <v>0</v>
      </c>
      <c r="AX250" s="1783">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05"/>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06"/>
      <c r="AV251" s="1783">
        <f t="shared" si="128"/>
        <v>0</v>
      </c>
      <c r="AW251" s="1783">
        <f t="shared" si="129"/>
        <v>0</v>
      </c>
      <c r="AX251" s="1783">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05"/>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06"/>
      <c r="AV252" s="1783">
        <f t="shared" si="128"/>
        <v>0</v>
      </c>
      <c r="AW252" s="1783">
        <f t="shared" si="129"/>
        <v>0</v>
      </c>
      <c r="AX252" s="1783">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05"/>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06"/>
      <c r="AV253" s="1783">
        <f t="shared" si="128"/>
        <v>0</v>
      </c>
      <c r="AW253" s="1783">
        <f t="shared" si="129"/>
        <v>0</v>
      </c>
      <c r="AX253" s="1783">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05"/>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06"/>
      <c r="AV254" s="1783">
        <f t="shared" si="128"/>
        <v>0</v>
      </c>
      <c r="AW254" s="1783">
        <f t="shared" si="129"/>
        <v>0</v>
      </c>
      <c r="AX254" s="1783">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05"/>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06"/>
      <c r="AV255" s="1783">
        <f t="shared" si="128"/>
        <v>0</v>
      </c>
      <c r="AW255" s="1783">
        <f t="shared" si="129"/>
        <v>0</v>
      </c>
      <c r="AX255" s="1783">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05"/>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06"/>
      <c r="AV256" s="1783">
        <f t="shared" si="128"/>
        <v>0</v>
      </c>
      <c r="AW256" s="1783">
        <f t="shared" si="129"/>
        <v>0</v>
      </c>
      <c r="AX256" s="1783">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05"/>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06"/>
      <c r="AV257" s="1783">
        <f t="shared" si="128"/>
        <v>0</v>
      </c>
      <c r="AW257" s="1783">
        <f t="shared" si="129"/>
        <v>0</v>
      </c>
      <c r="AX257" s="1783">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05"/>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06"/>
      <c r="AV258" s="1783">
        <f t="shared" si="128"/>
        <v>0</v>
      </c>
      <c r="AW258" s="1783">
        <f t="shared" si="129"/>
        <v>0</v>
      </c>
      <c r="AX258" s="1783">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05"/>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06"/>
      <c r="AV259" s="1783">
        <f t="shared" si="128"/>
        <v>0</v>
      </c>
      <c r="AW259" s="1783">
        <f t="shared" si="129"/>
        <v>0</v>
      </c>
      <c r="AX259" s="1783">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05"/>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06"/>
      <c r="AV260" s="1783">
        <f t="shared" si="128"/>
        <v>0</v>
      </c>
      <c r="AW260" s="1783">
        <f t="shared" si="129"/>
        <v>0</v>
      </c>
      <c r="AX260" s="1783">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05"/>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06"/>
      <c r="AV261" s="1783">
        <f t="shared" si="128"/>
        <v>0</v>
      </c>
      <c r="AW261" s="1783">
        <f t="shared" si="129"/>
        <v>0</v>
      </c>
      <c r="AX261" s="1783">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05"/>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06"/>
      <c r="AV262" s="1783">
        <f t="shared" si="128"/>
        <v>0</v>
      </c>
      <c r="AW262" s="1783">
        <f t="shared" si="129"/>
        <v>0</v>
      </c>
      <c r="AX262" s="1783">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05"/>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06"/>
      <c r="AV263" s="1783">
        <f t="shared" si="128"/>
        <v>0</v>
      </c>
      <c r="AW263" s="1783">
        <f t="shared" si="129"/>
        <v>0</v>
      </c>
      <c r="AX263" s="1783">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05"/>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06"/>
      <c r="AV264" s="1783">
        <f t="shared" si="128"/>
        <v>0</v>
      </c>
      <c r="AW264" s="1783">
        <f t="shared" si="129"/>
        <v>0</v>
      </c>
      <c r="AX264" s="1783">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05"/>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06"/>
      <c r="AV265" s="1783">
        <f t="shared" si="128"/>
        <v>0</v>
      </c>
      <c r="AW265" s="1783">
        <f t="shared" si="129"/>
        <v>0</v>
      </c>
      <c r="AX265" s="1783">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05"/>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06"/>
      <c r="AV266" s="1783">
        <f t="shared" si="128"/>
        <v>0</v>
      </c>
      <c r="AW266" s="1783">
        <f t="shared" si="129"/>
        <v>0</v>
      </c>
      <c r="AX266" s="1783">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05"/>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06"/>
      <c r="AV267" s="1783">
        <f t="shared" si="128"/>
        <v>0</v>
      </c>
      <c r="AW267" s="1783">
        <f t="shared" si="129"/>
        <v>0</v>
      </c>
      <c r="AX267" s="1783">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05"/>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06"/>
      <c r="AV268" s="1783">
        <f t="shared" si="128"/>
        <v>0</v>
      </c>
      <c r="AW268" s="1783">
        <f t="shared" si="129"/>
        <v>0</v>
      </c>
      <c r="AX268" s="1783">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05"/>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06"/>
      <c r="AV269" s="1783">
        <f t="shared" si="128"/>
        <v>0</v>
      </c>
      <c r="AW269" s="1783">
        <f t="shared" si="129"/>
        <v>0</v>
      </c>
      <c r="AX269" s="1783">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05"/>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06"/>
      <c r="AV270" s="1783">
        <f t="shared" si="128"/>
        <v>0</v>
      </c>
      <c r="AW270" s="1783">
        <f t="shared" si="129"/>
        <v>0</v>
      </c>
      <c r="AX270" s="1783">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05"/>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06"/>
      <c r="AV271" s="1783">
        <f t="shared" si="128"/>
        <v>0</v>
      </c>
      <c r="AW271" s="1783">
        <f t="shared" si="129"/>
        <v>0</v>
      </c>
      <c r="AX271" s="1783">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05"/>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06"/>
      <c r="AV272" s="1783">
        <f t="shared" si="128"/>
        <v>0</v>
      </c>
      <c r="AW272" s="1783">
        <f t="shared" si="129"/>
        <v>0</v>
      </c>
      <c r="AX272" s="1783">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05"/>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06"/>
      <c r="AV273" s="1783">
        <f t="shared" si="128"/>
        <v>0</v>
      </c>
      <c r="AW273" s="1783">
        <f t="shared" si="129"/>
        <v>0</v>
      </c>
      <c r="AX273" s="1783">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05"/>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06"/>
      <c r="AV274" s="1783">
        <f t="shared" si="128"/>
        <v>0</v>
      </c>
      <c r="AW274" s="1783">
        <f t="shared" si="129"/>
        <v>0</v>
      </c>
      <c r="AX274" s="1783">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05"/>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06"/>
      <c r="AV275" s="1783">
        <f t="shared" si="128"/>
        <v>0</v>
      </c>
      <c r="AW275" s="1783">
        <f t="shared" si="129"/>
        <v>0</v>
      </c>
      <c r="AX275" s="1783">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05"/>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06"/>
      <c r="AV276" s="1783">
        <f t="shared" si="128"/>
        <v>0</v>
      </c>
      <c r="AW276" s="1783">
        <f t="shared" si="129"/>
        <v>0</v>
      </c>
      <c r="AX276" s="1783">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05"/>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06"/>
      <c r="AV277" s="1783">
        <f t="shared" si="128"/>
        <v>0</v>
      </c>
      <c r="AW277" s="1783">
        <f t="shared" si="129"/>
        <v>0</v>
      </c>
      <c r="AX277" s="1783">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05"/>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06"/>
      <c r="AV278" s="1783">
        <f t="shared" si="128"/>
        <v>0</v>
      </c>
      <c r="AW278" s="1783">
        <f t="shared" si="129"/>
        <v>0</v>
      </c>
      <c r="AX278" s="1783">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05"/>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06"/>
      <c r="AV279" s="1783">
        <f t="shared" si="128"/>
        <v>0</v>
      </c>
      <c r="AW279" s="1783">
        <f t="shared" si="129"/>
        <v>0</v>
      </c>
      <c r="AX279" s="1783">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05"/>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06"/>
      <c r="AV280" s="1783">
        <f t="shared" si="128"/>
        <v>0</v>
      </c>
      <c r="AW280" s="1783">
        <f t="shared" si="129"/>
        <v>0</v>
      </c>
      <c r="AX280" s="1783">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05"/>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06"/>
      <c r="AV281" s="1783">
        <f t="shared" si="128"/>
        <v>0</v>
      </c>
      <c r="AW281" s="1783">
        <f t="shared" si="129"/>
        <v>0</v>
      </c>
      <c r="AX281" s="1783">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05"/>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06"/>
      <c r="AV282" s="1783">
        <f t="shared" si="128"/>
        <v>0</v>
      </c>
      <c r="AW282" s="1783">
        <f t="shared" si="129"/>
        <v>0</v>
      </c>
      <c r="AX282" s="1783">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05"/>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06"/>
      <c r="AV283" s="1783">
        <f t="shared" si="128"/>
        <v>0</v>
      </c>
      <c r="AW283" s="1783">
        <f t="shared" si="129"/>
        <v>0</v>
      </c>
      <c r="AX283" s="1783">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05"/>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06"/>
      <c r="AV284" s="1783">
        <f t="shared" si="128"/>
        <v>0</v>
      </c>
      <c r="AW284" s="1783">
        <f t="shared" si="129"/>
        <v>0</v>
      </c>
      <c r="AX284" s="1783">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05"/>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06"/>
      <c r="AV285" s="1783">
        <f t="shared" si="128"/>
        <v>0</v>
      </c>
      <c r="AW285" s="1783">
        <f t="shared" si="129"/>
        <v>0</v>
      </c>
      <c r="AX285" s="1783">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05"/>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06"/>
      <c r="AV286" s="1783">
        <f t="shared" si="128"/>
        <v>0</v>
      </c>
      <c r="AW286" s="1783">
        <f t="shared" si="129"/>
        <v>0</v>
      </c>
      <c r="AX286" s="1783">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05"/>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06"/>
      <c r="AV287" s="1783">
        <f t="shared" si="128"/>
        <v>0</v>
      </c>
      <c r="AW287" s="1783">
        <f t="shared" si="129"/>
        <v>0</v>
      </c>
      <c r="AX287" s="1783">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05"/>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06"/>
      <c r="AV288" s="1783">
        <f t="shared" si="128"/>
        <v>0</v>
      </c>
      <c r="AW288" s="1783">
        <f t="shared" si="129"/>
        <v>0</v>
      </c>
      <c r="AX288" s="1783">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05"/>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06"/>
      <c r="AV289" s="1783">
        <f t="shared" si="128"/>
        <v>0</v>
      </c>
      <c r="AW289" s="1783">
        <f t="shared" si="129"/>
        <v>0</v>
      </c>
      <c r="AX289" s="1783">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05"/>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06"/>
      <c r="AV290" s="1783">
        <f t="shared" si="128"/>
        <v>0</v>
      </c>
      <c r="AW290" s="1783">
        <f t="shared" si="129"/>
        <v>0</v>
      </c>
      <c r="AX290" s="1783">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05"/>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06"/>
      <c r="AV291" s="1783">
        <f t="shared" si="128"/>
        <v>0</v>
      </c>
      <c r="AW291" s="1783">
        <f t="shared" si="129"/>
        <v>0</v>
      </c>
      <c r="AX291" s="1783">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05"/>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06"/>
      <c r="AV292" s="1783">
        <f t="shared" si="128"/>
        <v>0</v>
      </c>
      <c r="AW292" s="1783">
        <f t="shared" si="129"/>
        <v>0</v>
      </c>
      <c r="AX292" s="1783">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05"/>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06"/>
      <c r="AV293" s="1783">
        <f t="shared" si="128"/>
        <v>0</v>
      </c>
      <c r="AW293" s="1783">
        <f t="shared" si="129"/>
        <v>0</v>
      </c>
      <c r="AX293" s="1783">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05"/>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06"/>
      <c r="AV294" s="1783">
        <f t="shared" si="128"/>
        <v>0</v>
      </c>
      <c r="AW294" s="1783">
        <f t="shared" si="129"/>
        <v>0</v>
      </c>
      <c r="AX294" s="1783">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05"/>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06"/>
      <c r="AV295" s="1783">
        <f t="shared" si="128"/>
        <v>0</v>
      </c>
      <c r="AW295" s="1783">
        <f t="shared" si="129"/>
        <v>0</v>
      </c>
      <c r="AX295" s="1783">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05"/>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06"/>
      <c r="AV296" s="1783">
        <f t="shared" si="128"/>
        <v>0</v>
      </c>
      <c r="AW296" s="1783">
        <f t="shared" si="129"/>
        <v>0</v>
      </c>
      <c r="AX296" s="1783">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05"/>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06"/>
      <c r="AV297" s="1783">
        <f t="shared" si="128"/>
        <v>0</v>
      </c>
      <c r="AW297" s="1783">
        <f t="shared" si="129"/>
        <v>0</v>
      </c>
      <c r="AX297" s="1783">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05"/>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06"/>
      <c r="AV298" s="1783">
        <f t="shared" si="128"/>
        <v>0</v>
      </c>
      <c r="AW298" s="1783">
        <f t="shared" si="129"/>
        <v>0</v>
      </c>
      <c r="AX298" s="1783">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05"/>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06"/>
      <c r="AV299" s="1783">
        <f t="shared" si="128"/>
        <v>0</v>
      </c>
      <c r="AW299" s="1783">
        <f t="shared" si="129"/>
        <v>0</v>
      </c>
      <c r="AX299" s="1783">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05"/>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3">
        <f t="shared" si="128"/>
        <v>0</v>
      </c>
      <c r="AW300" s="1783">
        <f t="shared" si="129"/>
        <v>0</v>
      </c>
      <c r="AX300" s="1783">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05"/>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41"/>
      <c r="AV301" s="1783">
        <f t="shared" si="128"/>
        <v>0</v>
      </c>
      <c r="AW301" s="1783">
        <f t="shared" si="129"/>
        <v>0</v>
      </c>
      <c r="AX301" s="1783">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05"/>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41"/>
      <c r="AV302" s="1783">
        <f t="shared" si="128"/>
        <v>0</v>
      </c>
      <c r="AW302" s="1783">
        <f t="shared" si="129"/>
        <v>0</v>
      </c>
      <c r="AX302" s="1783">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05"/>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06"/>
      <c r="AV303" s="1783">
        <f t="shared" ref="AV303:AV334" si="179">A303</f>
        <v>0</v>
      </c>
      <c r="AW303" s="1783">
        <f t="shared" ref="AW303:AW334" si="180">B303</f>
        <v>0</v>
      </c>
      <c r="AX303" s="1783">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05"/>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06"/>
      <c r="AV304" s="1783">
        <f t="shared" si="179"/>
        <v>0</v>
      </c>
      <c r="AW304" s="1783">
        <f t="shared" si="180"/>
        <v>0</v>
      </c>
      <c r="AX304" s="1783">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05"/>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06"/>
      <c r="AV305" s="1783">
        <f t="shared" si="179"/>
        <v>0</v>
      </c>
      <c r="AW305" s="1783">
        <f t="shared" si="180"/>
        <v>0</v>
      </c>
      <c r="AX305" s="1783">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05"/>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06"/>
      <c r="AV306" s="1783">
        <f t="shared" si="179"/>
        <v>0</v>
      </c>
      <c r="AW306" s="1783">
        <f t="shared" si="180"/>
        <v>0</v>
      </c>
      <c r="AX306" s="1783">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05"/>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06"/>
      <c r="AV307" s="1783">
        <f t="shared" si="179"/>
        <v>0</v>
      </c>
      <c r="AW307" s="1783">
        <f t="shared" si="180"/>
        <v>0</v>
      </c>
      <c r="AX307" s="1783">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05"/>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06"/>
      <c r="AV308" s="1783">
        <f t="shared" si="179"/>
        <v>0</v>
      </c>
      <c r="AW308" s="1783">
        <f t="shared" si="180"/>
        <v>0</v>
      </c>
      <c r="AX308" s="1783">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05"/>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06"/>
      <c r="AV309" s="1783">
        <f t="shared" si="179"/>
        <v>0</v>
      </c>
      <c r="AW309" s="1783">
        <f t="shared" si="180"/>
        <v>0</v>
      </c>
      <c r="AX309" s="1783">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05"/>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06"/>
      <c r="AV310" s="1783">
        <f t="shared" si="179"/>
        <v>0</v>
      </c>
      <c r="AW310" s="1783">
        <f t="shared" si="180"/>
        <v>0</v>
      </c>
      <c r="AX310" s="1783">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05"/>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06"/>
      <c r="AV311" s="1783">
        <f t="shared" si="179"/>
        <v>0</v>
      </c>
      <c r="AW311" s="1783">
        <f t="shared" si="180"/>
        <v>0</v>
      </c>
      <c r="AX311" s="1783">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05"/>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06"/>
      <c r="AV312" s="1783">
        <f t="shared" si="179"/>
        <v>0</v>
      </c>
      <c r="AW312" s="1783">
        <f t="shared" si="180"/>
        <v>0</v>
      </c>
      <c r="AX312" s="1783">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05"/>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06"/>
      <c r="AV313" s="1783">
        <f t="shared" si="179"/>
        <v>0</v>
      </c>
      <c r="AW313" s="1783">
        <f t="shared" si="180"/>
        <v>0</v>
      </c>
      <c r="AX313" s="1783">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05"/>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06"/>
      <c r="AV314" s="1783">
        <f t="shared" si="179"/>
        <v>0</v>
      </c>
      <c r="AW314" s="1783">
        <f t="shared" si="180"/>
        <v>0</v>
      </c>
      <c r="AX314" s="1783">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05"/>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06"/>
      <c r="AV315" s="1783">
        <f t="shared" si="179"/>
        <v>0</v>
      </c>
      <c r="AW315" s="1783">
        <f t="shared" si="180"/>
        <v>0</v>
      </c>
      <c r="AX315" s="1783">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05"/>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06"/>
      <c r="AV316" s="1783">
        <f t="shared" si="179"/>
        <v>0</v>
      </c>
      <c r="AW316" s="1783">
        <f t="shared" si="180"/>
        <v>0</v>
      </c>
      <c r="AX316" s="1783">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05"/>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06"/>
      <c r="AV317" s="1783">
        <f t="shared" si="179"/>
        <v>0</v>
      </c>
      <c r="AW317" s="1783">
        <f t="shared" si="180"/>
        <v>0</v>
      </c>
      <c r="AX317" s="1783">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05"/>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06"/>
      <c r="AV318" s="1783">
        <f t="shared" si="179"/>
        <v>0</v>
      </c>
      <c r="AW318" s="1783">
        <f t="shared" si="180"/>
        <v>0</v>
      </c>
      <c r="AX318" s="1783">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05"/>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06"/>
      <c r="AV319" s="1783">
        <f t="shared" si="179"/>
        <v>0</v>
      </c>
      <c r="AW319" s="1783">
        <f t="shared" si="180"/>
        <v>0</v>
      </c>
      <c r="AX319" s="1783">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05"/>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06"/>
      <c r="AV320" s="1783">
        <f t="shared" si="179"/>
        <v>0</v>
      </c>
      <c r="AW320" s="1783">
        <f t="shared" si="180"/>
        <v>0</v>
      </c>
      <c r="AX320" s="1783">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05"/>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06"/>
      <c r="AV321" s="1783">
        <f t="shared" si="179"/>
        <v>0</v>
      </c>
      <c r="AW321" s="1783">
        <f t="shared" si="180"/>
        <v>0</v>
      </c>
      <c r="AX321" s="1783">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05"/>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06"/>
      <c r="AV322" s="1783">
        <f t="shared" si="179"/>
        <v>0</v>
      </c>
      <c r="AW322" s="1783">
        <f t="shared" si="180"/>
        <v>0</v>
      </c>
      <c r="AX322" s="1783">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05"/>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06"/>
      <c r="AV323" s="1783">
        <f t="shared" si="179"/>
        <v>0</v>
      </c>
      <c r="AW323" s="1783">
        <f t="shared" si="180"/>
        <v>0</v>
      </c>
      <c r="AX323" s="1783">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05"/>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06"/>
      <c r="AV324" s="1783">
        <f t="shared" si="179"/>
        <v>0</v>
      </c>
      <c r="AW324" s="1783">
        <f t="shared" si="180"/>
        <v>0</v>
      </c>
      <c r="AX324" s="1783">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05"/>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06"/>
      <c r="AV325" s="1783">
        <f t="shared" si="179"/>
        <v>0</v>
      </c>
      <c r="AW325" s="1783">
        <f t="shared" si="180"/>
        <v>0</v>
      </c>
      <c r="AX325" s="1783">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05"/>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06"/>
      <c r="AV326" s="1783">
        <f t="shared" si="179"/>
        <v>0</v>
      </c>
      <c r="AW326" s="1783">
        <f t="shared" si="180"/>
        <v>0</v>
      </c>
      <c r="AX326" s="1783">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05"/>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06"/>
      <c r="AV327" s="1783">
        <f t="shared" si="179"/>
        <v>0</v>
      </c>
      <c r="AW327" s="1783">
        <f t="shared" si="180"/>
        <v>0</v>
      </c>
      <c r="AX327" s="1783">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05"/>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06"/>
      <c r="AV328" s="1783">
        <f t="shared" si="179"/>
        <v>0</v>
      </c>
      <c r="AW328" s="1783">
        <f t="shared" si="180"/>
        <v>0</v>
      </c>
      <c r="AX328" s="1783">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05"/>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06"/>
      <c r="AV329" s="1783">
        <f t="shared" si="179"/>
        <v>0</v>
      </c>
      <c r="AW329" s="1783">
        <f t="shared" si="180"/>
        <v>0</v>
      </c>
      <c r="AX329" s="1783">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05"/>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06"/>
      <c r="AV330" s="1783">
        <f t="shared" si="179"/>
        <v>0</v>
      </c>
      <c r="AW330" s="1783">
        <f t="shared" si="180"/>
        <v>0</v>
      </c>
      <c r="AX330" s="1783">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05"/>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06"/>
      <c r="AV331" s="1783">
        <f t="shared" si="179"/>
        <v>0</v>
      </c>
      <c r="AW331" s="1783">
        <f t="shared" si="180"/>
        <v>0</v>
      </c>
      <c r="AX331" s="1783">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05"/>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3">
        <f t="shared" si="179"/>
        <v>0</v>
      </c>
      <c r="AW332" s="1783">
        <f t="shared" si="180"/>
        <v>0</v>
      </c>
      <c r="AX332" s="1783">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05"/>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06"/>
      <c r="AV333" s="1783">
        <f t="shared" si="179"/>
        <v>0</v>
      </c>
      <c r="AW333" s="1783">
        <f t="shared" si="180"/>
        <v>0</v>
      </c>
      <c r="AX333" s="1783">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05"/>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06"/>
      <c r="AV334" s="1783">
        <f t="shared" si="179"/>
        <v>0</v>
      </c>
      <c r="AW334" s="1783">
        <f t="shared" si="180"/>
        <v>0</v>
      </c>
      <c r="AX334" s="1783">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05"/>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06"/>
      <c r="AV335" s="1783">
        <f t="shared" ref="AV335:AV366" si="208">A335</f>
        <v>0</v>
      </c>
      <c r="AW335" s="1783">
        <f t="shared" ref="AW335:AW366" si="209">B335</f>
        <v>0</v>
      </c>
      <c r="AX335" s="1783">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05"/>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06"/>
      <c r="AV336" s="1783">
        <f t="shared" si="208"/>
        <v>0</v>
      </c>
      <c r="AW336" s="1783">
        <f t="shared" si="209"/>
        <v>0</v>
      </c>
      <c r="AX336" s="1783">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05"/>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06"/>
      <c r="AV337" s="1783">
        <f t="shared" si="208"/>
        <v>0</v>
      </c>
      <c r="AW337" s="1783">
        <f t="shared" si="209"/>
        <v>0</v>
      </c>
      <c r="AX337" s="1783">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05"/>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06"/>
      <c r="AV338" s="1783">
        <f t="shared" si="208"/>
        <v>0</v>
      </c>
      <c r="AW338" s="1783">
        <f t="shared" si="209"/>
        <v>0</v>
      </c>
      <c r="AX338" s="1783">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05"/>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06"/>
      <c r="AV339" s="1783">
        <f t="shared" si="208"/>
        <v>0</v>
      </c>
      <c r="AW339" s="1783">
        <f t="shared" si="209"/>
        <v>0</v>
      </c>
      <c r="AX339" s="1783">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05"/>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06"/>
      <c r="AV340" s="1783">
        <f t="shared" si="208"/>
        <v>0</v>
      </c>
      <c r="AW340" s="1783">
        <f t="shared" si="209"/>
        <v>0</v>
      </c>
      <c r="AX340" s="1783">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05"/>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06"/>
      <c r="AV341" s="1783">
        <f t="shared" si="208"/>
        <v>0</v>
      </c>
      <c r="AW341" s="1783">
        <f t="shared" si="209"/>
        <v>0</v>
      </c>
      <c r="AX341" s="1783">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05"/>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06"/>
      <c r="AV342" s="1783">
        <f t="shared" si="208"/>
        <v>0</v>
      </c>
      <c r="AW342" s="1783">
        <f t="shared" si="209"/>
        <v>0</v>
      </c>
      <c r="AX342" s="1783">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05"/>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06"/>
      <c r="AV343" s="1783">
        <f t="shared" si="208"/>
        <v>0</v>
      </c>
      <c r="AW343" s="1783">
        <f t="shared" si="209"/>
        <v>0</v>
      </c>
      <c r="AX343" s="1783">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05"/>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06"/>
      <c r="AV344" s="1783">
        <f t="shared" si="208"/>
        <v>0</v>
      </c>
      <c r="AW344" s="1783">
        <f t="shared" si="209"/>
        <v>0</v>
      </c>
      <c r="AX344" s="1783">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05"/>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06"/>
      <c r="AV345" s="1783">
        <f t="shared" si="208"/>
        <v>0</v>
      </c>
      <c r="AW345" s="1783">
        <f t="shared" si="209"/>
        <v>0</v>
      </c>
      <c r="AX345" s="1783">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05"/>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06"/>
      <c r="AV346" s="1783">
        <f t="shared" si="208"/>
        <v>0</v>
      </c>
      <c r="AW346" s="1783">
        <f t="shared" si="209"/>
        <v>0</v>
      </c>
      <c r="AX346" s="1783">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05"/>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06"/>
      <c r="AV347" s="1783">
        <f t="shared" si="208"/>
        <v>0</v>
      </c>
      <c r="AW347" s="1783">
        <f t="shared" si="209"/>
        <v>0</v>
      </c>
      <c r="AX347" s="1783">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05"/>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06"/>
      <c r="AV348" s="1783">
        <f t="shared" si="208"/>
        <v>0</v>
      </c>
      <c r="AW348" s="1783">
        <f t="shared" si="209"/>
        <v>0</v>
      </c>
      <c r="AX348" s="1783">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05"/>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06"/>
      <c r="AV349" s="1783">
        <f t="shared" si="208"/>
        <v>0</v>
      </c>
      <c r="AW349" s="1783">
        <f t="shared" si="209"/>
        <v>0</v>
      </c>
      <c r="AX349" s="1783">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05"/>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06"/>
      <c r="AV350" s="1783">
        <f t="shared" si="208"/>
        <v>0</v>
      </c>
      <c r="AW350" s="1783">
        <f t="shared" si="209"/>
        <v>0</v>
      </c>
      <c r="AX350" s="1783">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05"/>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06"/>
      <c r="AV351" s="1783">
        <f t="shared" si="208"/>
        <v>0</v>
      </c>
      <c r="AW351" s="1783">
        <f t="shared" si="209"/>
        <v>0</v>
      </c>
      <c r="AX351" s="1783">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05"/>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06"/>
      <c r="AV352" s="1783">
        <f t="shared" si="208"/>
        <v>0</v>
      </c>
      <c r="AW352" s="1783">
        <f t="shared" si="209"/>
        <v>0</v>
      </c>
      <c r="AX352" s="1783">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05"/>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06"/>
      <c r="AV353" s="1783">
        <f t="shared" si="208"/>
        <v>0</v>
      </c>
      <c r="AW353" s="1783">
        <f t="shared" si="209"/>
        <v>0</v>
      </c>
      <c r="AX353" s="1783">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05"/>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06"/>
      <c r="AV354" s="1783">
        <f t="shared" si="208"/>
        <v>0</v>
      </c>
      <c r="AW354" s="1783">
        <f t="shared" si="209"/>
        <v>0</v>
      </c>
      <c r="AX354" s="1783">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05"/>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06"/>
      <c r="AV355" s="1783">
        <f t="shared" si="208"/>
        <v>0</v>
      </c>
      <c r="AW355" s="1783">
        <f t="shared" si="209"/>
        <v>0</v>
      </c>
      <c r="AX355" s="1783">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05"/>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06"/>
      <c r="AV356" s="1783">
        <f t="shared" si="208"/>
        <v>0</v>
      </c>
      <c r="AW356" s="1783">
        <f t="shared" si="209"/>
        <v>0</v>
      </c>
      <c r="AX356" s="1783">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05"/>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06"/>
      <c r="AV357" s="1783">
        <f t="shared" si="208"/>
        <v>0</v>
      </c>
      <c r="AW357" s="1783">
        <f t="shared" si="209"/>
        <v>0</v>
      </c>
      <c r="AX357" s="1783">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05"/>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06"/>
      <c r="AV358" s="1783">
        <f t="shared" si="208"/>
        <v>0</v>
      </c>
      <c r="AW358" s="1783">
        <f t="shared" si="209"/>
        <v>0</v>
      </c>
      <c r="AX358" s="1783">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05"/>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06"/>
      <c r="AV359" s="1783">
        <f t="shared" si="208"/>
        <v>0</v>
      </c>
      <c r="AW359" s="1783">
        <f t="shared" si="209"/>
        <v>0</v>
      </c>
      <c r="AX359" s="1783">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05"/>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06"/>
      <c r="AV360" s="1783">
        <f t="shared" si="208"/>
        <v>0</v>
      </c>
      <c r="AW360" s="1783">
        <f t="shared" si="209"/>
        <v>0</v>
      </c>
      <c r="AX360" s="1783">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05"/>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06"/>
      <c r="AV361" s="1783">
        <f t="shared" si="208"/>
        <v>0</v>
      </c>
      <c r="AW361" s="1783">
        <f t="shared" si="209"/>
        <v>0</v>
      </c>
      <c r="AX361" s="1783">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05"/>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06"/>
      <c r="AV362" s="1783">
        <f t="shared" si="208"/>
        <v>0</v>
      </c>
      <c r="AW362" s="1783">
        <f t="shared" si="209"/>
        <v>0</v>
      </c>
      <c r="AX362" s="1783">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05"/>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06"/>
      <c r="AV363" s="1783">
        <f t="shared" si="208"/>
        <v>0</v>
      </c>
      <c r="AW363" s="1783">
        <f t="shared" si="209"/>
        <v>0</v>
      </c>
      <c r="AX363" s="1783">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05"/>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3">
        <f t="shared" si="208"/>
        <v>0</v>
      </c>
      <c r="AW364" s="1783">
        <f t="shared" si="209"/>
        <v>0</v>
      </c>
      <c r="AX364" s="1783">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05"/>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06"/>
      <c r="AV365" s="1783">
        <f t="shared" si="208"/>
        <v>0</v>
      </c>
      <c r="AW365" s="1783">
        <f t="shared" si="209"/>
        <v>0</v>
      </c>
      <c r="AX365" s="1783">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05"/>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06"/>
      <c r="AV366" s="1783">
        <f t="shared" si="208"/>
        <v>0</v>
      </c>
      <c r="AW366" s="1783">
        <f t="shared" si="209"/>
        <v>0</v>
      </c>
      <c r="AX366" s="1783">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05"/>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06"/>
      <c r="AV367" s="1783">
        <f t="shared" ref="AV367:AV397" si="237">A367</f>
        <v>0</v>
      </c>
      <c r="AW367" s="1783">
        <f t="shared" ref="AW367:AW397" si="238">B367</f>
        <v>0</v>
      </c>
      <c r="AX367" s="1783">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05"/>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06"/>
      <c r="AV368" s="1783">
        <f t="shared" si="237"/>
        <v>0</v>
      </c>
      <c r="AW368" s="1783">
        <f t="shared" si="238"/>
        <v>0</v>
      </c>
      <c r="AX368" s="1783">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05"/>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06"/>
      <c r="AV369" s="1783">
        <f t="shared" si="237"/>
        <v>0</v>
      </c>
      <c r="AW369" s="1783">
        <f t="shared" si="238"/>
        <v>0</v>
      </c>
      <c r="AX369" s="1783">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05"/>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06"/>
      <c r="AV370" s="1783">
        <f t="shared" si="237"/>
        <v>0</v>
      </c>
      <c r="AW370" s="1783">
        <f t="shared" si="238"/>
        <v>0</v>
      </c>
      <c r="AX370" s="1783">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05"/>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06"/>
      <c r="AV371" s="1783">
        <f t="shared" si="237"/>
        <v>0</v>
      </c>
      <c r="AW371" s="1783">
        <f t="shared" si="238"/>
        <v>0</v>
      </c>
      <c r="AX371" s="1783">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05"/>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06"/>
      <c r="AV372" s="1783">
        <f t="shared" si="237"/>
        <v>0</v>
      </c>
      <c r="AW372" s="1783">
        <f t="shared" si="238"/>
        <v>0</v>
      </c>
      <c r="AX372" s="1783">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05"/>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06"/>
      <c r="AV373" s="1783">
        <f t="shared" si="237"/>
        <v>0</v>
      </c>
      <c r="AW373" s="1783">
        <f t="shared" si="238"/>
        <v>0</v>
      </c>
      <c r="AX373" s="1783">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05"/>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06"/>
      <c r="AV374" s="1783">
        <f t="shared" si="237"/>
        <v>0</v>
      </c>
      <c r="AW374" s="1783">
        <f t="shared" si="238"/>
        <v>0</v>
      </c>
      <c r="AX374" s="1783">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05"/>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06"/>
      <c r="AV375" s="1783">
        <f t="shared" si="237"/>
        <v>0</v>
      </c>
      <c r="AW375" s="1783">
        <f t="shared" si="238"/>
        <v>0</v>
      </c>
      <c r="AX375" s="1783">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05"/>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06"/>
      <c r="AV376" s="1783">
        <f t="shared" si="237"/>
        <v>0</v>
      </c>
      <c r="AW376" s="1783">
        <f t="shared" si="238"/>
        <v>0</v>
      </c>
      <c r="AX376" s="1783">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05"/>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06"/>
      <c r="AV377" s="1783">
        <f t="shared" si="237"/>
        <v>0</v>
      </c>
      <c r="AW377" s="1783">
        <f t="shared" si="238"/>
        <v>0</v>
      </c>
      <c r="AX377" s="1783">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05"/>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06"/>
      <c r="AV378" s="1783">
        <f t="shared" si="237"/>
        <v>0</v>
      </c>
      <c r="AW378" s="1783">
        <f t="shared" si="238"/>
        <v>0</v>
      </c>
      <c r="AX378" s="1783">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05"/>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06"/>
      <c r="AV379" s="1783">
        <f t="shared" si="237"/>
        <v>0</v>
      </c>
      <c r="AW379" s="1783">
        <f t="shared" si="238"/>
        <v>0</v>
      </c>
      <c r="AX379" s="1783">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05"/>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06"/>
      <c r="AV380" s="1783">
        <f t="shared" si="237"/>
        <v>0</v>
      </c>
      <c r="AW380" s="1783">
        <f t="shared" si="238"/>
        <v>0</v>
      </c>
      <c r="AX380" s="1783">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05"/>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06"/>
      <c r="AV381" s="1783">
        <f t="shared" si="237"/>
        <v>0</v>
      </c>
      <c r="AW381" s="1783">
        <f t="shared" si="238"/>
        <v>0</v>
      </c>
      <c r="AX381" s="1783">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05"/>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06"/>
      <c r="AV382" s="1783">
        <f t="shared" si="237"/>
        <v>0</v>
      </c>
      <c r="AW382" s="1783">
        <f t="shared" si="238"/>
        <v>0</v>
      </c>
      <c r="AX382" s="1783">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05"/>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06"/>
      <c r="AV383" s="1783">
        <f t="shared" si="237"/>
        <v>0</v>
      </c>
      <c r="AW383" s="1783">
        <f t="shared" si="238"/>
        <v>0</v>
      </c>
      <c r="AX383" s="1783">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05"/>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06"/>
      <c r="AV384" s="1783">
        <f t="shared" si="237"/>
        <v>0</v>
      </c>
      <c r="AW384" s="1783">
        <f t="shared" si="238"/>
        <v>0</v>
      </c>
      <c r="AX384" s="1783">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05"/>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06"/>
      <c r="AV385" s="1783">
        <f t="shared" si="237"/>
        <v>0</v>
      </c>
      <c r="AW385" s="1783">
        <f t="shared" si="238"/>
        <v>0</v>
      </c>
      <c r="AX385" s="1783">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05"/>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06"/>
      <c r="AV386" s="1783">
        <f t="shared" si="237"/>
        <v>0</v>
      </c>
      <c r="AW386" s="1783">
        <f t="shared" si="238"/>
        <v>0</v>
      </c>
      <c r="AX386" s="1783">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05"/>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06"/>
      <c r="AV387" s="1783">
        <f t="shared" si="237"/>
        <v>0</v>
      </c>
      <c r="AW387" s="1783">
        <f t="shared" si="238"/>
        <v>0</v>
      </c>
      <c r="AX387" s="1783">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05"/>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06"/>
      <c r="AV388" s="1783">
        <f t="shared" si="237"/>
        <v>0</v>
      </c>
      <c r="AW388" s="1783">
        <f t="shared" si="238"/>
        <v>0</v>
      </c>
      <c r="AX388" s="1783">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05"/>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06"/>
      <c r="AV389" s="1783">
        <f t="shared" si="237"/>
        <v>0</v>
      </c>
      <c r="AW389" s="1783">
        <f t="shared" si="238"/>
        <v>0</v>
      </c>
      <c r="AX389" s="1783">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05"/>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06"/>
      <c r="AV390" s="1783">
        <f t="shared" si="237"/>
        <v>0</v>
      </c>
      <c r="AW390" s="1783">
        <f t="shared" si="238"/>
        <v>0</v>
      </c>
      <c r="AX390" s="1783">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05"/>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06"/>
      <c r="AV391" s="1783">
        <f t="shared" si="237"/>
        <v>0</v>
      </c>
      <c r="AW391" s="1783">
        <f t="shared" si="238"/>
        <v>0</v>
      </c>
      <c r="AX391" s="1783">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05"/>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06"/>
      <c r="AV392" s="1783">
        <f t="shared" si="237"/>
        <v>0</v>
      </c>
      <c r="AW392" s="1783">
        <f t="shared" si="238"/>
        <v>0</v>
      </c>
      <c r="AX392" s="1783">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05"/>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06"/>
      <c r="AV393" s="1783">
        <f t="shared" si="237"/>
        <v>0</v>
      </c>
      <c r="AW393" s="1783">
        <f t="shared" si="238"/>
        <v>0</v>
      </c>
      <c r="AX393" s="1783">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05"/>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06"/>
      <c r="AV394" s="1783">
        <f t="shared" si="237"/>
        <v>0</v>
      </c>
      <c r="AW394" s="1783">
        <f t="shared" si="238"/>
        <v>0</v>
      </c>
      <c r="AX394" s="1783">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05"/>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41"/>
      <c r="AV395" s="1783">
        <f t="shared" si="237"/>
        <v>0</v>
      </c>
      <c r="AW395" s="1783">
        <f t="shared" si="238"/>
        <v>0</v>
      </c>
      <c r="AX395" s="1783">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05"/>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3">
        <f t="shared" si="237"/>
        <v>0</v>
      </c>
      <c r="AW396" s="1783">
        <f t="shared" si="238"/>
        <v>0</v>
      </c>
      <c r="AX396" s="1783">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05"/>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3">
        <f t="shared" si="237"/>
        <v>0</v>
      </c>
      <c r="AW397" s="1783">
        <f t="shared" si="238"/>
        <v>0</v>
      </c>
      <c r="AX397" s="1783">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05"/>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3">
        <f t="shared" ref="AV398:AV492" si="244">A398</f>
        <v>0</v>
      </c>
      <c r="AW398" s="1783">
        <f t="shared" ref="AW398:AW492" si="245">B398</f>
        <v>0</v>
      </c>
      <c r="AX398" s="1783">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05"/>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06"/>
      <c r="AV399" s="1783">
        <f t="shared" si="244"/>
        <v>0</v>
      </c>
      <c r="AW399" s="1783">
        <f t="shared" si="245"/>
        <v>0</v>
      </c>
      <c r="AX399" s="1783">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05"/>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06"/>
      <c r="AV400" s="1783">
        <f t="shared" si="244"/>
        <v>0</v>
      </c>
      <c r="AW400" s="1783">
        <f t="shared" si="245"/>
        <v>0</v>
      </c>
      <c r="AX400" s="1783">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05"/>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06"/>
      <c r="AV401" s="1783">
        <f t="shared" si="244"/>
        <v>0</v>
      </c>
      <c r="AW401" s="1783">
        <f t="shared" si="245"/>
        <v>0</v>
      </c>
      <c r="AX401" s="1783">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05"/>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06"/>
      <c r="AV402" s="1783">
        <f t="shared" si="244"/>
        <v>0</v>
      </c>
      <c r="AW402" s="1783">
        <f t="shared" si="245"/>
        <v>0</v>
      </c>
      <c r="AX402" s="1783">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05"/>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06"/>
      <c r="AV403" s="1783">
        <f t="shared" si="244"/>
        <v>0</v>
      </c>
      <c r="AW403" s="1783">
        <f t="shared" si="245"/>
        <v>0</v>
      </c>
      <c r="AX403" s="1783">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05"/>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06"/>
      <c r="AV404" s="1783">
        <f t="shared" si="244"/>
        <v>0</v>
      </c>
      <c r="AW404" s="1783">
        <f t="shared" si="245"/>
        <v>0</v>
      </c>
      <c r="AX404" s="1783">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05"/>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06"/>
      <c r="AV405" s="1783">
        <f t="shared" si="244"/>
        <v>0</v>
      </c>
      <c r="AW405" s="1783">
        <f t="shared" si="245"/>
        <v>0</v>
      </c>
      <c r="AX405" s="1783">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05"/>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06"/>
      <c r="AV406" s="1783">
        <f t="shared" si="244"/>
        <v>0</v>
      </c>
      <c r="AW406" s="1783">
        <f t="shared" si="245"/>
        <v>0</v>
      </c>
      <c r="AX406" s="1783">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05"/>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06"/>
      <c r="AV407" s="1783">
        <f t="shared" si="244"/>
        <v>0</v>
      </c>
      <c r="AW407" s="1783">
        <f t="shared" si="245"/>
        <v>0</v>
      </c>
      <c r="AX407" s="1783">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05"/>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06"/>
      <c r="AV408" s="1783">
        <f t="shared" si="244"/>
        <v>0</v>
      </c>
      <c r="AW408" s="1783">
        <f t="shared" si="245"/>
        <v>0</v>
      </c>
      <c r="AX408" s="1783">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05"/>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06"/>
      <c r="AV409" s="1783">
        <f t="shared" si="244"/>
        <v>0</v>
      </c>
      <c r="AW409" s="1783">
        <f t="shared" si="245"/>
        <v>0</v>
      </c>
      <c r="AX409" s="1783">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05"/>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06"/>
      <c r="AV410" s="1783">
        <f t="shared" si="244"/>
        <v>0</v>
      </c>
      <c r="AW410" s="1783">
        <f t="shared" si="245"/>
        <v>0</v>
      </c>
      <c r="AX410" s="1783">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05"/>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06"/>
      <c r="AV411" s="1783">
        <f t="shared" si="244"/>
        <v>0</v>
      </c>
      <c r="AW411" s="1783">
        <f t="shared" si="245"/>
        <v>0</v>
      </c>
      <c r="AX411" s="1783">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05"/>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06"/>
      <c r="AV412" s="1783">
        <f t="shared" si="244"/>
        <v>0</v>
      </c>
      <c r="AW412" s="1783">
        <f t="shared" si="245"/>
        <v>0</v>
      </c>
      <c r="AX412" s="1783">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05"/>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06"/>
      <c r="AV413" s="1783">
        <f t="shared" si="244"/>
        <v>0</v>
      </c>
      <c r="AW413" s="1783">
        <f t="shared" si="245"/>
        <v>0</v>
      </c>
      <c r="AX413" s="1783">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05"/>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06"/>
      <c r="AV414" s="1783">
        <f t="shared" si="244"/>
        <v>0</v>
      </c>
      <c r="AW414" s="1783">
        <f t="shared" si="245"/>
        <v>0</v>
      </c>
      <c r="AX414" s="1783">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05"/>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06"/>
      <c r="AV415" s="1783">
        <f t="shared" si="244"/>
        <v>0</v>
      </c>
      <c r="AW415" s="1783">
        <f t="shared" si="245"/>
        <v>0</v>
      </c>
      <c r="AX415" s="1783">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05"/>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06"/>
      <c r="AV416" s="1783">
        <f t="shared" si="244"/>
        <v>0</v>
      </c>
      <c r="AW416" s="1783">
        <f t="shared" si="245"/>
        <v>0</v>
      </c>
      <c r="AX416" s="1783">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05"/>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06"/>
      <c r="AV417" s="1783">
        <f t="shared" si="244"/>
        <v>0</v>
      </c>
      <c r="AW417" s="1783">
        <f t="shared" si="245"/>
        <v>0</v>
      </c>
      <c r="AX417" s="1783">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05"/>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06"/>
      <c r="AV418" s="1783">
        <f t="shared" si="244"/>
        <v>0</v>
      </c>
      <c r="AW418" s="1783">
        <f t="shared" si="245"/>
        <v>0</v>
      </c>
      <c r="AX418" s="1783">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05"/>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06"/>
      <c r="AV419" s="1783">
        <f t="shared" si="244"/>
        <v>0</v>
      </c>
      <c r="AW419" s="1783">
        <f t="shared" si="245"/>
        <v>0</v>
      </c>
      <c r="AX419" s="1783">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05"/>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06"/>
      <c r="AV420" s="1783">
        <f t="shared" si="244"/>
        <v>0</v>
      </c>
      <c r="AW420" s="1783">
        <f t="shared" si="245"/>
        <v>0</v>
      </c>
      <c r="AX420" s="1783">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05"/>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06"/>
      <c r="AV421" s="1783">
        <f t="shared" si="244"/>
        <v>0</v>
      </c>
      <c r="AW421" s="1783">
        <f t="shared" si="245"/>
        <v>0</v>
      </c>
      <c r="AX421" s="1783">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05"/>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06"/>
      <c r="AV422" s="1783">
        <f t="shared" si="244"/>
        <v>0</v>
      </c>
      <c r="AW422" s="1783">
        <f t="shared" si="245"/>
        <v>0</v>
      </c>
      <c r="AX422" s="1783">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05"/>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06"/>
      <c r="AV423" s="1783">
        <f t="shared" si="244"/>
        <v>0</v>
      </c>
      <c r="AW423" s="1783">
        <f t="shared" si="245"/>
        <v>0</v>
      </c>
      <c r="AX423" s="1783">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05"/>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06"/>
      <c r="AV424" s="1783">
        <f t="shared" si="244"/>
        <v>0</v>
      </c>
      <c r="AW424" s="1783">
        <f t="shared" si="245"/>
        <v>0</v>
      </c>
      <c r="AX424" s="1783">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05"/>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06"/>
      <c r="AV425" s="1783">
        <f t="shared" si="244"/>
        <v>0</v>
      </c>
      <c r="AW425" s="1783">
        <f t="shared" si="245"/>
        <v>0</v>
      </c>
      <c r="AX425" s="1783">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05"/>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06"/>
      <c r="AV426" s="1783">
        <f t="shared" si="244"/>
        <v>0</v>
      </c>
      <c r="AW426" s="1783">
        <f t="shared" si="245"/>
        <v>0</v>
      </c>
      <c r="AX426" s="1783">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05"/>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06"/>
      <c r="AV427" s="1783">
        <f t="shared" si="244"/>
        <v>0</v>
      </c>
      <c r="AW427" s="1783">
        <f t="shared" si="245"/>
        <v>0</v>
      </c>
      <c r="AX427" s="1783">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05"/>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06"/>
      <c r="AV428" s="1783">
        <f t="shared" si="244"/>
        <v>0</v>
      </c>
      <c r="AW428" s="1783">
        <f t="shared" si="245"/>
        <v>0</v>
      </c>
      <c r="AX428" s="1783">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05"/>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06"/>
      <c r="AV429" s="1783">
        <f t="shared" si="244"/>
        <v>0</v>
      </c>
      <c r="AW429" s="1783">
        <f t="shared" si="245"/>
        <v>0</v>
      </c>
      <c r="AX429" s="1783">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05"/>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06"/>
      <c r="AV430" s="1783">
        <f t="shared" si="244"/>
        <v>0</v>
      </c>
      <c r="AW430" s="1783">
        <f t="shared" si="245"/>
        <v>0</v>
      </c>
      <c r="AX430" s="1783">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05"/>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06"/>
      <c r="AV431" s="1783">
        <f t="shared" si="244"/>
        <v>0</v>
      </c>
      <c r="AW431" s="1783">
        <f t="shared" si="245"/>
        <v>0</v>
      </c>
      <c r="AX431" s="1783">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05"/>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06"/>
      <c r="AV432" s="1783">
        <f t="shared" si="244"/>
        <v>0</v>
      </c>
      <c r="AW432" s="1783">
        <f t="shared" si="245"/>
        <v>0</v>
      </c>
      <c r="AX432" s="1783">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05"/>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06"/>
      <c r="AV433" s="1783">
        <f t="shared" si="244"/>
        <v>0</v>
      </c>
      <c r="AW433" s="1783">
        <f t="shared" si="245"/>
        <v>0</v>
      </c>
      <c r="AX433" s="1783">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05"/>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06"/>
      <c r="AV434" s="1783">
        <f t="shared" si="244"/>
        <v>0</v>
      </c>
      <c r="AW434" s="1783">
        <f t="shared" si="245"/>
        <v>0</v>
      </c>
      <c r="AX434" s="1783">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05"/>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06"/>
      <c r="AV435" s="1783">
        <f t="shared" si="244"/>
        <v>0</v>
      </c>
      <c r="AW435" s="1783">
        <f t="shared" si="245"/>
        <v>0</v>
      </c>
      <c r="AX435" s="1783">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05"/>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06"/>
      <c r="AV436" s="1783">
        <f t="shared" si="244"/>
        <v>0</v>
      </c>
      <c r="AW436" s="1783">
        <f t="shared" si="245"/>
        <v>0</v>
      </c>
      <c r="AX436" s="1783">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05"/>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06"/>
      <c r="AV437" s="1783">
        <f t="shared" si="244"/>
        <v>0</v>
      </c>
      <c r="AW437" s="1783">
        <f t="shared" si="245"/>
        <v>0</v>
      </c>
      <c r="AX437" s="1783">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05"/>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06"/>
      <c r="AV438" s="1783">
        <f t="shared" si="244"/>
        <v>0</v>
      </c>
      <c r="AW438" s="1783">
        <f t="shared" si="245"/>
        <v>0</v>
      </c>
      <c r="AX438" s="1783">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05"/>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06"/>
      <c r="AV439" s="1783">
        <f t="shared" si="244"/>
        <v>0</v>
      </c>
      <c r="AW439" s="1783">
        <f t="shared" si="245"/>
        <v>0</v>
      </c>
      <c r="AX439" s="1783">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05"/>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06"/>
      <c r="AV440" s="1783">
        <f t="shared" si="244"/>
        <v>0</v>
      </c>
      <c r="AW440" s="1783">
        <f t="shared" si="245"/>
        <v>0</v>
      </c>
      <c r="AX440" s="1783">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05"/>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06"/>
      <c r="AV441" s="1783">
        <f t="shared" si="244"/>
        <v>0</v>
      </c>
      <c r="AW441" s="1783">
        <f t="shared" si="245"/>
        <v>0</v>
      </c>
      <c r="AX441" s="1783">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05"/>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06"/>
      <c r="AV442" s="1783">
        <f t="shared" si="244"/>
        <v>0</v>
      </c>
      <c r="AW442" s="1783">
        <f t="shared" si="245"/>
        <v>0</v>
      </c>
      <c r="AX442" s="1783">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05"/>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06"/>
      <c r="AV443" s="1783">
        <f t="shared" si="244"/>
        <v>0</v>
      </c>
      <c r="AW443" s="1783">
        <f t="shared" si="245"/>
        <v>0</v>
      </c>
      <c r="AX443" s="1783">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05"/>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06"/>
      <c r="AV444" s="1783">
        <f t="shared" si="244"/>
        <v>0</v>
      </c>
      <c r="AW444" s="1783">
        <f t="shared" si="245"/>
        <v>0</v>
      </c>
      <c r="AX444" s="1783">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05"/>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06"/>
      <c r="AV445" s="1783">
        <f t="shared" si="244"/>
        <v>0</v>
      </c>
      <c r="AW445" s="1783">
        <f t="shared" si="245"/>
        <v>0</v>
      </c>
      <c r="AX445" s="1783">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05"/>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06"/>
      <c r="AV446" s="1783">
        <f t="shared" si="244"/>
        <v>0</v>
      </c>
      <c r="AW446" s="1783">
        <f t="shared" si="245"/>
        <v>0</v>
      </c>
      <c r="AX446" s="1783">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05"/>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06"/>
      <c r="AV447" s="1783">
        <f t="shared" si="244"/>
        <v>0</v>
      </c>
      <c r="AW447" s="1783">
        <f t="shared" si="245"/>
        <v>0</v>
      </c>
      <c r="AX447" s="1783">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05"/>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06"/>
      <c r="AV448" s="1783">
        <f t="shared" si="244"/>
        <v>0</v>
      </c>
      <c r="AW448" s="1783">
        <f t="shared" si="245"/>
        <v>0</v>
      </c>
      <c r="AX448" s="1783">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05"/>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06"/>
      <c r="AV449" s="1783">
        <f t="shared" si="244"/>
        <v>0</v>
      </c>
      <c r="AW449" s="1783">
        <f t="shared" si="245"/>
        <v>0</v>
      </c>
      <c r="AX449" s="1783">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05"/>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06"/>
      <c r="AV450" s="1783">
        <f t="shared" si="244"/>
        <v>0</v>
      </c>
      <c r="AW450" s="1783">
        <f t="shared" si="245"/>
        <v>0</v>
      </c>
      <c r="AX450" s="1783">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05"/>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06"/>
      <c r="AV451" s="1783">
        <f t="shared" si="244"/>
        <v>0</v>
      </c>
      <c r="AW451" s="1783">
        <f t="shared" si="245"/>
        <v>0</v>
      </c>
      <c r="AX451" s="1783">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05"/>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06"/>
      <c r="AV452" s="1783">
        <f t="shared" si="244"/>
        <v>0</v>
      </c>
      <c r="AW452" s="1783">
        <f t="shared" si="245"/>
        <v>0</v>
      </c>
      <c r="AX452" s="1783">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05"/>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06"/>
      <c r="AV453" s="1783">
        <f t="shared" si="244"/>
        <v>0</v>
      </c>
      <c r="AW453" s="1783">
        <f t="shared" si="245"/>
        <v>0</v>
      </c>
      <c r="AX453" s="1783">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05"/>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06"/>
      <c r="AV454" s="1783">
        <f t="shared" si="244"/>
        <v>0</v>
      </c>
      <c r="AW454" s="1783">
        <f t="shared" si="245"/>
        <v>0</v>
      </c>
      <c r="AX454" s="1783">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05"/>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06"/>
      <c r="AV455" s="1783">
        <f t="shared" si="244"/>
        <v>0</v>
      </c>
      <c r="AW455" s="1783">
        <f t="shared" si="245"/>
        <v>0</v>
      </c>
      <c r="AX455" s="1783">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05"/>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06"/>
      <c r="AV456" s="1783">
        <f t="shared" si="244"/>
        <v>0</v>
      </c>
      <c r="AW456" s="1783">
        <f t="shared" si="245"/>
        <v>0</v>
      </c>
      <c r="AX456" s="1783">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05"/>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06"/>
      <c r="AV457" s="1783">
        <f t="shared" si="244"/>
        <v>0</v>
      </c>
      <c r="AW457" s="1783">
        <f t="shared" si="245"/>
        <v>0</v>
      </c>
      <c r="AX457" s="1783">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05"/>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06"/>
      <c r="AV458" s="1783">
        <f t="shared" si="244"/>
        <v>0</v>
      </c>
      <c r="AW458" s="1783">
        <f t="shared" si="245"/>
        <v>0</v>
      </c>
      <c r="AX458" s="1783">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05"/>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06"/>
      <c r="AV459" s="1783">
        <f t="shared" si="244"/>
        <v>0</v>
      </c>
      <c r="AW459" s="1783">
        <f t="shared" si="245"/>
        <v>0</v>
      </c>
      <c r="AX459" s="1783">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05"/>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06"/>
      <c r="AV460" s="1783">
        <f t="shared" si="244"/>
        <v>0</v>
      </c>
      <c r="AW460" s="1783">
        <f t="shared" si="245"/>
        <v>0</v>
      </c>
      <c r="AX460" s="1783">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05"/>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06"/>
      <c r="AV461" s="1783">
        <f t="shared" si="244"/>
        <v>0</v>
      </c>
      <c r="AW461" s="1783">
        <f t="shared" si="245"/>
        <v>0</v>
      </c>
      <c r="AX461" s="1783">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05"/>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06"/>
      <c r="AV462" s="1783">
        <f t="shared" si="244"/>
        <v>0</v>
      </c>
      <c r="AW462" s="1783">
        <f t="shared" si="245"/>
        <v>0</v>
      </c>
      <c r="AX462" s="1783">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05"/>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06"/>
      <c r="AV463" s="1783">
        <f t="shared" si="244"/>
        <v>0</v>
      </c>
      <c r="AW463" s="1783">
        <f t="shared" si="245"/>
        <v>0</v>
      </c>
      <c r="AX463" s="1783">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05"/>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06"/>
      <c r="AV464" s="1783">
        <f t="shared" si="244"/>
        <v>0</v>
      </c>
      <c r="AW464" s="1783">
        <f t="shared" si="245"/>
        <v>0</v>
      </c>
      <c r="AX464" s="1783">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05"/>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06"/>
      <c r="AV465" s="1783">
        <f t="shared" si="244"/>
        <v>0</v>
      </c>
      <c r="AW465" s="1783">
        <f t="shared" si="245"/>
        <v>0</v>
      </c>
      <c r="AX465" s="1783">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05"/>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06"/>
      <c r="AV466" s="1783">
        <f t="shared" si="244"/>
        <v>0</v>
      </c>
      <c r="AW466" s="1783">
        <f t="shared" si="245"/>
        <v>0</v>
      </c>
      <c r="AX466" s="1783">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05"/>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06"/>
      <c r="AV467" s="1783">
        <f t="shared" si="244"/>
        <v>0</v>
      </c>
      <c r="AW467" s="1783">
        <f t="shared" si="245"/>
        <v>0</v>
      </c>
      <c r="AX467" s="1783">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05"/>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06"/>
      <c r="AV468" s="1783">
        <f t="shared" si="244"/>
        <v>0</v>
      </c>
      <c r="AW468" s="1783">
        <f t="shared" si="245"/>
        <v>0</v>
      </c>
      <c r="AX468" s="1783">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05"/>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06"/>
      <c r="AV469" s="1783">
        <f t="shared" si="244"/>
        <v>0</v>
      </c>
      <c r="AW469" s="1783">
        <f t="shared" si="245"/>
        <v>0</v>
      </c>
      <c r="AX469" s="1783">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05"/>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06"/>
      <c r="AV470" s="1783">
        <f t="shared" si="244"/>
        <v>0</v>
      </c>
      <c r="AW470" s="1783">
        <f t="shared" si="245"/>
        <v>0</v>
      </c>
      <c r="AX470" s="1783">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05"/>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06"/>
      <c r="AV471" s="1783">
        <f t="shared" si="244"/>
        <v>0</v>
      </c>
      <c r="AW471" s="1783">
        <f t="shared" si="245"/>
        <v>0</v>
      </c>
      <c r="AX471" s="1783">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05"/>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06"/>
      <c r="AV472" s="1783">
        <f t="shared" si="244"/>
        <v>0</v>
      </c>
      <c r="AW472" s="1783">
        <f t="shared" si="245"/>
        <v>0</v>
      </c>
      <c r="AX472" s="1783">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05"/>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06"/>
      <c r="AV473" s="1783">
        <f t="shared" si="244"/>
        <v>0</v>
      </c>
      <c r="AW473" s="1783">
        <f t="shared" si="245"/>
        <v>0</v>
      </c>
      <c r="AX473" s="1783">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05"/>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06"/>
      <c r="AV474" s="1783">
        <f t="shared" si="244"/>
        <v>0</v>
      </c>
      <c r="AW474" s="1783">
        <f t="shared" si="245"/>
        <v>0</v>
      </c>
      <c r="AX474" s="1783">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05"/>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06"/>
      <c r="AV475" s="1783">
        <f t="shared" si="244"/>
        <v>0</v>
      </c>
      <c r="AW475" s="1783">
        <f t="shared" si="245"/>
        <v>0</v>
      </c>
      <c r="AX475" s="1783">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05"/>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06"/>
      <c r="AV476" s="1783">
        <f t="shared" si="244"/>
        <v>0</v>
      </c>
      <c r="AW476" s="1783">
        <f t="shared" si="245"/>
        <v>0</v>
      </c>
      <c r="AX476" s="1783">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05"/>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06"/>
      <c r="AV477" s="1783">
        <f t="shared" si="244"/>
        <v>0</v>
      </c>
      <c r="AW477" s="1783">
        <f t="shared" si="245"/>
        <v>0</v>
      </c>
      <c r="AX477" s="1783">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05"/>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06"/>
      <c r="AV478" s="1783">
        <f t="shared" si="244"/>
        <v>0</v>
      </c>
      <c r="AW478" s="1783">
        <f t="shared" si="245"/>
        <v>0</v>
      </c>
      <c r="AX478" s="1783">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05"/>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06"/>
      <c r="AV479" s="1783">
        <f t="shared" si="244"/>
        <v>0</v>
      </c>
      <c r="AW479" s="1783">
        <f t="shared" si="245"/>
        <v>0</v>
      </c>
      <c r="AX479" s="1783">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05"/>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06"/>
      <c r="AV480" s="1783">
        <f t="shared" si="244"/>
        <v>0</v>
      </c>
      <c r="AW480" s="1783">
        <f t="shared" si="245"/>
        <v>0</v>
      </c>
      <c r="AX480" s="1783">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05"/>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06"/>
      <c r="AV481" s="1783">
        <f t="shared" si="244"/>
        <v>0</v>
      </c>
      <c r="AW481" s="1783">
        <f t="shared" si="245"/>
        <v>0</v>
      </c>
      <c r="AX481" s="1783">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05"/>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06"/>
      <c r="AV482" s="1783">
        <f t="shared" si="244"/>
        <v>0</v>
      </c>
      <c r="AW482" s="1783">
        <f t="shared" si="245"/>
        <v>0</v>
      </c>
      <c r="AX482" s="1783">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05"/>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06"/>
      <c r="AV483" s="1783">
        <f t="shared" si="244"/>
        <v>0</v>
      </c>
      <c r="AW483" s="1783">
        <f t="shared" si="245"/>
        <v>0</v>
      </c>
      <c r="AX483" s="1783">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05"/>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06"/>
      <c r="AV484" s="1783">
        <f t="shared" si="244"/>
        <v>0</v>
      </c>
      <c r="AW484" s="1783">
        <f t="shared" si="245"/>
        <v>0</v>
      </c>
      <c r="AX484" s="1783">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05"/>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06"/>
      <c r="AV485" s="1783">
        <f t="shared" si="244"/>
        <v>0</v>
      </c>
      <c r="AW485" s="1783">
        <f t="shared" si="245"/>
        <v>0</v>
      </c>
      <c r="AX485" s="1783">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05"/>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06"/>
      <c r="AV486" s="1783">
        <f t="shared" si="244"/>
        <v>0</v>
      </c>
      <c r="AW486" s="1783">
        <f t="shared" si="245"/>
        <v>0</v>
      </c>
      <c r="AX486" s="1783">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05"/>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06"/>
      <c r="AV487" s="1783">
        <f t="shared" si="244"/>
        <v>0</v>
      </c>
      <c r="AW487" s="1783">
        <f t="shared" si="245"/>
        <v>0</v>
      </c>
      <c r="AX487" s="1783">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05"/>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06"/>
      <c r="AV488" s="1783">
        <f t="shared" si="244"/>
        <v>0</v>
      </c>
      <c r="AW488" s="1783">
        <f t="shared" si="245"/>
        <v>0</v>
      </c>
      <c r="AX488" s="1783">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05"/>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06"/>
      <c r="AV489" s="1783">
        <f t="shared" si="244"/>
        <v>0</v>
      </c>
      <c r="AW489" s="1783">
        <f t="shared" si="245"/>
        <v>0</v>
      </c>
      <c r="AX489" s="1783">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05"/>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3">
        <f t="shared" si="244"/>
        <v>0</v>
      </c>
      <c r="AW490" s="1783">
        <f t="shared" si="245"/>
        <v>0</v>
      </c>
      <c r="AX490" s="1783">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05"/>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41"/>
      <c r="AV491" s="1783">
        <f t="shared" si="244"/>
        <v>0</v>
      </c>
      <c r="AW491" s="1783">
        <f t="shared" si="245"/>
        <v>0</v>
      </c>
      <c r="AX491" s="1783">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05"/>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41"/>
      <c r="AV492" s="1783">
        <f t="shared" si="244"/>
        <v>0</v>
      </c>
      <c r="AW492" s="1783">
        <f t="shared" si="245"/>
        <v>0</v>
      </c>
      <c r="AX492" s="1783">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05"/>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06"/>
      <c r="AV493" s="1783">
        <f t="shared" ref="AV493:AV520" si="295">A493</f>
        <v>0</v>
      </c>
      <c r="AW493" s="1783">
        <f t="shared" ref="AW493:AW520" si="296">B493</f>
        <v>0</v>
      </c>
      <c r="AX493" s="1783">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05"/>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06"/>
      <c r="AV494" s="1783">
        <f t="shared" si="295"/>
        <v>0</v>
      </c>
      <c r="AW494" s="1783">
        <f t="shared" si="296"/>
        <v>0</v>
      </c>
      <c r="AX494" s="1783">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05"/>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06"/>
      <c r="AV495" s="1783">
        <f t="shared" si="295"/>
        <v>0</v>
      </c>
      <c r="AW495" s="1783">
        <f t="shared" si="296"/>
        <v>0</v>
      </c>
      <c r="AX495" s="1783">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05"/>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06"/>
      <c r="AV496" s="1783">
        <f t="shared" si="295"/>
        <v>0</v>
      </c>
      <c r="AW496" s="1783">
        <f t="shared" si="296"/>
        <v>0</v>
      </c>
      <c r="AX496" s="1783">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05"/>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06"/>
      <c r="AV497" s="1783">
        <f t="shared" si="295"/>
        <v>0</v>
      </c>
      <c r="AW497" s="1783">
        <f t="shared" si="296"/>
        <v>0</v>
      </c>
      <c r="AX497" s="1783">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05"/>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06"/>
      <c r="AV498" s="1783">
        <f t="shared" si="295"/>
        <v>0</v>
      </c>
      <c r="AW498" s="1783">
        <f t="shared" si="296"/>
        <v>0</v>
      </c>
      <c r="AX498" s="1783">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05"/>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06"/>
      <c r="AV499" s="1783">
        <f t="shared" si="295"/>
        <v>0</v>
      </c>
      <c r="AW499" s="1783">
        <f t="shared" si="296"/>
        <v>0</v>
      </c>
      <c r="AX499" s="1783">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05"/>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06"/>
      <c r="AV500" s="1783">
        <f t="shared" si="295"/>
        <v>0</v>
      </c>
      <c r="AW500" s="1783">
        <f t="shared" si="296"/>
        <v>0</v>
      </c>
      <c r="AX500" s="1783">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05"/>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06"/>
      <c r="AV501" s="1783">
        <f t="shared" si="295"/>
        <v>0</v>
      </c>
      <c r="AW501" s="1783">
        <f t="shared" si="296"/>
        <v>0</v>
      </c>
      <c r="AX501" s="1783">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05"/>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06"/>
      <c r="AV502" s="1783">
        <f t="shared" si="295"/>
        <v>0</v>
      </c>
      <c r="AW502" s="1783">
        <f t="shared" si="296"/>
        <v>0</v>
      </c>
      <c r="AX502" s="1783">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05"/>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06"/>
      <c r="AV503" s="1783">
        <f t="shared" si="295"/>
        <v>0</v>
      </c>
      <c r="AW503" s="1783">
        <f t="shared" si="296"/>
        <v>0</v>
      </c>
      <c r="AX503" s="1783">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05"/>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06"/>
      <c r="AV504" s="1783">
        <f t="shared" si="295"/>
        <v>0</v>
      </c>
      <c r="AW504" s="1783">
        <f t="shared" si="296"/>
        <v>0</v>
      </c>
      <c r="AX504" s="1783">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05"/>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06"/>
      <c r="AV505" s="1783">
        <f t="shared" si="295"/>
        <v>0</v>
      </c>
      <c r="AW505" s="1783">
        <f t="shared" si="296"/>
        <v>0</v>
      </c>
      <c r="AX505" s="1783">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05"/>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06"/>
      <c r="AV506" s="1783">
        <f t="shared" si="295"/>
        <v>0</v>
      </c>
      <c r="AW506" s="1783">
        <f t="shared" si="296"/>
        <v>0</v>
      </c>
      <c r="AX506" s="1783">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05"/>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06"/>
      <c r="AV507" s="1783">
        <f t="shared" si="295"/>
        <v>0</v>
      </c>
      <c r="AW507" s="1783">
        <f t="shared" si="296"/>
        <v>0</v>
      </c>
      <c r="AX507" s="1783">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05"/>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06"/>
      <c r="AV508" s="1783">
        <f t="shared" si="295"/>
        <v>0</v>
      </c>
      <c r="AW508" s="1783">
        <f t="shared" si="296"/>
        <v>0</v>
      </c>
      <c r="AX508" s="1783">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05"/>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06"/>
      <c r="AV509" s="1783">
        <f t="shared" si="295"/>
        <v>0</v>
      </c>
      <c r="AW509" s="1783">
        <f t="shared" si="296"/>
        <v>0</v>
      </c>
      <c r="AX509" s="1783">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05"/>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06"/>
      <c r="AV510" s="1783">
        <f t="shared" si="295"/>
        <v>0</v>
      </c>
      <c r="AW510" s="1783">
        <f t="shared" si="296"/>
        <v>0</v>
      </c>
      <c r="AX510" s="1783">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05"/>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06"/>
      <c r="AV511" s="1783">
        <f t="shared" si="295"/>
        <v>0</v>
      </c>
      <c r="AW511" s="1783">
        <f t="shared" si="296"/>
        <v>0</v>
      </c>
      <c r="AX511" s="1783">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05"/>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06"/>
      <c r="AV512" s="1783">
        <f t="shared" si="295"/>
        <v>0</v>
      </c>
      <c r="AW512" s="1783">
        <f t="shared" si="296"/>
        <v>0</v>
      </c>
      <c r="AX512" s="1783">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05"/>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06"/>
      <c r="AV513" s="1783">
        <f t="shared" si="295"/>
        <v>0</v>
      </c>
      <c r="AW513" s="1783">
        <f t="shared" si="296"/>
        <v>0</v>
      </c>
      <c r="AX513" s="1783">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05"/>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06"/>
      <c r="AV514" s="1783">
        <f t="shared" si="295"/>
        <v>0</v>
      </c>
      <c r="AW514" s="1783">
        <f t="shared" si="296"/>
        <v>0</v>
      </c>
      <c r="AX514" s="1783">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05"/>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06"/>
      <c r="AV515" s="1783">
        <f t="shared" si="295"/>
        <v>0</v>
      </c>
      <c r="AW515" s="1783">
        <f t="shared" si="296"/>
        <v>0</v>
      </c>
      <c r="AX515" s="1783">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05"/>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06"/>
      <c r="AV516" s="1783">
        <f t="shared" si="295"/>
        <v>0</v>
      </c>
      <c r="AW516" s="1783">
        <f t="shared" si="296"/>
        <v>0</v>
      </c>
      <c r="AX516" s="1783">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05"/>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06"/>
      <c r="AV517" s="1783">
        <f t="shared" si="295"/>
        <v>0</v>
      </c>
      <c r="AW517" s="1783">
        <f t="shared" si="296"/>
        <v>0</v>
      </c>
      <c r="AX517" s="1783">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05"/>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06"/>
      <c r="AV518" s="1783">
        <f t="shared" si="295"/>
        <v>0</v>
      </c>
      <c r="AW518" s="1783">
        <f t="shared" si="296"/>
        <v>0</v>
      </c>
      <c r="AX518" s="1783">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05"/>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06"/>
      <c r="AV519" s="1783">
        <f t="shared" si="295"/>
        <v>0</v>
      </c>
      <c r="AW519" s="1783">
        <f t="shared" si="296"/>
        <v>0</v>
      </c>
      <c r="AX519" s="1783">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05"/>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06"/>
      <c r="AV520" s="1783">
        <f t="shared" si="295"/>
        <v>0</v>
      </c>
      <c r="AW520" s="1783">
        <f t="shared" si="296"/>
        <v>0</v>
      </c>
      <c r="AX520" s="1783">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05"/>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06"/>
      <c r="AV521" s="1783">
        <f t="shared" ref="AV521:AV552" si="299">A521</f>
        <v>0</v>
      </c>
      <c r="AW521" s="1783">
        <f t="shared" ref="AW521:AW552" si="300">B521</f>
        <v>0</v>
      </c>
      <c r="AX521" s="1783">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05"/>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3">
        <f t="shared" si="299"/>
        <v>0</v>
      </c>
      <c r="AW522" s="1783">
        <f t="shared" si="300"/>
        <v>0</v>
      </c>
      <c r="AX522" s="1783">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05"/>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06"/>
      <c r="AV523" s="1783">
        <f t="shared" si="299"/>
        <v>0</v>
      </c>
      <c r="AW523" s="1783">
        <f t="shared" si="300"/>
        <v>0</v>
      </c>
      <c r="AX523" s="1783">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05"/>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06"/>
      <c r="AV524" s="1783">
        <f t="shared" si="299"/>
        <v>0</v>
      </c>
      <c r="AW524" s="1783">
        <f t="shared" si="300"/>
        <v>0</v>
      </c>
      <c r="AX524" s="1783">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05"/>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06"/>
      <c r="AV525" s="1783">
        <f t="shared" si="299"/>
        <v>0</v>
      </c>
      <c r="AW525" s="1783">
        <f t="shared" si="300"/>
        <v>0</v>
      </c>
      <c r="AX525" s="1783">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05"/>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06"/>
      <c r="AV526" s="1783">
        <f t="shared" si="299"/>
        <v>0</v>
      </c>
      <c r="AW526" s="1783">
        <f t="shared" si="300"/>
        <v>0</v>
      </c>
      <c r="AX526" s="1783">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05"/>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06"/>
      <c r="AV527" s="1783">
        <f t="shared" si="299"/>
        <v>0</v>
      </c>
      <c r="AW527" s="1783">
        <f t="shared" si="300"/>
        <v>0</v>
      </c>
      <c r="AX527" s="1783">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05"/>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06"/>
      <c r="AV528" s="1783">
        <f t="shared" si="299"/>
        <v>0</v>
      </c>
      <c r="AW528" s="1783">
        <f t="shared" si="300"/>
        <v>0</v>
      </c>
      <c r="AX528" s="1783">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05"/>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06"/>
      <c r="AV529" s="1783">
        <f t="shared" si="299"/>
        <v>0</v>
      </c>
      <c r="AW529" s="1783">
        <f t="shared" si="300"/>
        <v>0</v>
      </c>
      <c r="AX529" s="1783">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05"/>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06"/>
      <c r="AV530" s="1783">
        <f t="shared" si="299"/>
        <v>0</v>
      </c>
      <c r="AW530" s="1783">
        <f t="shared" si="300"/>
        <v>0</v>
      </c>
      <c r="AX530" s="1783">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05"/>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06"/>
      <c r="AV531" s="1783">
        <f t="shared" si="299"/>
        <v>0</v>
      </c>
      <c r="AW531" s="1783">
        <f t="shared" si="300"/>
        <v>0</v>
      </c>
      <c r="AX531" s="1783">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05"/>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06"/>
      <c r="AV532" s="1783">
        <f t="shared" si="299"/>
        <v>0</v>
      </c>
      <c r="AW532" s="1783">
        <f t="shared" si="300"/>
        <v>0</v>
      </c>
      <c r="AX532" s="1783">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05"/>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06"/>
      <c r="AV533" s="1783">
        <f t="shared" si="299"/>
        <v>0</v>
      </c>
      <c r="AW533" s="1783">
        <f t="shared" si="300"/>
        <v>0</v>
      </c>
      <c r="AX533" s="1783">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05"/>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06"/>
      <c r="AV534" s="1783">
        <f t="shared" si="299"/>
        <v>0</v>
      </c>
      <c r="AW534" s="1783">
        <f t="shared" si="300"/>
        <v>0</v>
      </c>
      <c r="AX534" s="1783">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05"/>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06"/>
      <c r="AV535" s="1783">
        <f t="shared" si="299"/>
        <v>0</v>
      </c>
      <c r="AW535" s="1783">
        <f t="shared" si="300"/>
        <v>0</v>
      </c>
      <c r="AX535" s="1783">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05"/>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06"/>
      <c r="AV536" s="1783">
        <f t="shared" si="299"/>
        <v>0</v>
      </c>
      <c r="AW536" s="1783">
        <f t="shared" si="300"/>
        <v>0</v>
      </c>
      <c r="AX536" s="1783">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05"/>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06"/>
      <c r="AV537" s="1783">
        <f t="shared" si="299"/>
        <v>0</v>
      </c>
      <c r="AW537" s="1783">
        <f t="shared" si="300"/>
        <v>0</v>
      </c>
      <c r="AX537" s="1783">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05"/>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06"/>
      <c r="AV538" s="1783">
        <f t="shared" si="299"/>
        <v>0</v>
      </c>
      <c r="AW538" s="1783">
        <f t="shared" si="300"/>
        <v>0</v>
      </c>
      <c r="AX538" s="1783">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05"/>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06"/>
      <c r="AV539" s="1783">
        <f t="shared" si="299"/>
        <v>0</v>
      </c>
      <c r="AW539" s="1783">
        <f t="shared" si="300"/>
        <v>0</v>
      </c>
      <c r="AX539" s="1783">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05"/>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06"/>
      <c r="AV540" s="1783">
        <f t="shared" si="299"/>
        <v>0</v>
      </c>
      <c r="AW540" s="1783">
        <f t="shared" si="300"/>
        <v>0</v>
      </c>
      <c r="AX540" s="1783">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05"/>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06"/>
      <c r="AV541" s="1783">
        <f t="shared" si="299"/>
        <v>0</v>
      </c>
      <c r="AW541" s="1783">
        <f t="shared" si="300"/>
        <v>0</v>
      </c>
      <c r="AX541" s="1783">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05"/>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06"/>
      <c r="AV542" s="1783">
        <f t="shared" si="299"/>
        <v>0</v>
      </c>
      <c r="AW542" s="1783">
        <f t="shared" si="300"/>
        <v>0</v>
      </c>
      <c r="AX542" s="1783">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05"/>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06"/>
      <c r="AV543" s="1783">
        <f t="shared" si="299"/>
        <v>0</v>
      </c>
      <c r="AW543" s="1783">
        <f t="shared" si="300"/>
        <v>0</v>
      </c>
      <c r="AX543" s="1783">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05"/>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06"/>
      <c r="AV544" s="1783">
        <f t="shared" si="299"/>
        <v>0</v>
      </c>
      <c r="AW544" s="1783">
        <f t="shared" si="300"/>
        <v>0</v>
      </c>
      <c r="AX544" s="1783">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05"/>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06"/>
      <c r="AV545" s="1783">
        <f t="shared" si="299"/>
        <v>0</v>
      </c>
      <c r="AW545" s="1783">
        <f t="shared" si="300"/>
        <v>0</v>
      </c>
      <c r="AX545" s="1783">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05"/>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06"/>
      <c r="AV546" s="1783">
        <f t="shared" si="299"/>
        <v>0</v>
      </c>
      <c r="AW546" s="1783">
        <f t="shared" si="300"/>
        <v>0</v>
      </c>
      <c r="AX546" s="1783">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05"/>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06"/>
      <c r="AV547" s="1783">
        <f t="shared" si="299"/>
        <v>0</v>
      </c>
      <c r="AW547" s="1783">
        <f t="shared" si="300"/>
        <v>0</v>
      </c>
      <c r="AX547" s="1783">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05"/>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06"/>
      <c r="AV548" s="1783">
        <f t="shared" si="299"/>
        <v>0</v>
      </c>
      <c r="AW548" s="1783">
        <f t="shared" si="300"/>
        <v>0</v>
      </c>
      <c r="AX548" s="1783">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05"/>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06"/>
      <c r="AV549" s="1783">
        <f t="shared" si="299"/>
        <v>0</v>
      </c>
      <c r="AW549" s="1783">
        <f t="shared" si="300"/>
        <v>0</v>
      </c>
      <c r="AX549" s="1783">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05"/>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06"/>
      <c r="AV550" s="1783">
        <f t="shared" si="299"/>
        <v>0</v>
      </c>
      <c r="AW550" s="1783">
        <f t="shared" si="300"/>
        <v>0</v>
      </c>
      <c r="AX550" s="1783">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05"/>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06"/>
      <c r="AV551" s="1783">
        <f t="shared" si="299"/>
        <v>0</v>
      </c>
      <c r="AW551" s="1783">
        <f t="shared" si="300"/>
        <v>0</v>
      </c>
      <c r="AX551" s="1783">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05"/>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06"/>
      <c r="AV552" s="1783">
        <f t="shared" si="299"/>
        <v>0</v>
      </c>
      <c r="AW552" s="1783">
        <f t="shared" si="300"/>
        <v>0</v>
      </c>
      <c r="AX552" s="1783">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05"/>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3">
        <f t="shared" ref="AV553:AV587" si="331">A553</f>
        <v>0</v>
      </c>
      <c r="AW553" s="1783">
        <f t="shared" ref="AW553:AW587" si="332">B553</f>
        <v>0</v>
      </c>
      <c r="AX553" s="1783">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05"/>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06"/>
      <c r="AV554" s="1783">
        <f t="shared" si="331"/>
        <v>0</v>
      </c>
      <c r="AW554" s="1783">
        <f t="shared" si="332"/>
        <v>0</v>
      </c>
      <c r="AX554" s="1783">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05"/>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06"/>
      <c r="AV555" s="1783">
        <f t="shared" si="331"/>
        <v>0</v>
      </c>
      <c r="AW555" s="1783">
        <f t="shared" si="332"/>
        <v>0</v>
      </c>
      <c r="AX555" s="1783">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05"/>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06"/>
      <c r="AV556" s="1783">
        <f t="shared" si="331"/>
        <v>0</v>
      </c>
      <c r="AW556" s="1783">
        <f t="shared" si="332"/>
        <v>0</v>
      </c>
      <c r="AX556" s="1783">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05"/>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06"/>
      <c r="AV557" s="1783">
        <f t="shared" si="331"/>
        <v>0</v>
      </c>
      <c r="AW557" s="1783">
        <f t="shared" si="332"/>
        <v>0</v>
      </c>
      <c r="AX557" s="1783">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05"/>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06"/>
      <c r="AV558" s="1783">
        <f t="shared" si="331"/>
        <v>0</v>
      </c>
      <c r="AW558" s="1783">
        <f t="shared" si="332"/>
        <v>0</v>
      </c>
      <c r="AX558" s="1783">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05"/>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06"/>
      <c r="AV559" s="1783">
        <f t="shared" si="331"/>
        <v>0</v>
      </c>
      <c r="AW559" s="1783">
        <f t="shared" si="332"/>
        <v>0</v>
      </c>
      <c r="AX559" s="1783">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05"/>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06"/>
      <c r="AV560" s="1783">
        <f t="shared" si="331"/>
        <v>0</v>
      </c>
      <c r="AW560" s="1783">
        <f t="shared" si="332"/>
        <v>0</v>
      </c>
      <c r="AX560" s="1783">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05"/>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06"/>
      <c r="AV561" s="1783">
        <f t="shared" si="331"/>
        <v>0</v>
      </c>
      <c r="AW561" s="1783">
        <f t="shared" si="332"/>
        <v>0</v>
      </c>
      <c r="AX561" s="1783">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05"/>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06"/>
      <c r="AV562" s="1783">
        <f t="shared" si="331"/>
        <v>0</v>
      </c>
      <c r="AW562" s="1783">
        <f t="shared" si="332"/>
        <v>0</v>
      </c>
      <c r="AX562" s="1783">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05"/>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06"/>
      <c r="AV563" s="1783">
        <f t="shared" si="331"/>
        <v>0</v>
      </c>
      <c r="AW563" s="1783">
        <f t="shared" si="332"/>
        <v>0</v>
      </c>
      <c r="AX563" s="1783">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05"/>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06"/>
      <c r="AV564" s="1783">
        <f t="shared" si="331"/>
        <v>0</v>
      </c>
      <c r="AW564" s="1783">
        <f t="shared" si="332"/>
        <v>0</v>
      </c>
      <c r="AX564" s="1783">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05"/>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06"/>
      <c r="AV565" s="1783">
        <f t="shared" si="331"/>
        <v>0</v>
      </c>
      <c r="AW565" s="1783">
        <f t="shared" si="332"/>
        <v>0</v>
      </c>
      <c r="AX565" s="1783">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05"/>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06"/>
      <c r="AV566" s="1783">
        <f t="shared" si="331"/>
        <v>0</v>
      </c>
      <c r="AW566" s="1783">
        <f t="shared" si="332"/>
        <v>0</v>
      </c>
      <c r="AX566" s="1783">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05"/>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06"/>
      <c r="AV567" s="1783">
        <f t="shared" si="331"/>
        <v>0</v>
      </c>
      <c r="AW567" s="1783">
        <f t="shared" si="332"/>
        <v>0</v>
      </c>
      <c r="AX567" s="1783">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05"/>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06"/>
      <c r="AV568" s="1783">
        <f t="shared" si="331"/>
        <v>0</v>
      </c>
      <c r="AW568" s="1783">
        <f t="shared" si="332"/>
        <v>0</v>
      </c>
      <c r="AX568" s="1783">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05"/>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06"/>
      <c r="AV569" s="1783">
        <f t="shared" si="331"/>
        <v>0</v>
      </c>
      <c r="AW569" s="1783">
        <f t="shared" si="332"/>
        <v>0</v>
      </c>
      <c r="AX569" s="1783">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05"/>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06"/>
      <c r="AV570" s="1783">
        <f t="shared" si="331"/>
        <v>0</v>
      </c>
      <c r="AW570" s="1783">
        <f t="shared" si="332"/>
        <v>0</v>
      </c>
      <c r="AX570" s="1783">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05"/>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06"/>
      <c r="AV571" s="1783">
        <f t="shared" si="331"/>
        <v>0</v>
      </c>
      <c r="AW571" s="1783">
        <f t="shared" si="332"/>
        <v>0</v>
      </c>
      <c r="AX571" s="1783">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05"/>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06"/>
      <c r="AV572" s="1783">
        <f t="shared" si="331"/>
        <v>0</v>
      </c>
      <c r="AW572" s="1783">
        <f t="shared" si="332"/>
        <v>0</v>
      </c>
      <c r="AX572" s="1783">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05"/>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06"/>
      <c r="AV573" s="1783">
        <f t="shared" si="331"/>
        <v>0</v>
      </c>
      <c r="AW573" s="1783">
        <f t="shared" si="332"/>
        <v>0</v>
      </c>
      <c r="AX573" s="1783">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05"/>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06"/>
      <c r="AV574" s="1783">
        <f t="shared" si="331"/>
        <v>0</v>
      </c>
      <c r="AW574" s="1783">
        <f t="shared" si="332"/>
        <v>0</v>
      </c>
      <c r="AX574" s="1783">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05"/>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06"/>
      <c r="AV575" s="1783">
        <f t="shared" si="331"/>
        <v>0</v>
      </c>
      <c r="AW575" s="1783">
        <f t="shared" si="332"/>
        <v>0</v>
      </c>
      <c r="AX575" s="1783">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05"/>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06"/>
      <c r="AV576" s="1783">
        <f t="shared" si="331"/>
        <v>0</v>
      </c>
      <c r="AW576" s="1783">
        <f t="shared" si="332"/>
        <v>0</v>
      </c>
      <c r="AX576" s="1783">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05"/>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06"/>
      <c r="AV577" s="1783">
        <f t="shared" si="331"/>
        <v>0</v>
      </c>
      <c r="AW577" s="1783">
        <f t="shared" si="332"/>
        <v>0</v>
      </c>
      <c r="AX577" s="1783">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05"/>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06"/>
      <c r="AV578" s="1783">
        <f t="shared" si="331"/>
        <v>0</v>
      </c>
      <c r="AW578" s="1783">
        <f t="shared" si="332"/>
        <v>0</v>
      </c>
      <c r="AX578" s="1783">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05"/>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06"/>
      <c r="AV579" s="1783">
        <f t="shared" si="331"/>
        <v>0</v>
      </c>
      <c r="AW579" s="1783">
        <f t="shared" si="332"/>
        <v>0</v>
      </c>
      <c r="AX579" s="1783">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05"/>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06"/>
      <c r="AV580" s="1783">
        <f t="shared" si="331"/>
        <v>0</v>
      </c>
      <c r="AW580" s="1783">
        <f t="shared" si="332"/>
        <v>0</v>
      </c>
      <c r="AX580" s="1783">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05"/>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06"/>
      <c r="AV581" s="1783">
        <f t="shared" si="331"/>
        <v>0</v>
      </c>
      <c r="AW581" s="1783">
        <f t="shared" si="332"/>
        <v>0</v>
      </c>
      <c r="AX581" s="1783">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05"/>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06"/>
      <c r="AV582" s="1783">
        <f t="shared" si="331"/>
        <v>0</v>
      </c>
      <c r="AW582" s="1783">
        <f t="shared" si="332"/>
        <v>0</v>
      </c>
      <c r="AX582" s="1783">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05"/>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06"/>
      <c r="AV583" s="1783">
        <f t="shared" si="331"/>
        <v>0</v>
      </c>
      <c r="AW583" s="1783">
        <f t="shared" si="332"/>
        <v>0</v>
      </c>
      <c r="AX583" s="1783">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05"/>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06"/>
      <c r="AV584" s="1783">
        <f t="shared" si="331"/>
        <v>0</v>
      </c>
      <c r="AW584" s="1783">
        <f t="shared" si="332"/>
        <v>0</v>
      </c>
      <c r="AX584" s="1783">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05"/>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3">
        <f t="shared" si="331"/>
        <v>0</v>
      </c>
      <c r="AW585" s="1783">
        <f t="shared" si="332"/>
        <v>0</v>
      </c>
      <c r="AX585" s="1783">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3">
        <f t="shared" si="331"/>
        <v>0</v>
      </c>
      <c r="AW586" s="1783">
        <f t="shared" si="332"/>
        <v>0</v>
      </c>
      <c r="AX586" s="1783">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3">
        <f t="shared" si="331"/>
        <v>0</v>
      </c>
      <c r="AW587" s="1783">
        <f t="shared" si="332"/>
        <v>0</v>
      </c>
      <c r="AX587" s="1783">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G19" sqref="G19"/>
    </sheetView>
  </sheetViews>
  <sheetFormatPr defaultColWidth="9.125" defaultRowHeight="14.25"/>
  <cols>
    <col min="1" max="1" width="12.125" style="2213" customWidth="1"/>
    <col min="2" max="2" width="10.1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125" style="2213"/>
  </cols>
  <sheetData>
    <row r="1" spans="1:16" ht="18.75">
      <c r="A1" s="2212" t="s">
        <v>1933</v>
      </c>
      <c r="B1" s="1388"/>
      <c r="C1" s="1388"/>
      <c r="D1" s="1388"/>
      <c r="E1" s="1388"/>
      <c r="F1" s="1388"/>
      <c r="G1" s="1388"/>
      <c r="H1" s="1388"/>
      <c r="I1" s="1388"/>
      <c r="J1" s="1388"/>
      <c r="K1" s="1388"/>
      <c r="L1" s="1388"/>
      <c r="M1" s="1388"/>
      <c r="N1" s="1388"/>
      <c r="O1" s="1388"/>
      <c r="P1" s="1388"/>
    </row>
    <row r="2" spans="1:16" ht="15">
      <c r="A2" s="3354" t="s">
        <v>1934</v>
      </c>
      <c r="B2" s="3354"/>
      <c r="C2" s="3354"/>
      <c r="D2" s="966" t="s">
        <v>1910</v>
      </c>
      <c r="E2" s="2214" t="s">
        <v>1911</v>
      </c>
      <c r="F2" s="1388"/>
      <c r="G2" s="2215"/>
      <c r="H2" s="2216"/>
      <c r="I2" s="2217" t="s">
        <v>1935</v>
      </c>
      <c r="J2" s="1388"/>
      <c r="K2" s="1388"/>
      <c r="L2" s="1388"/>
      <c r="M2" s="1388"/>
      <c r="N2" s="1423"/>
      <c r="O2" s="1388"/>
      <c r="P2" s="1388"/>
    </row>
    <row r="3" spans="1:16" ht="15.75" thickBot="1">
      <c r="A3" s="3355" t="s">
        <v>1908</v>
      </c>
      <c r="B3" s="3355"/>
      <c r="C3" s="3355"/>
      <c r="D3" s="46">
        <f>'数据-基础表'!AY6</f>
        <v>45212.18</v>
      </c>
      <c r="E3" s="46">
        <f>'数据-基础表'!AZ5</f>
        <v>135636.54</v>
      </c>
      <c r="F3" s="1388"/>
      <c r="G3" s="1395"/>
      <c r="H3" s="1243" t="s">
        <v>1909</v>
      </c>
      <c r="I3" s="55">
        <f>ROUND('数据-基础表'!B3/'数据-基础表'!A3,2)</f>
        <v>3</v>
      </c>
      <c r="J3" s="1388"/>
      <c r="K3" s="1388"/>
      <c r="L3" s="1388"/>
      <c r="M3" s="1388"/>
      <c r="N3" s="1423"/>
      <c r="O3" s="1388"/>
      <c r="P3" s="1388"/>
    </row>
    <row r="4" spans="1:16" ht="15">
      <c r="A4" s="3356"/>
      <c r="B4" s="3357"/>
      <c r="C4" s="3358"/>
      <c r="D4" s="2218" t="s">
        <v>1910</v>
      </c>
      <c r="E4" s="2219" t="s">
        <v>1911</v>
      </c>
      <c r="F4" s="1388"/>
      <c r="G4" s="2220" t="s">
        <v>1936</v>
      </c>
      <c r="H4" s="1243" t="s">
        <v>1916</v>
      </c>
      <c r="I4" s="55">
        <f>ROUND(SUMIF('数据-基础表'!I9:AS9,"地上",'数据-基础表'!I5:AS5)/'数据-基础表'!A3,2)</f>
        <v>0.69</v>
      </c>
      <c r="J4" s="1388"/>
      <c r="K4" s="1388"/>
      <c r="L4" s="1388"/>
      <c r="M4" s="1388"/>
      <c r="N4" s="1423"/>
      <c r="O4" s="1388"/>
      <c r="P4" s="1388"/>
    </row>
    <row r="5" spans="1:16">
      <c r="A5" s="47" t="s">
        <v>1912</v>
      </c>
      <c r="B5" s="3359" t="s">
        <v>1913</v>
      </c>
      <c r="C5" s="3359"/>
      <c r="D5" s="48">
        <f>ROUND($D$3*E5/$E$3,2)</f>
        <v>0</v>
      </c>
      <c r="E5" s="49">
        <f>SUMIF('数据-基础表'!$11:$11,"住宅",'数据-基础表'!$5:$5)</f>
        <v>0</v>
      </c>
      <c r="F5" s="1388"/>
      <c r="G5" s="1395"/>
      <c r="H5" s="1243" t="s">
        <v>1909</v>
      </c>
      <c r="I5" s="55">
        <f>ROUND(E31/D31,2)</f>
        <v>3</v>
      </c>
      <c r="J5" s="1388"/>
      <c r="K5" s="1388"/>
      <c r="L5" s="1388"/>
      <c r="M5" s="1388"/>
      <c r="N5" s="1388"/>
      <c r="O5" s="1388"/>
      <c r="P5" s="1388"/>
    </row>
    <row r="6" spans="1:16" ht="15" thickBot="1">
      <c r="A6" s="2221"/>
      <c r="B6" s="3359" t="s">
        <v>1914</v>
      </c>
      <c r="C6" s="3359"/>
      <c r="D6" s="48">
        <f>ROUND($D$3*E6/$E$3,2)</f>
        <v>45212.18</v>
      </c>
      <c r="E6" s="49">
        <f>E3-E5</f>
        <v>135636.54</v>
      </c>
      <c r="F6" s="1388"/>
      <c r="G6" s="2222" t="s">
        <v>1915</v>
      </c>
      <c r="H6" s="1395" t="s">
        <v>1916</v>
      </c>
      <c r="I6" s="938">
        <f>ROUND(F31/D31,2)</f>
        <v>0.69</v>
      </c>
      <c r="J6" s="1388"/>
      <c r="K6" s="1388"/>
      <c r="L6" s="1388"/>
      <c r="M6" s="1388"/>
      <c r="N6" s="1388"/>
      <c r="O6" s="1388"/>
      <c r="P6" s="1388"/>
    </row>
    <row r="7" spans="1:16" ht="15">
      <c r="A7" s="3351"/>
      <c r="B7" s="3352"/>
      <c r="C7" s="3353"/>
      <c r="D7" s="2218" t="s">
        <v>1910</v>
      </c>
      <c r="E7" s="2223" t="s">
        <v>1917</v>
      </c>
      <c r="F7" s="1388"/>
      <c r="G7" s="2215" t="s">
        <v>1918</v>
      </c>
      <c r="H7" s="63"/>
      <c r="I7" s="419">
        <v>3</v>
      </c>
      <c r="J7" s="1388"/>
      <c r="K7" s="1388"/>
      <c r="L7" s="1388"/>
      <c r="M7" s="1388"/>
      <c r="N7" s="1388"/>
      <c r="O7" s="1388"/>
      <c r="P7" s="1388"/>
    </row>
    <row r="8" spans="1:16">
      <c r="A8" s="47" t="s">
        <v>1919</v>
      </c>
      <c r="B8" s="50" t="s">
        <v>1920</v>
      </c>
      <c r="C8" s="48" t="s">
        <v>1921</v>
      </c>
      <c r="D8" s="48">
        <f t="shared" ref="D8:D15" si="0">ROUND($D$3*E8/$E$3,2)</f>
        <v>10419.57</v>
      </c>
      <c r="E8" s="51">
        <f>SUMIF('数据-基础表'!BB10:BK10,"地上",'数据-基础表'!BB5:BK5)</f>
        <v>31258.720000000001</v>
      </c>
      <c r="F8" s="1388"/>
      <c r="G8" s="2224"/>
      <c r="H8" s="2224"/>
      <c r="I8" s="1388"/>
      <c r="J8" s="1388"/>
      <c r="K8" s="1388"/>
      <c r="L8" s="1388"/>
      <c r="M8" s="1388"/>
      <c r="N8" s="1388"/>
      <c r="O8" s="1388"/>
      <c r="P8" s="1388"/>
    </row>
    <row r="9" spans="1:16">
      <c r="A9" s="2225"/>
      <c r="B9" s="2226"/>
      <c r="C9" s="48" t="s">
        <v>1922</v>
      </c>
      <c r="D9" s="48">
        <f t="shared" si="0"/>
        <v>0</v>
      </c>
      <c r="E9" s="52">
        <v>0</v>
      </c>
      <c r="F9" s="1388"/>
      <c r="G9" s="2224"/>
      <c r="H9" s="2224"/>
      <c r="I9" s="1388"/>
      <c r="J9" s="1388"/>
      <c r="K9" s="1388"/>
      <c r="L9" s="1388"/>
      <c r="M9" s="1388"/>
      <c r="N9" s="1388"/>
      <c r="O9" s="1388"/>
      <c r="P9" s="1388"/>
    </row>
    <row r="10" spans="1:16">
      <c r="A10" s="2225"/>
      <c r="B10" s="2226"/>
      <c r="C10" s="48" t="s">
        <v>1931</v>
      </c>
      <c r="D10" s="48">
        <f t="shared" si="0"/>
        <v>34792.61</v>
      </c>
      <c r="E10" s="51">
        <f>SUMPRODUCT(('数据-基础表'!BB10:BK10="地下")*('数据-基础表'!BB11:BK11="商业")*('数据-基础表'!BB5:BK5))</f>
        <v>104377.82</v>
      </c>
      <c r="F10" s="1388"/>
      <c r="G10" s="2224"/>
      <c r="H10" s="2224"/>
      <c r="I10" s="1388"/>
      <c r="J10" s="1388"/>
      <c r="K10" s="1388"/>
      <c r="L10" s="1388"/>
      <c r="M10" s="1388"/>
      <c r="N10" s="1388"/>
      <c r="O10" s="1388"/>
      <c r="P10" s="1388"/>
    </row>
    <row r="11" spans="1:16">
      <c r="A11" s="2225"/>
      <c r="B11" s="2226"/>
      <c r="C11" s="48" t="s">
        <v>1923</v>
      </c>
      <c r="D11" s="48">
        <f t="shared" si="0"/>
        <v>0</v>
      </c>
      <c r="E11" s="51">
        <f>SUMPRODUCT(('数据-基础表'!BB10:BK10="地下")*('数据-基础表'!BB11:BK11="办公")*('数据-基础表'!BB5:BK5))+'数据-基础表'!BP5</f>
        <v>0</v>
      </c>
      <c r="F11" s="1388"/>
      <c r="G11" s="2224"/>
      <c r="H11" s="2224"/>
      <c r="I11" s="1388"/>
      <c r="J11" s="1388"/>
      <c r="K11" s="1388"/>
      <c r="L11" s="1388"/>
      <c r="M11" s="1388"/>
      <c r="N11" s="1388"/>
      <c r="O11" s="1388"/>
      <c r="P11" s="1388"/>
    </row>
    <row r="12" spans="1:16">
      <c r="A12" s="2225"/>
      <c r="B12" s="2226"/>
      <c r="C12" s="48" t="s">
        <v>1924</v>
      </c>
      <c r="D12" s="48">
        <f t="shared" si="0"/>
        <v>0</v>
      </c>
      <c r="E12" s="51">
        <f>SUMPRODUCT(('数据-基础表'!BB10:BK10="地下")*('数据-基础表'!BB11:BK11="仓储")*('数据-基础表'!BB5:BK5))</f>
        <v>0</v>
      </c>
      <c r="F12" s="1388"/>
      <c r="G12" s="2224"/>
      <c r="H12" s="2224"/>
      <c r="I12" s="1388"/>
      <c r="J12" s="1388"/>
      <c r="K12" s="1388"/>
      <c r="L12" s="1388"/>
      <c r="M12" s="1388"/>
      <c r="N12" s="1388"/>
      <c r="O12" s="1388"/>
      <c r="P12" s="1388"/>
    </row>
    <row r="13" spans="1:16">
      <c r="A13" s="2225"/>
      <c r="B13" s="2226"/>
      <c r="C13" s="48" t="s">
        <v>1925</v>
      </c>
      <c r="D13" s="48">
        <f t="shared" si="0"/>
        <v>0</v>
      </c>
      <c r="E13" s="51">
        <f>SUMPRODUCT(('数据-基础表'!BB10:BK10="地下")*('数据-基础表'!BB11:BK11="车库")*('数据-基础表'!BB5:BK5))</f>
        <v>0</v>
      </c>
      <c r="F13" s="1388"/>
      <c r="G13" s="2224"/>
      <c r="H13" s="2224"/>
      <c r="I13" s="1388"/>
      <c r="J13" s="1388"/>
      <c r="K13" s="1388"/>
      <c r="L13" s="1388"/>
      <c r="M13" s="1388"/>
      <c r="N13" s="1388"/>
      <c r="O13" s="1388"/>
      <c r="P13" s="1388"/>
    </row>
    <row r="14" spans="1:16">
      <c r="A14" s="2225"/>
      <c r="B14" s="2226"/>
      <c r="C14" s="48" t="s">
        <v>1937</v>
      </c>
      <c r="D14" s="48">
        <f t="shared" si="0"/>
        <v>0</v>
      </c>
      <c r="E14" s="51">
        <f>SUMPRODUCT(('数据-基础表'!BB10:BK10="地下")*('数据-基础表'!BB11:BK11="车库—商业")*('数据-基础表'!BB5:BK5))</f>
        <v>0</v>
      </c>
      <c r="F14" s="1388"/>
      <c r="G14" s="2224"/>
      <c r="H14" s="2224"/>
      <c r="I14" s="1388"/>
      <c r="J14" s="1388"/>
      <c r="K14" s="1388"/>
      <c r="L14" s="1388"/>
      <c r="M14" s="1388"/>
      <c r="N14" s="1388"/>
      <c r="O14" s="1388"/>
      <c r="P14" s="1388"/>
    </row>
    <row r="15" spans="1:16" ht="15" thickBot="1">
      <c r="A15" s="2225"/>
      <c r="B15" s="2226"/>
      <c r="C15" s="48" t="s">
        <v>1932</v>
      </c>
      <c r="D15" s="48">
        <f t="shared" si="0"/>
        <v>0</v>
      </c>
      <c r="E15" s="51">
        <f>SUMPRODUCT(('数据-基础表'!BB10:BK10="地下")*('数据-基础表'!BB11:BK11="车库—办公")*('数据-基础表'!BB5:BK5))</f>
        <v>0</v>
      </c>
      <c r="F15" s="1388"/>
      <c r="G15" s="2224"/>
      <c r="H15" s="2224"/>
      <c r="I15" s="1388"/>
      <c r="J15" s="1388"/>
      <c r="K15" s="1388"/>
      <c r="L15" s="1388"/>
      <c r="M15" s="1388"/>
      <c r="N15" s="1388"/>
      <c r="O15" s="1388"/>
      <c r="P15" s="1388"/>
    </row>
    <row r="16" spans="1:16" ht="15.75" thickBot="1">
      <c r="A16" s="2221"/>
      <c r="B16" s="2226"/>
      <c r="C16" s="50" t="s">
        <v>1926</v>
      </c>
      <c r="D16" s="50">
        <f>SUM(D8:D15)</f>
        <v>45212.18</v>
      </c>
      <c r="E16" s="53">
        <f>SUM(E8:E15)</f>
        <v>135636.54</v>
      </c>
      <c r="F16" s="1388"/>
      <c r="G16" s="2224"/>
      <c r="H16" s="2227" t="s">
        <v>1938</v>
      </c>
      <c r="I16" s="2228"/>
      <c r="J16" s="1388"/>
      <c r="K16" s="3348" t="s">
        <v>1938</v>
      </c>
      <c r="L16" s="3349"/>
      <c r="M16" s="3349"/>
      <c r="N16" s="3349"/>
      <c r="O16" s="3349"/>
      <c r="P16" s="3350"/>
    </row>
    <row r="17" spans="1:19" ht="15">
      <c r="A17" s="2229" t="s">
        <v>1939</v>
      </c>
      <c r="B17" s="2230" t="s">
        <v>1940</v>
      </c>
      <c r="C17" s="2231" t="s">
        <v>1941</v>
      </c>
      <c r="D17" s="2232" t="s">
        <v>1929</v>
      </c>
      <c r="E17" s="2233" t="s">
        <v>1930</v>
      </c>
      <c r="F17" s="2234"/>
      <c r="G17" s="2235"/>
      <c r="H17" s="2236" t="s">
        <v>1942</v>
      </c>
      <c r="I17" s="2237" t="s">
        <v>1927</v>
      </c>
      <c r="J17" s="1388"/>
      <c r="K17" s="3345" t="s">
        <v>1943</v>
      </c>
      <c r="L17" s="3346"/>
      <c r="M17" s="3347"/>
      <c r="N17" s="3345" t="s">
        <v>1944</v>
      </c>
      <c r="O17" s="3346"/>
      <c r="P17" s="3347"/>
      <c r="R17" s="2215" t="s">
        <v>1945</v>
      </c>
      <c r="S17" s="63"/>
    </row>
    <row r="18" spans="1:19" ht="15">
      <c r="A18" s="2225"/>
      <c r="B18" s="2238"/>
      <c r="C18" s="2239"/>
      <c r="D18" s="2240"/>
      <c r="E18" s="2241" t="s">
        <v>1946</v>
      </c>
      <c r="F18" s="2242" t="s">
        <v>1947</v>
      </c>
      <c r="G18" s="2243" t="s">
        <v>1948</v>
      </c>
      <c r="H18" s="1258" t="s">
        <v>1949</v>
      </c>
      <c r="I18" s="2244" t="s">
        <v>1950</v>
      </c>
      <c r="J18" s="1388"/>
      <c r="K18" s="1258" t="s">
        <v>1951</v>
      </c>
      <c r="L18" s="2245" t="s">
        <v>1952</v>
      </c>
      <c r="M18" s="1045" t="s">
        <v>1953</v>
      </c>
      <c r="N18" s="1258" t="s">
        <v>1951</v>
      </c>
      <c r="O18" s="2245" t="s">
        <v>1952</v>
      </c>
      <c r="P18" s="1045" t="s">
        <v>1953</v>
      </c>
      <c r="R18" s="1243" t="s">
        <v>1954</v>
      </c>
      <c r="S18" s="1243" t="s">
        <v>1955</v>
      </c>
    </row>
    <row r="19" spans="1:19">
      <c r="A19" s="2246"/>
      <c r="B19" s="50" t="s">
        <v>1928</v>
      </c>
      <c r="C19" s="3075" t="s">
        <v>3381</v>
      </c>
      <c r="D19" s="48">
        <f>ROUND($D$3*E19/$E$3,2)</f>
        <v>45212.18</v>
      </c>
      <c r="E19" s="56">
        <f t="shared" ref="E19:E26" si="1">SUM(F19:G19)</f>
        <v>135636.54000000004</v>
      </c>
      <c r="F19" s="57">
        <f>'数据-基础表'!B3-'数据-基础表'!S5-'数据-基础表'!U5</f>
        <v>31258.720000000016</v>
      </c>
      <c r="G19" s="58">
        <f>'数据-基础表'!S5+'数据-基础表'!U5</f>
        <v>104377.82</v>
      </c>
      <c r="H19" s="722">
        <f>ROUND($D$3*I19/$E$3,2)</f>
        <v>0</v>
      </c>
      <c r="I19" s="51">
        <f t="shared" ref="I19:I26" si="2">IF($I$17="自定义",P19,M19)</f>
        <v>0</v>
      </c>
      <c r="J19" s="1388"/>
      <c r="K19" s="1387">
        <f t="shared" ref="K19:K26" si="3">ROUND(E$28*E19/E$27,2)</f>
        <v>0</v>
      </c>
      <c r="L19" s="1243">
        <f t="shared" ref="L19:L26" si="4">ROUND(IF(COUNTIF(C19,"*住宅*")&gt;0,E$29*E19/E$32,0),2)</f>
        <v>0</v>
      </c>
      <c r="M19" s="1399">
        <f>K19+L19</f>
        <v>0</v>
      </c>
      <c r="N19" s="2247"/>
      <c r="O19" s="2248"/>
      <c r="P19" s="1399">
        <f>N19+O19</f>
        <v>0</v>
      </c>
      <c r="R19" s="1243">
        <f t="shared" ref="R19:S26" si="5">D19+H19</f>
        <v>45212.18</v>
      </c>
      <c r="S19" s="1244">
        <f t="shared" si="5"/>
        <v>135636.54000000004</v>
      </c>
    </row>
    <row r="20" spans="1:19">
      <c r="A20" s="2249"/>
      <c r="B20" s="50" t="s">
        <v>1956</v>
      </c>
      <c r="C20" s="3075"/>
      <c r="D20" s="48">
        <f t="shared" ref="D20:D26" si="6">ROUND($D$3*E20/$E$3,2)</f>
        <v>0</v>
      </c>
      <c r="E20" s="56">
        <f>SUM(F20:G20)</f>
        <v>0</v>
      </c>
      <c r="F20" s="57"/>
      <c r="G20" s="58"/>
      <c r="H20" s="722">
        <f t="shared" ref="H20:H26" si="7">ROUND($D$3*I20/$E$3,2)</f>
        <v>0</v>
      </c>
      <c r="I20" s="51">
        <f t="shared" si="2"/>
        <v>0</v>
      </c>
      <c r="J20" s="1388"/>
      <c r="K20" s="1387">
        <f t="shared" si="3"/>
        <v>0</v>
      </c>
      <c r="L20" s="1243">
        <f t="shared" si="4"/>
        <v>0</v>
      </c>
      <c r="M20" s="1399">
        <f t="shared" ref="M20:M26" si="8">K20+L20</f>
        <v>0</v>
      </c>
      <c r="N20" s="2247"/>
      <c r="O20" s="2248"/>
      <c r="P20" s="1399">
        <f t="shared" ref="P20:P26" si="9">N20+O20</f>
        <v>0</v>
      </c>
      <c r="R20" s="1243">
        <f t="shared" si="5"/>
        <v>0</v>
      </c>
      <c r="S20" s="1244">
        <f t="shared" si="5"/>
        <v>0</v>
      </c>
    </row>
    <row r="21" spans="1:19">
      <c r="A21" s="2249"/>
      <c r="B21" s="50" t="s">
        <v>1956</v>
      </c>
      <c r="C21" s="3075"/>
      <c r="D21" s="48">
        <f t="shared" si="6"/>
        <v>0</v>
      </c>
      <c r="E21" s="56">
        <f t="shared" si="1"/>
        <v>0</v>
      </c>
      <c r="F21" s="57"/>
      <c r="H21" s="722">
        <f t="shared" si="7"/>
        <v>0</v>
      </c>
      <c r="I21" s="51">
        <f t="shared" si="2"/>
        <v>0</v>
      </c>
      <c r="J21" s="1388"/>
      <c r="K21" s="1387">
        <f t="shared" si="3"/>
        <v>0</v>
      </c>
      <c r="L21" s="1243">
        <f t="shared" si="4"/>
        <v>0</v>
      </c>
      <c r="M21" s="1399">
        <f t="shared" si="8"/>
        <v>0</v>
      </c>
      <c r="N21" s="2247"/>
      <c r="O21" s="2248"/>
      <c r="P21" s="1399">
        <f t="shared" si="9"/>
        <v>0</v>
      </c>
      <c r="R21" s="1243">
        <f t="shared" si="5"/>
        <v>0</v>
      </c>
      <c r="S21" s="1244">
        <f t="shared" si="5"/>
        <v>0</v>
      </c>
    </row>
    <row r="22" spans="1:19">
      <c r="A22" s="2249"/>
      <c r="B22" s="50" t="s">
        <v>1956</v>
      </c>
      <c r="C22" s="3044"/>
      <c r="D22" s="48">
        <f t="shared" si="6"/>
        <v>0</v>
      </c>
      <c r="E22" s="56">
        <f t="shared" si="1"/>
        <v>0</v>
      </c>
      <c r="F22" s="61"/>
      <c r="G22" s="62"/>
      <c r="H22" s="722">
        <f t="shared" si="7"/>
        <v>0</v>
      </c>
      <c r="I22" s="51">
        <f t="shared" si="2"/>
        <v>0</v>
      </c>
      <c r="J22" s="1388"/>
      <c r="K22" s="1387">
        <f t="shared" si="3"/>
        <v>0</v>
      </c>
      <c r="L22" s="1243">
        <f t="shared" si="4"/>
        <v>0</v>
      </c>
      <c r="M22" s="1399">
        <f t="shared" si="8"/>
        <v>0</v>
      </c>
      <c r="N22" s="2247"/>
      <c r="O22" s="2248"/>
      <c r="P22" s="1399">
        <f t="shared" si="9"/>
        <v>0</v>
      </c>
      <c r="R22" s="1243">
        <f t="shared" si="5"/>
        <v>0</v>
      </c>
      <c r="S22" s="1244">
        <f t="shared" si="5"/>
        <v>0</v>
      </c>
    </row>
    <row r="23" spans="1:19">
      <c r="A23" s="2249"/>
      <c r="B23" s="50" t="s">
        <v>1956</v>
      </c>
      <c r="C23" s="3075"/>
      <c r="D23" s="48">
        <f>ROUND($D$3*E23/$E$3,2)</f>
        <v>0</v>
      </c>
      <c r="E23" s="56">
        <f>SUM(F23:G23)</f>
        <v>0</v>
      </c>
      <c r="F23" s="61"/>
      <c r="G23" s="62"/>
      <c r="H23" s="722">
        <f>ROUND($D$3*I23/$E$3,2)</f>
        <v>0</v>
      </c>
      <c r="I23" s="51">
        <f t="shared" si="2"/>
        <v>0</v>
      </c>
      <c r="J23" s="1388"/>
      <c r="K23" s="1387">
        <f t="shared" si="3"/>
        <v>0</v>
      </c>
      <c r="L23" s="1243">
        <f t="shared" si="4"/>
        <v>0</v>
      </c>
      <c r="M23" s="1399">
        <f t="shared" si="8"/>
        <v>0</v>
      </c>
      <c r="N23" s="2247"/>
      <c r="O23" s="2248"/>
      <c r="P23" s="1399">
        <f t="shared" si="9"/>
        <v>0</v>
      </c>
      <c r="R23" s="1243">
        <f t="shared" si="5"/>
        <v>0</v>
      </c>
      <c r="S23" s="1244">
        <f t="shared" si="5"/>
        <v>0</v>
      </c>
    </row>
    <row r="24" spans="1:19">
      <c r="A24" s="2249"/>
      <c r="B24" s="50" t="s">
        <v>1956</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47"/>
      <c r="O24" s="2248"/>
      <c r="P24" s="1399">
        <f t="shared" si="9"/>
        <v>0</v>
      </c>
      <c r="R24" s="1243">
        <f t="shared" si="5"/>
        <v>0</v>
      </c>
      <c r="S24" s="1244">
        <f t="shared" si="5"/>
        <v>0</v>
      </c>
    </row>
    <row r="25" spans="1:19">
      <c r="A25" s="2249"/>
      <c r="B25" s="50" t="s">
        <v>1956</v>
      </c>
      <c r="C25" s="3044"/>
      <c r="D25" s="48">
        <f t="shared" si="6"/>
        <v>0</v>
      </c>
      <c r="E25" s="56">
        <f t="shared" si="1"/>
        <v>0</v>
      </c>
      <c r="F25" s="61"/>
      <c r="G25" s="62"/>
      <c r="H25" s="47">
        <f t="shared" si="7"/>
        <v>0</v>
      </c>
      <c r="I25" s="51">
        <f t="shared" si="2"/>
        <v>0</v>
      </c>
      <c r="J25" s="1388"/>
      <c r="K25" s="1387">
        <f t="shared" si="3"/>
        <v>0</v>
      </c>
      <c r="L25" s="1243">
        <f t="shared" si="4"/>
        <v>0</v>
      </c>
      <c r="M25" s="1399">
        <f t="shared" si="8"/>
        <v>0</v>
      </c>
      <c r="N25" s="2247"/>
      <c r="O25" s="2248"/>
      <c r="P25" s="1399">
        <f t="shared" si="9"/>
        <v>0</v>
      </c>
      <c r="R25" s="1243">
        <f t="shared" si="5"/>
        <v>0</v>
      </c>
      <c r="S25" s="1244">
        <f t="shared" si="5"/>
        <v>0</v>
      </c>
    </row>
    <row r="26" spans="1:19">
      <c r="A26" s="2249"/>
      <c r="B26" s="50" t="s">
        <v>1956</v>
      </c>
      <c r="C26" s="3043"/>
      <c r="D26" s="48">
        <f t="shared" si="6"/>
        <v>0</v>
      </c>
      <c r="E26" s="56">
        <f t="shared" si="1"/>
        <v>0</v>
      </c>
      <c r="F26" s="61"/>
      <c r="G26" s="62"/>
      <c r="H26" s="47">
        <f t="shared" si="7"/>
        <v>0</v>
      </c>
      <c r="I26" s="51">
        <f t="shared" si="2"/>
        <v>0</v>
      </c>
      <c r="J26" s="1388"/>
      <c r="K26" s="1394">
        <f t="shared" si="3"/>
        <v>0</v>
      </c>
      <c r="L26" s="1395">
        <f t="shared" si="4"/>
        <v>0</v>
      </c>
      <c r="M26" s="66">
        <f t="shared" si="8"/>
        <v>0</v>
      </c>
      <c r="N26" s="2250"/>
      <c r="O26" s="2251"/>
      <c r="P26" s="66">
        <f t="shared" si="9"/>
        <v>0</v>
      </c>
      <c r="R26" s="1243">
        <f t="shared" si="5"/>
        <v>0</v>
      </c>
      <c r="S26" s="1244">
        <f t="shared" si="5"/>
        <v>0</v>
      </c>
    </row>
    <row r="27" spans="1:19" ht="15.75" thickBot="1">
      <c r="A27" s="2249"/>
      <c r="B27" s="48"/>
      <c r="C27" s="2252" t="s">
        <v>1957</v>
      </c>
      <c r="D27" s="1389">
        <f>SUM(D19:D26)</f>
        <v>45212.18</v>
      </c>
      <c r="E27" s="1390">
        <f>IF(SUM(E19:E26)='数据-基础表'!BA5,SUM(E19:E26),IF(F27="地上面积有误","面积有误","地下面积有误"))</f>
        <v>135636.54000000004</v>
      </c>
      <c r="F27" s="1389">
        <f>IF(SUM(F19:F26)=E8,SUM(F19:F26),"地上面积有误")</f>
        <v>31258.720000000016</v>
      </c>
      <c r="G27" s="1391">
        <f>SUM(G19:G26)</f>
        <v>104377.82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45212.18</v>
      </c>
      <c r="S27" s="1243">
        <f>IF(SUM(S19:S26)=$E$3,SUM(S19:S26),SUM(S19:S26)&amp;"误差"&amp;ROUND(SUM(S19:S26)-E3,2))</f>
        <v>135636.54000000004</v>
      </c>
    </row>
    <row r="28" spans="1:19">
      <c r="A28" s="2249"/>
      <c r="B28" s="50" t="s">
        <v>1958</v>
      </c>
      <c r="C28" s="1255" t="s">
        <v>1959</v>
      </c>
      <c r="D28" s="48">
        <f>ROUND($D$3*E28/$E$3,2)</f>
        <v>0</v>
      </c>
      <c r="E28" s="56">
        <f>SUM(F28:G28)</f>
        <v>0</v>
      </c>
      <c r="F28" s="63">
        <f>'数据-基础表'!BQ5+'数据-基础表'!BS5</f>
        <v>0</v>
      </c>
      <c r="G28" s="64">
        <f>'数据-基础表'!BR5+'数据-基础表'!BT5</f>
        <v>0</v>
      </c>
      <c r="H28" s="1388"/>
      <c r="I28" s="1388"/>
      <c r="J28" s="1388"/>
      <c r="K28" s="1388"/>
      <c r="L28" s="1388"/>
      <c r="M28" s="1388"/>
      <c r="N28" s="1388"/>
      <c r="O28" s="1388"/>
      <c r="P28" s="1388"/>
    </row>
    <row r="29" spans="1:19">
      <c r="A29" s="2249"/>
      <c r="B29" s="50" t="s">
        <v>1958</v>
      </c>
      <c r="C29" s="2253" t="s">
        <v>1960</v>
      </c>
      <c r="D29" s="48">
        <f>ROUND($D$3*E29/$E$3,2)</f>
        <v>0</v>
      </c>
      <c r="E29" s="56">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49"/>
      <c r="B30" s="50"/>
      <c r="C30" s="2254" t="s">
        <v>1957</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55"/>
      <c r="B31" s="2256"/>
      <c r="C31" s="1006" t="s">
        <v>1961</v>
      </c>
      <c r="D31" s="728">
        <f>D27+D30</f>
        <v>45212.18</v>
      </c>
      <c r="E31" s="728">
        <f>E27+E30</f>
        <v>135636.54000000004</v>
      </c>
      <c r="F31" s="729">
        <f>F27+F30</f>
        <v>31258.720000000016</v>
      </c>
      <c r="G31" s="730">
        <f>G27+G30</f>
        <v>104377.82</v>
      </c>
      <c r="H31" s="1388"/>
      <c r="I31" s="1388"/>
      <c r="J31" s="1388"/>
      <c r="K31" s="1388"/>
      <c r="L31" s="1388"/>
      <c r="M31" s="1388"/>
      <c r="N31" s="1388"/>
      <c r="O31" s="1388"/>
      <c r="P31" s="1388"/>
    </row>
    <row r="32" spans="1:19">
      <c r="A32" s="2220"/>
      <c r="B32" s="2220" t="s">
        <v>1962</v>
      </c>
      <c r="C32" s="2220"/>
      <c r="D32" s="2220"/>
      <c r="E32" s="1270">
        <f>SUMIF(C19:C26,"*住宅*",E19:E26)</f>
        <v>0</v>
      </c>
      <c r="F32" s="2220"/>
      <c r="G32" s="2220"/>
      <c r="H32" s="1388"/>
      <c r="I32" s="1388"/>
      <c r="J32" s="1388"/>
      <c r="K32" s="1388"/>
      <c r="L32" s="1388"/>
      <c r="M32" s="1388"/>
      <c r="N32" s="1388"/>
      <c r="O32" s="1388"/>
      <c r="P32" s="1388"/>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N53"/>
  <sheetViews>
    <sheetView workbookViewId="0">
      <selection activeCell="D11" sqref="D11"/>
    </sheetView>
  </sheetViews>
  <sheetFormatPr defaultColWidth="9" defaultRowHeight="13.5"/>
  <sheetData>
    <row r="1" spans="1:40" ht="27">
      <c r="A1" s="3377" t="s">
        <v>3519</v>
      </c>
      <c r="B1" s="3377"/>
      <c r="C1" s="3377"/>
      <c r="D1" s="3377"/>
      <c r="E1" s="3377"/>
      <c r="F1" s="3377"/>
      <c r="G1" s="3377"/>
      <c r="H1" s="3377"/>
      <c r="I1" s="3377"/>
      <c r="J1" s="3377"/>
      <c r="K1" s="3377"/>
      <c r="L1" s="3377"/>
      <c r="M1" s="3377"/>
      <c r="N1" s="3377"/>
      <c r="O1" s="3377"/>
      <c r="P1" s="3377"/>
      <c r="Q1" s="3377"/>
      <c r="R1" s="3377"/>
      <c r="S1" s="3377"/>
      <c r="T1" s="3377"/>
      <c r="U1" s="3377"/>
      <c r="V1" s="3377"/>
      <c r="W1" s="3377"/>
      <c r="X1" s="3377"/>
      <c r="Y1" s="3377" t="s">
        <v>3520</v>
      </c>
      <c r="Z1" s="3377"/>
      <c r="AA1" s="3377"/>
      <c r="AB1" s="3377"/>
      <c r="AC1" s="3377"/>
      <c r="AD1" s="3377"/>
      <c r="AE1" s="3377"/>
      <c r="AF1" s="3377"/>
      <c r="AG1" s="3377"/>
      <c r="AH1" s="3377"/>
      <c r="AI1" s="3377"/>
      <c r="AJ1" s="3377"/>
      <c r="AK1" s="3377"/>
      <c r="AL1" s="3377"/>
      <c r="AM1" s="3377"/>
      <c r="AN1" s="3377"/>
    </row>
    <row r="2" spans="1:40" ht="18.75">
      <c r="A2" s="3378" t="s">
        <v>3536</v>
      </c>
      <c r="B2" s="3378"/>
      <c r="C2" s="3378"/>
      <c r="D2" s="3378"/>
      <c r="E2" s="3378"/>
      <c r="F2" s="3378"/>
      <c r="G2" s="3378" t="s">
        <v>3537</v>
      </c>
      <c r="H2" s="3378"/>
      <c r="I2" s="3378"/>
      <c r="J2" s="3378"/>
      <c r="K2" s="3378"/>
      <c r="L2" s="3378"/>
      <c r="M2" s="3378" t="s">
        <v>3538</v>
      </c>
      <c r="N2" s="3378"/>
      <c r="O2" s="3378"/>
      <c r="P2" s="3378"/>
      <c r="Q2" s="3378" t="s">
        <v>3521</v>
      </c>
      <c r="R2" s="3378"/>
      <c r="S2" s="3378"/>
      <c r="T2" s="3378"/>
      <c r="U2" s="3378" t="s">
        <v>3522</v>
      </c>
      <c r="V2" s="3378"/>
      <c r="W2" s="3378"/>
      <c r="X2" s="3378"/>
      <c r="Y2" s="3378" t="s">
        <v>3523</v>
      </c>
      <c r="Z2" s="3378"/>
      <c r="AA2" s="3378"/>
      <c r="AB2" s="3378"/>
      <c r="AC2" s="3379" t="s">
        <v>3524</v>
      </c>
      <c r="AD2" s="3380"/>
      <c r="AE2" s="3380"/>
      <c r="AF2" s="3381"/>
      <c r="AG2" s="3378" t="s">
        <v>3525</v>
      </c>
      <c r="AH2" s="3378"/>
      <c r="AI2" s="3378"/>
      <c r="AJ2" s="3378"/>
      <c r="AK2" s="3378" t="s">
        <v>3526</v>
      </c>
      <c r="AL2" s="3378"/>
      <c r="AM2" s="3378"/>
      <c r="AN2" s="3378"/>
    </row>
    <row r="3" spans="1:40" ht="18.75">
      <c r="A3" s="3147" t="s">
        <v>3527</v>
      </c>
      <c r="B3" s="3147" t="s">
        <v>3528</v>
      </c>
      <c r="C3" s="3147" t="s">
        <v>3529</v>
      </c>
      <c r="D3" s="3147"/>
      <c r="E3" s="3147"/>
      <c r="F3" s="3148" t="s">
        <v>37</v>
      </c>
      <c r="G3" s="3147" t="s">
        <v>3527</v>
      </c>
      <c r="H3" s="3147" t="s">
        <v>3528</v>
      </c>
      <c r="I3" s="3147" t="s">
        <v>3529</v>
      </c>
      <c r="J3" s="3147"/>
      <c r="K3" s="3147"/>
      <c r="L3" s="3148" t="s">
        <v>37</v>
      </c>
      <c r="M3" s="3147" t="s">
        <v>3527</v>
      </c>
      <c r="N3" s="3147" t="s">
        <v>3528</v>
      </c>
      <c r="O3" s="3147" t="s">
        <v>3529</v>
      </c>
      <c r="P3" s="3148" t="s">
        <v>37</v>
      </c>
      <c r="Q3" s="3147" t="s">
        <v>3527</v>
      </c>
      <c r="R3" s="3147" t="s">
        <v>3528</v>
      </c>
      <c r="S3" s="3147" t="s">
        <v>3529</v>
      </c>
      <c r="T3" s="3148" t="s">
        <v>37</v>
      </c>
      <c r="U3" s="3147" t="s">
        <v>3527</v>
      </c>
      <c r="V3" s="3147" t="s">
        <v>3528</v>
      </c>
      <c r="W3" s="3147" t="s">
        <v>3529</v>
      </c>
      <c r="X3" s="3148" t="s">
        <v>37</v>
      </c>
      <c r="Y3" s="3147" t="s">
        <v>3527</v>
      </c>
      <c r="Z3" s="3147" t="s">
        <v>3528</v>
      </c>
      <c r="AA3" s="3147" t="s">
        <v>3529</v>
      </c>
      <c r="AB3" s="3148" t="s">
        <v>37</v>
      </c>
      <c r="AC3" s="3147" t="s">
        <v>3527</v>
      </c>
      <c r="AD3" s="3147" t="s">
        <v>3528</v>
      </c>
      <c r="AE3" s="3147" t="s">
        <v>3529</v>
      </c>
      <c r="AF3" s="3148" t="s">
        <v>37</v>
      </c>
      <c r="AG3" s="3147" t="s">
        <v>3527</v>
      </c>
      <c r="AH3" s="3147" t="s">
        <v>3528</v>
      </c>
      <c r="AI3" s="3147" t="s">
        <v>3529</v>
      </c>
      <c r="AJ3" s="3147" t="s">
        <v>37</v>
      </c>
      <c r="AK3" s="3147" t="s">
        <v>3527</v>
      </c>
      <c r="AL3" s="3147" t="s">
        <v>3528</v>
      </c>
      <c r="AM3" s="3147" t="s">
        <v>3529</v>
      </c>
      <c r="AN3" s="3147" t="s">
        <v>37</v>
      </c>
    </row>
    <row r="4" spans="1:40" ht="14.25">
      <c r="A4" s="3365">
        <v>1</v>
      </c>
      <c r="B4" s="3149">
        <v>101</v>
      </c>
      <c r="C4" s="3149">
        <v>46.37</v>
      </c>
      <c r="D4" s="3149"/>
      <c r="E4" s="3149"/>
      <c r="F4" s="3362">
        <f>SUM(C4:C9)</f>
        <v>196.01999999999998</v>
      </c>
      <c r="G4" s="3365">
        <v>6</v>
      </c>
      <c r="H4" s="3149">
        <v>101</v>
      </c>
      <c r="I4" s="3149">
        <v>28</v>
      </c>
      <c r="J4" s="3149"/>
      <c r="K4" s="3149"/>
      <c r="L4" s="3365">
        <f>SUM(I4:I6)</f>
        <v>1094.44</v>
      </c>
      <c r="M4" s="3365">
        <v>5</v>
      </c>
      <c r="N4" s="3149">
        <v>101</v>
      </c>
      <c r="O4" s="3149">
        <v>22.08</v>
      </c>
      <c r="P4" s="3365">
        <f>SUM(O4:O10)</f>
        <v>1783.67</v>
      </c>
      <c r="Q4" s="3365">
        <v>6</v>
      </c>
      <c r="R4" s="3149">
        <v>101</v>
      </c>
      <c r="S4" s="3149">
        <v>17.66</v>
      </c>
      <c r="T4" s="3362">
        <f>SUM(S4:S20)</f>
        <v>2670.42</v>
      </c>
      <c r="U4" s="3362" t="s">
        <v>3294</v>
      </c>
      <c r="V4" s="3149">
        <v>-216</v>
      </c>
      <c r="W4" s="3149">
        <v>10097.549999999999</v>
      </c>
      <c r="X4" s="3362">
        <v>62596.38</v>
      </c>
      <c r="Y4" s="3362">
        <v>2</v>
      </c>
      <c r="Z4" s="3149">
        <v>101</v>
      </c>
      <c r="AA4" s="3149">
        <v>45.78</v>
      </c>
      <c r="AB4" s="3362">
        <f>SUM(AA4:AA8)</f>
        <v>261.01</v>
      </c>
      <c r="AC4" s="3362">
        <v>5</v>
      </c>
      <c r="AD4" s="3149">
        <v>101</v>
      </c>
      <c r="AE4" s="3149">
        <v>152.96</v>
      </c>
      <c r="AF4" s="3362">
        <f>SUM(AE4:AE10)</f>
        <v>600.94999999999993</v>
      </c>
      <c r="AG4" s="3150">
        <v>6</v>
      </c>
      <c r="AH4" s="3150">
        <v>108</v>
      </c>
      <c r="AI4" s="3150">
        <v>57.2</v>
      </c>
      <c r="AJ4" s="3150">
        <v>57.2</v>
      </c>
      <c r="AK4" s="3362">
        <v>5</v>
      </c>
      <c r="AL4" s="3149">
        <v>101</v>
      </c>
      <c r="AM4" s="3149">
        <v>41.43</v>
      </c>
      <c r="AN4" s="3362">
        <f>SUM(AM4:AM10)</f>
        <v>601.32999999999993</v>
      </c>
    </row>
    <row r="5" spans="1:40" ht="14.25">
      <c r="A5" s="3365"/>
      <c r="B5" s="3149">
        <v>102</v>
      </c>
      <c r="C5" s="3149">
        <v>41.19</v>
      </c>
      <c r="D5" s="3149"/>
      <c r="E5" s="3149"/>
      <c r="F5" s="3362"/>
      <c r="G5" s="3365"/>
      <c r="H5" s="3149">
        <v>102</v>
      </c>
      <c r="I5" s="3149">
        <v>27.52</v>
      </c>
      <c r="J5" s="3149"/>
      <c r="K5" s="3149"/>
      <c r="L5" s="3365"/>
      <c r="M5" s="3365"/>
      <c r="N5" s="3149">
        <v>102</v>
      </c>
      <c r="O5" s="3149">
        <v>128.94999999999999</v>
      </c>
      <c r="P5" s="3365"/>
      <c r="Q5" s="3365"/>
      <c r="R5" s="3149">
        <v>103</v>
      </c>
      <c r="S5" s="3149">
        <v>152.38</v>
      </c>
      <c r="T5" s="3362"/>
      <c r="U5" s="3362"/>
      <c r="V5" s="3149">
        <v>-247</v>
      </c>
      <c r="W5" s="3149">
        <v>9572.77</v>
      </c>
      <c r="X5" s="3362"/>
      <c r="Y5" s="3362"/>
      <c r="Z5" s="3149">
        <v>102</v>
      </c>
      <c r="AA5" s="3149">
        <v>68.84</v>
      </c>
      <c r="AB5" s="3362"/>
      <c r="AC5" s="3362"/>
      <c r="AD5" s="3149">
        <v>102</v>
      </c>
      <c r="AE5" s="3149">
        <v>93.09</v>
      </c>
      <c r="AF5" s="3364"/>
      <c r="AG5" s="3151"/>
      <c r="AH5" s="3152"/>
      <c r="AI5" s="3152"/>
      <c r="AJ5" s="3153"/>
      <c r="AK5" s="3370"/>
      <c r="AL5" s="3149">
        <v>102</v>
      </c>
      <c r="AM5" s="3149">
        <v>158.52000000000001</v>
      </c>
      <c r="AN5" s="3362"/>
    </row>
    <row r="6" spans="1:40" ht="14.25">
      <c r="A6" s="3365"/>
      <c r="B6" s="3149">
        <v>103</v>
      </c>
      <c r="C6" s="3149">
        <v>29.63</v>
      </c>
      <c r="D6" s="3149"/>
      <c r="E6" s="3149"/>
      <c r="F6" s="3362"/>
      <c r="G6" s="3365"/>
      <c r="H6" s="3149">
        <v>201</v>
      </c>
      <c r="I6" s="3149">
        <v>1038.92</v>
      </c>
      <c r="J6" s="3149"/>
      <c r="K6" s="3149"/>
      <c r="L6" s="3365"/>
      <c r="M6" s="3365"/>
      <c r="N6" s="3149">
        <v>104</v>
      </c>
      <c r="O6" s="3149">
        <v>135.4</v>
      </c>
      <c r="P6" s="3365"/>
      <c r="Q6" s="3365"/>
      <c r="R6" s="3149">
        <v>106</v>
      </c>
      <c r="S6" s="3149">
        <v>16.29</v>
      </c>
      <c r="T6" s="3362"/>
      <c r="U6" s="3362"/>
      <c r="V6" s="3149">
        <v>-259</v>
      </c>
      <c r="W6" s="3149">
        <v>1676.73</v>
      </c>
      <c r="X6" s="3362"/>
      <c r="Y6" s="3362"/>
      <c r="Z6" s="3149">
        <v>103</v>
      </c>
      <c r="AA6" s="3149">
        <v>31.77</v>
      </c>
      <c r="AB6" s="3362"/>
      <c r="AC6" s="3362"/>
      <c r="AD6" s="3149">
        <v>103</v>
      </c>
      <c r="AE6" s="3149">
        <v>93.09</v>
      </c>
      <c r="AF6" s="3364"/>
      <c r="AG6" s="3154"/>
      <c r="AH6" s="3155"/>
      <c r="AI6" s="3155"/>
      <c r="AJ6" s="3156"/>
      <c r="AK6" s="3370"/>
      <c r="AL6" s="3149">
        <v>103</v>
      </c>
      <c r="AM6" s="3149">
        <v>31.03</v>
      </c>
      <c r="AN6" s="3362"/>
    </row>
    <row r="7" spans="1:40" ht="14.25">
      <c r="A7" s="3365"/>
      <c r="B7" s="3149">
        <v>104</v>
      </c>
      <c r="C7" s="3149">
        <v>32.25</v>
      </c>
      <c r="D7" s="3149"/>
      <c r="E7" s="3149"/>
      <c r="F7" s="3362"/>
      <c r="G7" s="3365">
        <v>7</v>
      </c>
      <c r="H7" s="3149">
        <v>101</v>
      </c>
      <c r="I7" s="3149">
        <v>5.31</v>
      </c>
      <c r="J7" s="3149"/>
      <c r="K7" s="3149"/>
      <c r="L7" s="3365">
        <f>SUM(I7:I8)</f>
        <v>844.8</v>
      </c>
      <c r="M7" s="3365"/>
      <c r="N7" s="3149">
        <v>105</v>
      </c>
      <c r="O7" s="3149">
        <v>61.94</v>
      </c>
      <c r="P7" s="3365"/>
      <c r="Q7" s="3365"/>
      <c r="R7" s="3149">
        <v>107</v>
      </c>
      <c r="S7" s="3149">
        <v>34.81</v>
      </c>
      <c r="T7" s="3362"/>
      <c r="U7" s="3362"/>
      <c r="V7" s="3149">
        <v>-275</v>
      </c>
      <c r="W7" s="3149">
        <v>10833.53</v>
      </c>
      <c r="X7" s="3362"/>
      <c r="Y7" s="3362"/>
      <c r="Z7" s="3149">
        <v>104</v>
      </c>
      <c r="AA7" s="3149">
        <v>68.84</v>
      </c>
      <c r="AB7" s="3362"/>
      <c r="AC7" s="3362"/>
      <c r="AD7" s="3149">
        <v>104</v>
      </c>
      <c r="AE7" s="3149">
        <v>31.03</v>
      </c>
      <c r="AF7" s="3364"/>
      <c r="AG7" s="3154"/>
      <c r="AH7" s="3155"/>
      <c r="AI7" s="3155"/>
      <c r="AJ7" s="3156"/>
      <c r="AK7" s="3370"/>
      <c r="AL7" s="3149">
        <v>104</v>
      </c>
      <c r="AM7" s="3149">
        <v>93.08</v>
      </c>
      <c r="AN7" s="3362"/>
    </row>
    <row r="8" spans="1:40" ht="14.25">
      <c r="A8" s="3365"/>
      <c r="B8" s="3149">
        <v>105</v>
      </c>
      <c r="C8" s="3149">
        <v>28</v>
      </c>
      <c r="D8" s="3149"/>
      <c r="E8" s="3149"/>
      <c r="F8" s="3362"/>
      <c r="G8" s="3365"/>
      <c r="H8" s="3149">
        <v>201</v>
      </c>
      <c r="I8" s="3149">
        <v>839.49</v>
      </c>
      <c r="J8" s="3149"/>
      <c r="K8" s="3149"/>
      <c r="L8" s="3365"/>
      <c r="M8" s="3365"/>
      <c r="N8" s="3149">
        <v>201</v>
      </c>
      <c r="O8" s="3149">
        <v>478.18</v>
      </c>
      <c r="P8" s="3365"/>
      <c r="Q8" s="3365"/>
      <c r="R8" s="3149">
        <v>108</v>
      </c>
      <c r="S8" s="3149">
        <v>43.95</v>
      </c>
      <c r="T8" s="3362"/>
      <c r="U8" s="3362"/>
      <c r="V8" s="3149">
        <v>-109</v>
      </c>
      <c r="W8" s="3149">
        <v>10478.68</v>
      </c>
      <c r="X8" s="3362"/>
      <c r="Y8" s="3362"/>
      <c r="Z8" s="3149">
        <v>105</v>
      </c>
      <c r="AA8" s="3149">
        <v>45.78</v>
      </c>
      <c r="AB8" s="3362"/>
      <c r="AC8" s="3362"/>
      <c r="AD8" s="3149">
        <v>105</v>
      </c>
      <c r="AE8" s="3149">
        <v>31.03</v>
      </c>
      <c r="AF8" s="3364"/>
      <c r="AG8" s="3154"/>
      <c r="AH8" s="3155"/>
      <c r="AI8" s="3155"/>
      <c r="AJ8" s="3156"/>
      <c r="AK8" s="3370"/>
      <c r="AL8" s="3149">
        <v>105</v>
      </c>
      <c r="AM8" s="3149">
        <v>93.08</v>
      </c>
      <c r="AN8" s="3362"/>
    </row>
    <row r="9" spans="1:40" ht="14.25">
      <c r="A9" s="3365"/>
      <c r="B9" s="3149">
        <v>106</v>
      </c>
      <c r="C9" s="3149">
        <v>18.579999999999998</v>
      </c>
      <c r="D9" s="3149"/>
      <c r="E9" s="3149"/>
      <c r="F9" s="3362"/>
      <c r="G9" s="3365">
        <v>9</v>
      </c>
      <c r="H9" s="3149">
        <v>101</v>
      </c>
      <c r="I9" s="3149">
        <v>109.36</v>
      </c>
      <c r="J9" s="3149"/>
      <c r="K9" s="3149"/>
      <c r="L9" s="3365">
        <f>SUM(I9:I13)</f>
        <v>1020.6</v>
      </c>
      <c r="M9" s="3365"/>
      <c r="N9" s="3149">
        <v>301</v>
      </c>
      <c r="O9" s="3149">
        <v>478.6</v>
      </c>
      <c r="P9" s="3365"/>
      <c r="Q9" s="3365"/>
      <c r="R9" s="3149">
        <v>109</v>
      </c>
      <c r="S9" s="3149">
        <v>10.89</v>
      </c>
      <c r="T9" s="3362"/>
      <c r="U9" s="3362"/>
      <c r="V9" s="3149">
        <v>-134</v>
      </c>
      <c r="W9" s="3149">
        <v>8899.18</v>
      </c>
      <c r="X9" s="3362"/>
      <c r="Y9" s="3362">
        <v>3</v>
      </c>
      <c r="Z9" s="3149">
        <v>101</v>
      </c>
      <c r="AA9" s="3149">
        <v>45.78</v>
      </c>
      <c r="AB9" s="3362">
        <f>SUM(AA9:AA13)</f>
        <v>261.01</v>
      </c>
      <c r="AC9" s="3362"/>
      <c r="AD9" s="3149">
        <v>106</v>
      </c>
      <c r="AE9" s="3149">
        <v>158.32</v>
      </c>
      <c r="AF9" s="3364"/>
      <c r="AG9" s="3154"/>
      <c r="AH9" s="3155"/>
      <c r="AI9" s="3155"/>
      <c r="AJ9" s="3156"/>
      <c r="AK9" s="3370"/>
      <c r="AL9" s="3149">
        <v>106</v>
      </c>
      <c r="AM9" s="3149">
        <v>31.03</v>
      </c>
      <c r="AN9" s="3362"/>
    </row>
    <row r="10" spans="1:40" ht="14.25">
      <c r="A10" s="3362">
        <v>2</v>
      </c>
      <c r="B10" s="3150">
        <v>-101</v>
      </c>
      <c r="C10" s="3149">
        <v>76.400000000000006</v>
      </c>
      <c r="D10" s="3149"/>
      <c r="E10" s="3149"/>
      <c r="F10" s="3362">
        <f>SUM(C10:C12)</f>
        <v>186.52</v>
      </c>
      <c r="G10" s="3365"/>
      <c r="H10" s="3149">
        <v>103</v>
      </c>
      <c r="I10" s="3149">
        <v>48.49</v>
      </c>
      <c r="J10" s="3149"/>
      <c r="K10" s="3149"/>
      <c r="L10" s="3365"/>
      <c r="M10" s="3365"/>
      <c r="N10" s="3149">
        <v>401</v>
      </c>
      <c r="O10" s="3149">
        <v>478.52</v>
      </c>
      <c r="P10" s="3365"/>
      <c r="Q10" s="3365"/>
      <c r="R10" s="3149">
        <v>110</v>
      </c>
      <c r="S10" s="3149">
        <v>54.63</v>
      </c>
      <c r="T10" s="3362"/>
      <c r="U10" s="3362"/>
      <c r="V10" s="3149">
        <v>-142</v>
      </c>
      <c r="W10" s="3149">
        <v>1599.34</v>
      </c>
      <c r="X10" s="3362"/>
      <c r="Y10" s="3362"/>
      <c r="Z10" s="3149">
        <v>102</v>
      </c>
      <c r="AA10" s="3149">
        <v>68.84</v>
      </c>
      <c r="AB10" s="3362"/>
      <c r="AC10" s="3362"/>
      <c r="AD10" s="3149">
        <v>107</v>
      </c>
      <c r="AE10" s="3149">
        <v>41.43</v>
      </c>
      <c r="AF10" s="3364"/>
      <c r="AG10" s="3154"/>
      <c r="AH10" s="3155"/>
      <c r="AI10" s="3155"/>
      <c r="AJ10" s="3156"/>
      <c r="AK10" s="3370"/>
      <c r="AL10" s="3149">
        <v>107</v>
      </c>
      <c r="AM10" s="3149">
        <v>153.16</v>
      </c>
      <c r="AN10" s="3362"/>
    </row>
    <row r="11" spans="1:40" ht="14.25">
      <c r="A11" s="3362"/>
      <c r="B11" s="3150">
        <v>-104</v>
      </c>
      <c r="C11" s="3149">
        <v>65.89</v>
      </c>
      <c r="D11" s="3149"/>
      <c r="E11" s="3149"/>
      <c r="F11" s="3362"/>
      <c r="G11" s="3365"/>
      <c r="H11" s="3149">
        <v>201</v>
      </c>
      <c r="I11" s="3149">
        <v>284.56</v>
      </c>
      <c r="J11" s="3149"/>
      <c r="K11" s="3149"/>
      <c r="L11" s="3365"/>
      <c r="M11" s="3365">
        <v>6</v>
      </c>
      <c r="N11" s="3149">
        <v>102</v>
      </c>
      <c r="O11" s="3149">
        <v>62.98</v>
      </c>
      <c r="P11" s="3365">
        <f>SUM(O11:O18)</f>
        <v>2446.0700000000002</v>
      </c>
      <c r="Q11" s="3365"/>
      <c r="R11" s="3149">
        <v>111</v>
      </c>
      <c r="S11" s="3149">
        <v>39.67</v>
      </c>
      <c r="T11" s="3362"/>
      <c r="U11" s="3376"/>
      <c r="V11" s="3157">
        <v>-157</v>
      </c>
      <c r="W11" s="3157">
        <v>9438.6</v>
      </c>
      <c r="X11" s="3376"/>
      <c r="Y11" s="3362"/>
      <c r="Z11" s="3149">
        <v>103</v>
      </c>
      <c r="AA11" s="3149">
        <v>31.77</v>
      </c>
      <c r="AB11" s="3364"/>
      <c r="AC11" s="3151"/>
      <c r="AD11" s="3152"/>
      <c r="AE11" s="3152"/>
      <c r="AF11" s="3158"/>
      <c r="AG11" s="3154"/>
      <c r="AH11" s="3155"/>
      <c r="AI11" s="3155"/>
      <c r="AJ11" s="3156"/>
      <c r="AK11" s="3159">
        <v>6</v>
      </c>
      <c r="AL11" s="3150">
        <v>119</v>
      </c>
      <c r="AM11" s="3150">
        <v>87.69</v>
      </c>
      <c r="AN11" s="3150">
        <v>87.69</v>
      </c>
    </row>
    <row r="12" spans="1:40" ht="14.25">
      <c r="A12" s="3362"/>
      <c r="B12" s="3150">
        <v>-105</v>
      </c>
      <c r="C12" s="3149">
        <v>44.23</v>
      </c>
      <c r="D12" s="3149"/>
      <c r="E12" s="3149"/>
      <c r="F12" s="3362"/>
      <c r="G12" s="3365"/>
      <c r="H12" s="3149">
        <v>301</v>
      </c>
      <c r="I12" s="3149">
        <v>289.57</v>
      </c>
      <c r="J12" s="3149"/>
      <c r="K12" s="3149"/>
      <c r="L12" s="3365"/>
      <c r="M12" s="3365"/>
      <c r="N12" s="3149">
        <v>104</v>
      </c>
      <c r="O12" s="3149">
        <v>44.73</v>
      </c>
      <c r="P12" s="3365"/>
      <c r="Q12" s="3365"/>
      <c r="R12" s="3149">
        <v>112</v>
      </c>
      <c r="S12" s="3149">
        <v>33.9</v>
      </c>
      <c r="T12" s="3364"/>
      <c r="U12" s="3160"/>
      <c r="V12" s="3161"/>
      <c r="W12" s="3161"/>
      <c r="X12" s="3162"/>
      <c r="Y12" s="3362"/>
      <c r="Z12" s="3149">
        <v>104</v>
      </c>
      <c r="AA12" s="3149">
        <v>68.84</v>
      </c>
      <c r="AB12" s="3364"/>
      <c r="AC12" s="3154"/>
      <c r="AD12" s="3155"/>
      <c r="AE12" s="3155"/>
      <c r="AF12" s="3163"/>
      <c r="AG12" s="3154"/>
      <c r="AH12" s="3155"/>
      <c r="AI12" s="3155"/>
      <c r="AJ12" s="3163"/>
      <c r="AK12" s="3370">
        <v>9</v>
      </c>
      <c r="AL12" s="3149">
        <v>101</v>
      </c>
      <c r="AM12" s="3149">
        <v>62.17</v>
      </c>
      <c r="AN12" s="3362">
        <f>SUM(AM12:AM18)</f>
        <v>3602</v>
      </c>
    </row>
    <row r="13" spans="1:40" ht="14.25">
      <c r="A13" s="3362">
        <v>3</v>
      </c>
      <c r="B13" s="3150">
        <v>-101</v>
      </c>
      <c r="C13" s="3149">
        <v>78.17</v>
      </c>
      <c r="D13" s="3149"/>
      <c r="E13" s="3149"/>
      <c r="F13" s="3362">
        <f>SUM(C13:C15)</f>
        <v>190.84</v>
      </c>
      <c r="G13" s="3365"/>
      <c r="H13" s="3149">
        <v>401</v>
      </c>
      <c r="I13" s="3149">
        <v>288.62</v>
      </c>
      <c r="J13" s="3149"/>
      <c r="K13" s="3149"/>
      <c r="L13" s="3365"/>
      <c r="M13" s="3365"/>
      <c r="N13" s="3149">
        <v>105</v>
      </c>
      <c r="O13" s="3149">
        <v>63.12</v>
      </c>
      <c r="P13" s="3365"/>
      <c r="Q13" s="3365"/>
      <c r="R13" s="3149">
        <v>113</v>
      </c>
      <c r="S13" s="3149">
        <v>10.86</v>
      </c>
      <c r="T13" s="3364"/>
      <c r="U13" s="3164"/>
      <c r="V13" s="3165"/>
      <c r="W13" s="3165"/>
      <c r="X13" s="3166"/>
      <c r="Y13" s="3362"/>
      <c r="Z13" s="3149">
        <v>105</v>
      </c>
      <c r="AA13" s="3149">
        <v>45.78</v>
      </c>
      <c r="AB13" s="3364"/>
      <c r="AC13" s="3154"/>
      <c r="AD13" s="3155"/>
      <c r="AE13" s="3155"/>
      <c r="AF13" s="3163"/>
      <c r="AG13" s="3154"/>
      <c r="AH13" s="3155"/>
      <c r="AI13" s="3155"/>
      <c r="AJ13" s="3163"/>
      <c r="AK13" s="3370"/>
      <c r="AL13" s="3149">
        <v>102</v>
      </c>
      <c r="AM13" s="3149">
        <v>46.52</v>
      </c>
      <c r="AN13" s="3362"/>
    </row>
    <row r="14" spans="1:40" ht="14.25">
      <c r="A14" s="3362"/>
      <c r="B14" s="3150">
        <v>-104</v>
      </c>
      <c r="C14" s="3149">
        <v>67.42</v>
      </c>
      <c r="D14" s="3149"/>
      <c r="E14" s="3149"/>
      <c r="F14" s="3362"/>
      <c r="G14" s="3365">
        <v>10</v>
      </c>
      <c r="H14" s="3149">
        <v>101</v>
      </c>
      <c r="I14" s="3149">
        <v>103.15</v>
      </c>
      <c r="J14" s="3149"/>
      <c r="K14" s="3149"/>
      <c r="L14" s="3365">
        <f>SUM(I14:I19)</f>
        <v>1255.6599999999999</v>
      </c>
      <c r="M14" s="3365"/>
      <c r="N14" s="3149">
        <v>106</v>
      </c>
      <c r="O14" s="3149">
        <v>64.400000000000006</v>
      </c>
      <c r="P14" s="3365"/>
      <c r="Q14" s="3365"/>
      <c r="R14" s="3149">
        <v>114</v>
      </c>
      <c r="S14" s="3149">
        <v>110.53</v>
      </c>
      <c r="T14" s="3364"/>
      <c r="U14" s="3164"/>
      <c r="V14" s="3165"/>
      <c r="W14" s="3165"/>
      <c r="X14" s="3166"/>
      <c r="Y14" s="3362">
        <v>8</v>
      </c>
      <c r="Z14" s="3149">
        <v>101</v>
      </c>
      <c r="AA14" s="3149">
        <v>45.95</v>
      </c>
      <c r="AB14" s="3364">
        <f>SUM(AA14:AA18)</f>
        <v>261.78999999999996</v>
      </c>
      <c r="AC14" s="3154"/>
      <c r="AD14" s="3155"/>
      <c r="AE14" s="3155"/>
      <c r="AF14" s="3163"/>
      <c r="AG14" s="3154"/>
      <c r="AH14" s="3155"/>
      <c r="AI14" s="3155"/>
      <c r="AJ14" s="3163"/>
      <c r="AK14" s="3370"/>
      <c r="AL14" s="3149">
        <v>103</v>
      </c>
      <c r="AM14" s="3149">
        <v>24.35</v>
      </c>
      <c r="AN14" s="3362"/>
    </row>
    <row r="15" spans="1:40" ht="14.25">
      <c r="A15" s="3362"/>
      <c r="B15" s="3150">
        <v>-105</v>
      </c>
      <c r="C15" s="3149">
        <v>45.25</v>
      </c>
      <c r="D15" s="3149"/>
      <c r="E15" s="3149"/>
      <c r="F15" s="3362"/>
      <c r="G15" s="3365"/>
      <c r="H15" s="3149">
        <v>103</v>
      </c>
      <c r="I15" s="3149">
        <v>38.21</v>
      </c>
      <c r="J15" s="3149"/>
      <c r="K15" s="3149"/>
      <c r="L15" s="3365"/>
      <c r="M15" s="3365"/>
      <c r="N15" s="3149">
        <v>107</v>
      </c>
      <c r="O15" s="3149">
        <v>15.85</v>
      </c>
      <c r="P15" s="3365"/>
      <c r="Q15" s="3365"/>
      <c r="R15" s="3149">
        <v>115</v>
      </c>
      <c r="S15" s="3149">
        <v>7.01</v>
      </c>
      <c r="T15" s="3364"/>
      <c r="U15" s="3164"/>
      <c r="V15" s="3165"/>
      <c r="W15" s="3165"/>
      <c r="X15" s="3166"/>
      <c r="Y15" s="3362"/>
      <c r="Z15" s="3149">
        <v>102</v>
      </c>
      <c r="AA15" s="3149">
        <v>68.989999999999995</v>
      </c>
      <c r="AB15" s="3364"/>
      <c r="AC15" s="3154"/>
      <c r="AD15" s="3155"/>
      <c r="AE15" s="3155"/>
      <c r="AF15" s="3163"/>
      <c r="AG15" s="3154"/>
      <c r="AH15" s="3155"/>
      <c r="AI15" s="3155"/>
      <c r="AJ15" s="3163"/>
      <c r="AK15" s="3370"/>
      <c r="AL15" s="3149">
        <v>201</v>
      </c>
      <c r="AM15" s="3149">
        <v>890.26</v>
      </c>
      <c r="AN15" s="3362"/>
    </row>
    <row r="16" spans="1:40" ht="14.25">
      <c r="A16" s="3362">
        <v>4</v>
      </c>
      <c r="B16" s="3149">
        <v>101</v>
      </c>
      <c r="C16" s="3149">
        <v>81.97</v>
      </c>
      <c r="D16" s="3149"/>
      <c r="E16" s="3149"/>
      <c r="F16" s="3362">
        <f>SUM(C16:C23)</f>
        <v>474.51</v>
      </c>
      <c r="G16" s="3365"/>
      <c r="H16" s="3149">
        <v>104</v>
      </c>
      <c r="I16" s="3149">
        <v>45.04</v>
      </c>
      <c r="J16" s="3149"/>
      <c r="K16" s="3149"/>
      <c r="L16" s="3365"/>
      <c r="M16" s="3365"/>
      <c r="N16" s="3149">
        <v>201</v>
      </c>
      <c r="O16" s="3149">
        <v>748.67</v>
      </c>
      <c r="P16" s="3365"/>
      <c r="Q16" s="3365"/>
      <c r="R16" s="3149">
        <v>116</v>
      </c>
      <c r="S16" s="3149">
        <v>24.83</v>
      </c>
      <c r="T16" s="3364"/>
      <c r="U16" s="3164"/>
      <c r="V16" s="3165"/>
      <c r="W16" s="3165"/>
      <c r="X16" s="3166"/>
      <c r="Y16" s="3362"/>
      <c r="Z16" s="3149">
        <v>103</v>
      </c>
      <c r="AA16" s="3149">
        <v>31.91</v>
      </c>
      <c r="AB16" s="3364"/>
      <c r="AC16" s="3154"/>
      <c r="AD16" s="3155"/>
      <c r="AE16" s="3155"/>
      <c r="AF16" s="3163"/>
      <c r="AG16" s="3154"/>
      <c r="AH16" s="3155"/>
      <c r="AI16" s="3155"/>
      <c r="AJ16" s="3163"/>
      <c r="AK16" s="3370"/>
      <c r="AL16" s="3149">
        <v>301</v>
      </c>
      <c r="AM16" s="3149">
        <v>910.45</v>
      </c>
      <c r="AN16" s="3362"/>
    </row>
    <row r="17" spans="1:40" ht="14.25">
      <c r="A17" s="3362"/>
      <c r="B17" s="3149">
        <v>102</v>
      </c>
      <c r="C17" s="3149">
        <v>31.3</v>
      </c>
      <c r="D17" s="3149"/>
      <c r="E17" s="3149"/>
      <c r="F17" s="3362"/>
      <c r="G17" s="3365"/>
      <c r="H17" s="3149">
        <v>201</v>
      </c>
      <c r="I17" s="3149">
        <v>380.65</v>
      </c>
      <c r="J17" s="3149"/>
      <c r="K17" s="3149"/>
      <c r="L17" s="3365"/>
      <c r="M17" s="3365"/>
      <c r="N17" s="3149">
        <v>301</v>
      </c>
      <c r="O17" s="3149">
        <v>765.57</v>
      </c>
      <c r="P17" s="3365"/>
      <c r="Q17" s="3365"/>
      <c r="R17" s="3149">
        <v>117</v>
      </c>
      <c r="S17" s="3149">
        <v>32.14</v>
      </c>
      <c r="T17" s="3364"/>
      <c r="U17" s="3164"/>
      <c r="V17" s="3165"/>
      <c r="W17" s="3165"/>
      <c r="X17" s="3166"/>
      <c r="Y17" s="3362"/>
      <c r="Z17" s="3149">
        <v>104</v>
      </c>
      <c r="AA17" s="3149">
        <v>68.989999999999995</v>
      </c>
      <c r="AB17" s="3364"/>
      <c r="AC17" s="3154"/>
      <c r="AD17" s="3155"/>
      <c r="AE17" s="3155"/>
      <c r="AF17" s="3163"/>
      <c r="AG17" s="3154"/>
      <c r="AH17" s="3155"/>
      <c r="AI17" s="3155"/>
      <c r="AJ17" s="3163"/>
      <c r="AK17" s="3370"/>
      <c r="AL17" s="3149">
        <v>401</v>
      </c>
      <c r="AM17" s="3149">
        <v>843.16</v>
      </c>
      <c r="AN17" s="3362"/>
    </row>
    <row r="18" spans="1:40" ht="14.25">
      <c r="A18" s="3362"/>
      <c r="B18" s="3149">
        <v>103</v>
      </c>
      <c r="C18" s="3149">
        <v>84.05</v>
      </c>
      <c r="D18" s="3149"/>
      <c r="E18" s="3149"/>
      <c r="F18" s="3362"/>
      <c r="G18" s="3365"/>
      <c r="H18" s="3149">
        <v>301</v>
      </c>
      <c r="I18" s="3149">
        <v>364.65</v>
      </c>
      <c r="J18" s="3149"/>
      <c r="K18" s="3149"/>
      <c r="L18" s="3365"/>
      <c r="M18" s="3365"/>
      <c r="N18" s="3149">
        <v>401</v>
      </c>
      <c r="O18" s="3149">
        <v>680.75</v>
      </c>
      <c r="P18" s="3365"/>
      <c r="Q18" s="3365"/>
      <c r="R18" s="3149">
        <v>118</v>
      </c>
      <c r="S18" s="3149">
        <v>154.38</v>
      </c>
      <c r="T18" s="3364"/>
      <c r="U18" s="3164"/>
      <c r="V18" s="3165"/>
      <c r="W18" s="3165"/>
      <c r="X18" s="3166"/>
      <c r="Y18" s="3362"/>
      <c r="Z18" s="3149">
        <v>105</v>
      </c>
      <c r="AA18" s="3149">
        <v>45.95</v>
      </c>
      <c r="AB18" s="3364"/>
      <c r="AC18" s="3167"/>
      <c r="AD18" s="3168"/>
      <c r="AE18" s="3168"/>
      <c r="AF18" s="3169"/>
      <c r="AG18" s="3167"/>
      <c r="AH18" s="3168"/>
      <c r="AI18" s="3168"/>
      <c r="AJ18" s="3169"/>
      <c r="AK18" s="3370"/>
      <c r="AL18" s="3149">
        <v>501</v>
      </c>
      <c r="AM18" s="3149">
        <v>825.09</v>
      </c>
      <c r="AN18" s="3362"/>
    </row>
    <row r="19" spans="1:40" ht="14.25">
      <c r="A19" s="3362"/>
      <c r="B19" s="3150">
        <v>-101</v>
      </c>
      <c r="C19" s="3149">
        <v>42.96</v>
      </c>
      <c r="D19" s="3149"/>
      <c r="E19" s="3149"/>
      <c r="F19" s="3362"/>
      <c r="G19" s="3365"/>
      <c r="H19" s="3149">
        <v>401</v>
      </c>
      <c r="I19" s="3149">
        <v>323.95999999999998</v>
      </c>
      <c r="J19" s="3149"/>
      <c r="K19" s="3149"/>
      <c r="L19" s="3365"/>
      <c r="M19" s="3365">
        <v>7</v>
      </c>
      <c r="N19" s="3149">
        <v>201</v>
      </c>
      <c r="O19" s="3149">
        <v>1175.9000000000001</v>
      </c>
      <c r="P19" s="3365">
        <f>SUM(O19:O21)</f>
        <v>6604.07</v>
      </c>
      <c r="Q19" s="3365"/>
      <c r="R19" s="3149">
        <v>201</v>
      </c>
      <c r="S19" s="3149">
        <v>935.36</v>
      </c>
      <c r="T19" s="3364"/>
      <c r="U19" s="3164"/>
      <c r="V19" s="3165"/>
      <c r="W19" s="3165"/>
      <c r="X19" s="3166"/>
      <c r="Y19" s="3364" t="s">
        <v>37</v>
      </c>
      <c r="Z19" s="3372"/>
      <c r="AA19" s="3364">
        <f>SUM(AA4:AA18)</f>
        <v>783.81000000000006</v>
      </c>
      <c r="AB19" s="3370"/>
      <c r="AC19" s="3364" t="s">
        <v>37</v>
      </c>
      <c r="AD19" s="3372"/>
      <c r="AE19" s="3364">
        <f>SUM(AE4:AE10)</f>
        <v>600.94999999999993</v>
      </c>
      <c r="AF19" s="3370"/>
      <c r="AG19" s="3364" t="s">
        <v>37</v>
      </c>
      <c r="AH19" s="3372"/>
      <c r="AI19" s="3364">
        <v>57.2</v>
      </c>
      <c r="AJ19" s="3370"/>
      <c r="AK19" s="3364" t="s">
        <v>37</v>
      </c>
      <c r="AL19" s="3372"/>
      <c r="AM19" s="3364">
        <f>SUM(AM4:AM18)</f>
        <v>4291.0199999999995</v>
      </c>
      <c r="AN19" s="3370"/>
    </row>
    <row r="20" spans="1:40" ht="14.25">
      <c r="A20" s="3362"/>
      <c r="B20" s="3150">
        <v>-102</v>
      </c>
      <c r="C20" s="3149">
        <v>49.03</v>
      </c>
      <c r="D20" s="3149"/>
      <c r="E20" s="3149"/>
      <c r="F20" s="3362"/>
      <c r="G20" s="3365">
        <v>11</v>
      </c>
      <c r="H20" s="3149">
        <v>101</v>
      </c>
      <c r="I20" s="3149">
        <v>77</v>
      </c>
      <c r="J20" s="3149"/>
      <c r="K20" s="3149"/>
      <c r="L20" s="3365">
        <f>SUM(I20:I24)</f>
        <v>1445.6</v>
      </c>
      <c r="M20" s="3365"/>
      <c r="N20" s="3149">
        <v>301</v>
      </c>
      <c r="O20" s="3149">
        <v>2065.16</v>
      </c>
      <c r="P20" s="3365"/>
      <c r="Q20" s="3365"/>
      <c r="R20" s="3149">
        <v>202</v>
      </c>
      <c r="S20" s="3149">
        <v>991.13</v>
      </c>
      <c r="T20" s="3364"/>
      <c r="U20" s="3164"/>
      <c r="V20" s="3165"/>
      <c r="W20" s="3165"/>
      <c r="X20" s="3166"/>
      <c r="Y20" s="3373" t="s">
        <v>3530</v>
      </c>
      <c r="Z20" s="3374"/>
      <c r="AA20" s="3374">
        <f>AA19+AE19+AI19+AM19</f>
        <v>5732.98</v>
      </c>
      <c r="AB20" s="3374"/>
      <c r="AC20" s="3374"/>
      <c r="AD20" s="3374"/>
      <c r="AE20" s="3374"/>
      <c r="AF20" s="3374"/>
      <c r="AG20" s="3374"/>
      <c r="AH20" s="3374"/>
      <c r="AI20" s="3374"/>
      <c r="AJ20" s="3374"/>
      <c r="AK20" s="3374"/>
      <c r="AL20" s="3374"/>
      <c r="AM20" s="3374"/>
      <c r="AN20" s="3375"/>
    </row>
    <row r="21" spans="1:40" ht="14.25">
      <c r="A21" s="3362"/>
      <c r="B21" s="3150">
        <v>-103</v>
      </c>
      <c r="C21" s="3149">
        <v>49.03</v>
      </c>
      <c r="D21" s="3149"/>
      <c r="E21" s="3149"/>
      <c r="F21" s="3362"/>
      <c r="G21" s="3365"/>
      <c r="H21" s="3149">
        <v>102</v>
      </c>
      <c r="I21" s="3149">
        <v>65.319999999999993</v>
      </c>
      <c r="J21" s="3149"/>
      <c r="K21" s="3149"/>
      <c r="L21" s="3365"/>
      <c r="M21" s="3365"/>
      <c r="N21" s="3149">
        <v>401</v>
      </c>
      <c r="O21" s="3149">
        <v>3363.01</v>
      </c>
      <c r="P21" s="3365"/>
      <c r="Q21" s="3365">
        <v>7</v>
      </c>
      <c r="R21" s="3149">
        <v>101</v>
      </c>
      <c r="S21" s="3149">
        <v>34.56</v>
      </c>
      <c r="T21" s="3364">
        <f>SUM(S21:S26)</f>
        <v>2739.7</v>
      </c>
      <c r="U21" s="3164"/>
      <c r="V21" s="3165"/>
      <c r="W21" s="3165"/>
      <c r="X21" s="3166"/>
    </row>
    <row r="22" spans="1:40" ht="14.25">
      <c r="A22" s="3362"/>
      <c r="B22" s="3150">
        <v>-104</v>
      </c>
      <c r="C22" s="3149">
        <v>45.26</v>
      </c>
      <c r="D22" s="3149"/>
      <c r="E22" s="3149"/>
      <c r="F22" s="3362"/>
      <c r="G22" s="3365"/>
      <c r="H22" s="3149">
        <v>201</v>
      </c>
      <c r="I22" s="3149">
        <v>456.71</v>
      </c>
      <c r="J22" s="3149"/>
      <c r="K22" s="3149"/>
      <c r="L22" s="3365"/>
      <c r="M22" s="3365">
        <v>8</v>
      </c>
      <c r="N22" s="3149">
        <v>101</v>
      </c>
      <c r="O22" s="3149">
        <v>8.8800000000000008</v>
      </c>
      <c r="P22" s="3365">
        <f>SUM(O22:O28)</f>
        <v>1676.62</v>
      </c>
      <c r="Q22" s="3365"/>
      <c r="R22" s="3149">
        <v>102</v>
      </c>
      <c r="S22" s="3149">
        <v>41.69</v>
      </c>
      <c r="T22" s="3364"/>
      <c r="U22" s="3164"/>
      <c r="V22" s="3165"/>
      <c r="W22" s="3165"/>
      <c r="X22" s="3166"/>
    </row>
    <row r="23" spans="1:40" ht="14.25">
      <c r="A23" s="3362"/>
      <c r="B23" s="3150">
        <v>-105</v>
      </c>
      <c r="C23" s="3149">
        <v>90.91</v>
      </c>
      <c r="D23" s="3149"/>
      <c r="E23" s="3149"/>
      <c r="F23" s="3362"/>
      <c r="G23" s="3365"/>
      <c r="H23" s="3149">
        <v>301</v>
      </c>
      <c r="I23" s="3149">
        <v>445.43</v>
      </c>
      <c r="J23" s="3149"/>
      <c r="K23" s="3149"/>
      <c r="L23" s="3365"/>
      <c r="M23" s="3365"/>
      <c r="N23" s="3149">
        <v>102</v>
      </c>
      <c r="O23" s="3149">
        <v>46.33</v>
      </c>
      <c r="P23" s="3365"/>
      <c r="Q23" s="3365"/>
      <c r="R23" s="3149">
        <v>201</v>
      </c>
      <c r="S23" s="3149">
        <v>562.57000000000005</v>
      </c>
      <c r="T23" s="3364"/>
      <c r="U23" s="3164"/>
      <c r="V23" s="3165"/>
      <c r="W23" s="3165"/>
      <c r="X23" s="3166"/>
    </row>
    <row r="24" spans="1:40" ht="14.25">
      <c r="A24" s="3362">
        <v>5</v>
      </c>
      <c r="B24" s="3149">
        <v>101</v>
      </c>
      <c r="C24" s="3149">
        <v>45.95</v>
      </c>
      <c r="D24" s="3149"/>
      <c r="E24" s="3149"/>
      <c r="F24" s="3362">
        <f>SUM(C24:C31)</f>
        <v>449.53</v>
      </c>
      <c r="G24" s="3366"/>
      <c r="H24" s="3157">
        <v>401</v>
      </c>
      <c r="I24" s="3157">
        <v>401.14</v>
      </c>
      <c r="J24" s="3157"/>
      <c r="K24" s="3157"/>
      <c r="L24" s="3366"/>
      <c r="M24" s="3365"/>
      <c r="N24" s="3149">
        <v>104</v>
      </c>
      <c r="O24" s="3149">
        <v>46.64</v>
      </c>
      <c r="P24" s="3365"/>
      <c r="Q24" s="3365"/>
      <c r="R24" s="3149">
        <v>301</v>
      </c>
      <c r="S24" s="3149">
        <v>624.51</v>
      </c>
      <c r="T24" s="3364"/>
      <c r="U24" s="3164"/>
      <c r="V24" s="3165"/>
      <c r="W24" s="3165"/>
      <c r="X24" s="3166"/>
    </row>
    <row r="25" spans="1:40" ht="14.25">
      <c r="A25" s="3362"/>
      <c r="B25" s="3149">
        <v>102</v>
      </c>
      <c r="C25" s="3149">
        <v>68.989999999999995</v>
      </c>
      <c r="D25" s="3176"/>
      <c r="E25" s="3176"/>
      <c r="F25" s="3364"/>
      <c r="G25" s="3170"/>
      <c r="H25" s="3171"/>
      <c r="I25" s="3171"/>
      <c r="J25" s="3171"/>
      <c r="K25" s="3171"/>
      <c r="L25" s="3172"/>
      <c r="M25" s="3368"/>
      <c r="N25" s="3149">
        <v>105</v>
      </c>
      <c r="O25" s="3149">
        <v>61.66</v>
      </c>
      <c r="P25" s="3365"/>
      <c r="Q25" s="3365"/>
      <c r="R25" s="3149">
        <v>401</v>
      </c>
      <c r="S25" s="3149">
        <v>746.56</v>
      </c>
      <c r="T25" s="3364"/>
      <c r="U25" s="3164"/>
      <c r="V25" s="3165"/>
      <c r="W25" s="3165"/>
      <c r="X25" s="3166"/>
    </row>
    <row r="26" spans="1:40" ht="14.25">
      <c r="A26" s="3362"/>
      <c r="B26" s="3149">
        <v>103</v>
      </c>
      <c r="C26" s="3149">
        <v>31.91</v>
      </c>
      <c r="D26" s="3176"/>
      <c r="E26" s="3176"/>
      <c r="F26" s="3364"/>
      <c r="G26" s="3173"/>
      <c r="H26" s="3174"/>
      <c r="I26" s="3174"/>
      <c r="J26" s="3174"/>
      <c r="K26" s="3174"/>
      <c r="L26" s="3175"/>
      <c r="M26" s="3368"/>
      <c r="N26" s="3149">
        <v>201</v>
      </c>
      <c r="O26" s="3149">
        <v>523.98</v>
      </c>
      <c r="P26" s="3365"/>
      <c r="Q26" s="3365"/>
      <c r="R26" s="3149">
        <v>501</v>
      </c>
      <c r="S26" s="3149">
        <v>729.81</v>
      </c>
      <c r="T26" s="3364"/>
      <c r="U26" s="3164"/>
      <c r="V26" s="3165"/>
      <c r="W26" s="3165"/>
      <c r="X26" s="3166"/>
      <c r="Y26" s="2954"/>
    </row>
    <row r="27" spans="1:40" ht="14.25">
      <c r="A27" s="3362"/>
      <c r="B27" s="3149">
        <v>104</v>
      </c>
      <c r="C27" s="3149">
        <v>68.989999999999995</v>
      </c>
      <c r="D27" s="3176"/>
      <c r="E27" s="3176"/>
      <c r="F27" s="3364"/>
      <c r="G27" s="3173"/>
      <c r="H27" s="3174"/>
      <c r="I27" s="3174"/>
      <c r="J27" s="3174"/>
      <c r="K27" s="3174"/>
      <c r="L27" s="3175"/>
      <c r="M27" s="3368"/>
      <c r="N27" s="3149">
        <v>301</v>
      </c>
      <c r="O27" s="3149">
        <v>523.36</v>
      </c>
      <c r="P27" s="3365"/>
      <c r="Q27" s="3365">
        <v>8</v>
      </c>
      <c r="R27" s="3149">
        <v>101</v>
      </c>
      <c r="S27" s="3149">
        <v>76.33</v>
      </c>
      <c r="T27" s="3364">
        <f>SUM(S27:S33)</f>
        <v>2165.5300000000002</v>
      </c>
      <c r="U27" s="3164"/>
      <c r="V27" s="3165"/>
      <c r="W27" s="3165"/>
      <c r="X27" s="3166"/>
      <c r="Y27" s="2954"/>
    </row>
    <row r="28" spans="1:40" ht="14.25">
      <c r="A28" s="3362"/>
      <c r="B28" s="3149">
        <v>105</v>
      </c>
      <c r="C28" s="3149">
        <v>45.95</v>
      </c>
      <c r="D28" s="3176"/>
      <c r="E28" s="3176"/>
      <c r="F28" s="3364"/>
      <c r="G28" s="3173"/>
      <c r="H28" s="3174"/>
      <c r="I28" s="3174"/>
      <c r="J28" s="3174"/>
      <c r="K28" s="3174"/>
      <c r="L28" s="3175"/>
      <c r="M28" s="3368"/>
      <c r="N28" s="3149">
        <v>401</v>
      </c>
      <c r="O28" s="3149">
        <v>465.77</v>
      </c>
      <c r="P28" s="3365"/>
      <c r="Q28" s="3365"/>
      <c r="R28" s="3149">
        <v>102</v>
      </c>
      <c r="S28" s="3149">
        <v>35.58</v>
      </c>
      <c r="T28" s="3364"/>
      <c r="U28" s="3164"/>
      <c r="V28" s="3165"/>
      <c r="W28" s="3165"/>
      <c r="X28" s="3166"/>
      <c r="Y28" s="2954"/>
    </row>
    <row r="29" spans="1:40" ht="14.25">
      <c r="A29" s="3362"/>
      <c r="B29" s="3150">
        <v>-101</v>
      </c>
      <c r="C29" s="3149">
        <v>44.54</v>
      </c>
      <c r="D29" s="3176"/>
      <c r="E29" s="3176"/>
      <c r="F29" s="3364"/>
      <c r="G29" s="3173"/>
      <c r="H29" s="3174"/>
      <c r="I29" s="3174"/>
      <c r="J29" s="3174"/>
      <c r="K29" s="3174"/>
      <c r="L29" s="3175"/>
      <c r="M29" s="3368">
        <v>9</v>
      </c>
      <c r="N29" s="3149">
        <v>107</v>
      </c>
      <c r="O29" s="3149">
        <v>63.63</v>
      </c>
      <c r="P29" s="3365">
        <f>SUM(O29:O35)</f>
        <v>1205.21</v>
      </c>
      <c r="Q29" s="3365"/>
      <c r="R29" s="3149">
        <v>103</v>
      </c>
      <c r="S29" s="3149">
        <v>21.6</v>
      </c>
      <c r="T29" s="3364"/>
      <c r="U29" s="3164"/>
      <c r="V29" s="3165"/>
      <c r="W29" s="3165"/>
      <c r="X29" s="3166"/>
      <c r="Y29" s="2954"/>
    </row>
    <row r="30" spans="1:40" ht="14.25">
      <c r="A30" s="3362"/>
      <c r="B30" s="3150">
        <v>-102</v>
      </c>
      <c r="C30" s="3149">
        <v>66.31</v>
      </c>
      <c r="D30" s="3176"/>
      <c r="E30" s="3176"/>
      <c r="F30" s="3364"/>
      <c r="G30" s="3173"/>
      <c r="H30" s="3174"/>
      <c r="I30" s="3174"/>
      <c r="J30" s="3174"/>
      <c r="K30" s="3174"/>
      <c r="L30" s="3175"/>
      <c r="M30" s="3368"/>
      <c r="N30" s="3149">
        <v>108</v>
      </c>
      <c r="O30" s="3149">
        <v>8.3000000000000007</v>
      </c>
      <c r="P30" s="3365"/>
      <c r="Q30" s="3365"/>
      <c r="R30" s="3149">
        <v>201</v>
      </c>
      <c r="S30" s="3149">
        <v>592.95000000000005</v>
      </c>
      <c r="T30" s="3364"/>
      <c r="U30" s="3164"/>
      <c r="V30" s="3165"/>
      <c r="W30" s="3165"/>
      <c r="X30" s="3166"/>
      <c r="Y30" s="2954"/>
    </row>
    <row r="31" spans="1:40" ht="14.25">
      <c r="A31" s="3362"/>
      <c r="B31" s="3150">
        <v>-105</v>
      </c>
      <c r="C31" s="3149">
        <v>76.89</v>
      </c>
      <c r="D31" s="3176"/>
      <c r="E31" s="3176"/>
      <c r="F31" s="3364"/>
      <c r="G31" s="3173"/>
      <c r="H31" s="3174"/>
      <c r="I31" s="3174"/>
      <c r="J31" s="3174"/>
      <c r="K31" s="3174"/>
      <c r="L31" s="3175"/>
      <c r="M31" s="3368"/>
      <c r="N31" s="3149">
        <v>109</v>
      </c>
      <c r="O31" s="3149">
        <v>22.91</v>
      </c>
      <c r="P31" s="3365"/>
      <c r="Q31" s="3365"/>
      <c r="R31" s="3149">
        <v>301</v>
      </c>
      <c r="S31" s="3149">
        <v>580.24</v>
      </c>
      <c r="T31" s="3364"/>
      <c r="U31" s="3164"/>
      <c r="V31" s="3165"/>
      <c r="W31" s="3165"/>
      <c r="X31" s="3166"/>
      <c r="Y31" s="2954"/>
    </row>
    <row r="32" spans="1:40" ht="14.25">
      <c r="A32" s="3365">
        <v>6</v>
      </c>
      <c r="B32" s="3149">
        <v>101</v>
      </c>
      <c r="C32" s="3149">
        <v>18.260000000000002</v>
      </c>
      <c r="D32" s="3176"/>
      <c r="E32" s="3176"/>
      <c r="F32" s="3364">
        <f>SUM(C32:C37)</f>
        <v>196.46</v>
      </c>
      <c r="G32" s="3173"/>
      <c r="H32" s="3174"/>
      <c r="I32" s="3174"/>
      <c r="J32" s="3174"/>
      <c r="K32" s="3174"/>
      <c r="L32" s="3175"/>
      <c r="M32" s="3368"/>
      <c r="N32" s="3149">
        <v>110</v>
      </c>
      <c r="O32" s="3149">
        <v>16.07</v>
      </c>
      <c r="P32" s="3365"/>
      <c r="Q32" s="3365"/>
      <c r="R32" s="3149">
        <v>401</v>
      </c>
      <c r="S32" s="3149">
        <v>415.21</v>
      </c>
      <c r="T32" s="3364"/>
      <c r="U32" s="3164"/>
      <c r="V32" s="3165"/>
      <c r="W32" s="3165"/>
      <c r="X32" s="3166"/>
      <c r="Y32" s="2954"/>
    </row>
    <row r="33" spans="1:25" ht="14.25">
      <c r="A33" s="3365"/>
      <c r="B33" s="3149">
        <v>102</v>
      </c>
      <c r="C33" s="3149">
        <v>28.13</v>
      </c>
      <c r="D33" s="3176"/>
      <c r="E33" s="3176"/>
      <c r="F33" s="3364"/>
      <c r="G33" s="3173"/>
      <c r="H33" s="3174"/>
      <c r="I33" s="3174"/>
      <c r="J33" s="3174"/>
      <c r="K33" s="3174"/>
      <c r="L33" s="3175"/>
      <c r="M33" s="3368"/>
      <c r="N33" s="3149">
        <v>202</v>
      </c>
      <c r="O33" s="3149">
        <v>354.56</v>
      </c>
      <c r="P33" s="3365"/>
      <c r="Q33" s="3366"/>
      <c r="R33" s="3157">
        <v>501</v>
      </c>
      <c r="S33" s="3157">
        <v>443.62</v>
      </c>
      <c r="T33" s="3367"/>
      <c r="U33" s="3164"/>
      <c r="V33" s="3165"/>
      <c r="W33" s="3165"/>
      <c r="X33" s="3166"/>
      <c r="Y33" s="2954"/>
    </row>
    <row r="34" spans="1:25" ht="14.25">
      <c r="A34" s="3365"/>
      <c r="B34" s="3149">
        <v>103</v>
      </c>
      <c r="C34" s="3149">
        <v>32.31</v>
      </c>
      <c r="D34" s="3176"/>
      <c r="E34" s="3176"/>
      <c r="F34" s="3364"/>
      <c r="G34" s="3173"/>
      <c r="H34" s="3174"/>
      <c r="I34" s="3174"/>
      <c r="J34" s="3174"/>
      <c r="K34" s="3174"/>
      <c r="L34" s="3175"/>
      <c r="M34" s="3368"/>
      <c r="N34" s="3149">
        <v>302</v>
      </c>
      <c r="O34" s="3149">
        <v>385.18</v>
      </c>
      <c r="P34" s="3369"/>
      <c r="Q34" s="3170"/>
      <c r="R34" s="3161"/>
      <c r="S34" s="3161"/>
      <c r="T34" s="3161"/>
      <c r="U34" s="3154"/>
      <c r="V34" s="3155"/>
      <c r="W34" s="3155"/>
      <c r="X34" s="3163"/>
    </row>
    <row r="35" spans="1:25" ht="14.25">
      <c r="A35" s="3365"/>
      <c r="B35" s="3149">
        <v>104</v>
      </c>
      <c r="C35" s="3149">
        <v>29.65</v>
      </c>
      <c r="D35" s="3176"/>
      <c r="E35" s="3176"/>
      <c r="F35" s="3364"/>
      <c r="G35" s="3173"/>
      <c r="H35" s="3174"/>
      <c r="I35" s="3174"/>
      <c r="J35" s="3174"/>
      <c r="K35" s="3174"/>
      <c r="L35" s="3175"/>
      <c r="M35" s="3368"/>
      <c r="N35" s="3149">
        <v>402</v>
      </c>
      <c r="O35" s="3149">
        <v>354.56</v>
      </c>
      <c r="P35" s="3369"/>
      <c r="Q35" s="3173"/>
      <c r="R35" s="3155"/>
      <c r="S35" s="3155"/>
      <c r="T35" s="3155"/>
      <c r="U35" s="3154"/>
      <c r="V35" s="3155"/>
      <c r="W35" s="3155"/>
      <c r="X35" s="3163"/>
    </row>
    <row r="36" spans="1:25" ht="14.25">
      <c r="A36" s="3365"/>
      <c r="B36" s="3149">
        <v>105</v>
      </c>
      <c r="C36" s="3149">
        <v>41.24</v>
      </c>
      <c r="D36" s="3176"/>
      <c r="E36" s="3176"/>
      <c r="F36" s="3364"/>
      <c r="G36" s="3154"/>
      <c r="H36" s="3155"/>
      <c r="I36" s="3155"/>
      <c r="J36" s="3155"/>
      <c r="K36" s="3155"/>
      <c r="L36" s="3163"/>
      <c r="M36" s="3370">
        <v>10</v>
      </c>
      <c r="N36" s="3149">
        <v>112</v>
      </c>
      <c r="O36" s="3149">
        <v>49.13</v>
      </c>
      <c r="P36" s="3364">
        <f>SUM(O36:O42)</f>
        <v>1644.5300000000002</v>
      </c>
      <c r="Q36" s="3154"/>
      <c r="R36" s="3155"/>
      <c r="S36" s="3155"/>
      <c r="T36" s="3155"/>
      <c r="U36" s="3154"/>
      <c r="V36" s="3155"/>
      <c r="W36" s="3155"/>
      <c r="X36" s="3163"/>
    </row>
    <row r="37" spans="1:25" ht="14.25">
      <c r="A37" s="3365"/>
      <c r="B37" s="3149">
        <v>106</v>
      </c>
      <c r="C37" s="3149">
        <v>46.87</v>
      </c>
      <c r="D37" s="3176"/>
      <c r="E37" s="3176"/>
      <c r="F37" s="3364"/>
      <c r="G37" s="3154"/>
      <c r="H37" s="3155"/>
      <c r="I37" s="3155"/>
      <c r="J37" s="3155"/>
      <c r="K37" s="3155"/>
      <c r="L37" s="3163"/>
      <c r="M37" s="3370"/>
      <c r="N37" s="3149">
        <v>113</v>
      </c>
      <c r="O37" s="3149">
        <v>126.59</v>
      </c>
      <c r="P37" s="3364"/>
      <c r="Q37" s="3154"/>
      <c r="R37" s="3155"/>
      <c r="S37" s="3155"/>
      <c r="T37" s="3155"/>
      <c r="U37" s="3154"/>
      <c r="V37" s="3155"/>
      <c r="W37" s="3155"/>
      <c r="X37" s="3163"/>
    </row>
    <row r="38" spans="1:25" ht="14.25">
      <c r="A38" s="3362">
        <v>7</v>
      </c>
      <c r="B38" s="3149">
        <v>101</v>
      </c>
      <c r="C38" s="3149">
        <v>51.47</v>
      </c>
      <c r="D38" s="3176"/>
      <c r="E38" s="3176"/>
      <c r="F38" s="3364">
        <f>SUM(C38:C44)</f>
        <v>475.17</v>
      </c>
      <c r="G38" s="3154"/>
      <c r="H38" s="3155"/>
      <c r="I38" s="3155"/>
      <c r="J38" s="3155"/>
      <c r="K38" s="3155"/>
      <c r="L38" s="3163"/>
      <c r="M38" s="3370"/>
      <c r="N38" s="3149">
        <v>114</v>
      </c>
      <c r="O38" s="3149">
        <v>8.56</v>
      </c>
      <c r="P38" s="3364"/>
      <c r="Q38" s="3154"/>
      <c r="R38" s="3155"/>
      <c r="S38" s="3155"/>
      <c r="T38" s="3155"/>
      <c r="U38" s="3154"/>
      <c r="V38" s="3155"/>
      <c r="W38" s="3155"/>
      <c r="X38" s="3163"/>
    </row>
    <row r="39" spans="1:25" ht="14.25">
      <c r="A39" s="3362"/>
      <c r="B39" s="3149">
        <v>102</v>
      </c>
      <c r="C39" s="3149">
        <v>68.25</v>
      </c>
      <c r="D39" s="3176"/>
      <c r="E39" s="3176"/>
      <c r="F39" s="3364"/>
      <c r="G39" s="3154"/>
      <c r="H39" s="3155"/>
      <c r="I39" s="3155"/>
      <c r="J39" s="3155"/>
      <c r="K39" s="3155"/>
      <c r="L39" s="3163"/>
      <c r="M39" s="3370"/>
      <c r="N39" s="3149">
        <v>115</v>
      </c>
      <c r="O39" s="3149">
        <v>28.54</v>
      </c>
      <c r="P39" s="3364"/>
      <c r="Q39" s="3154"/>
      <c r="R39" s="3155"/>
      <c r="S39" s="3155"/>
      <c r="T39" s="3155"/>
      <c r="U39" s="3154"/>
      <c r="V39" s="3155"/>
      <c r="W39" s="3155"/>
      <c r="X39" s="3163"/>
    </row>
    <row r="40" spans="1:25" ht="14.25">
      <c r="A40" s="3362"/>
      <c r="B40" s="3149">
        <v>103</v>
      </c>
      <c r="C40" s="3149">
        <v>46.83</v>
      </c>
      <c r="D40" s="3176"/>
      <c r="E40" s="3176"/>
      <c r="F40" s="3364"/>
      <c r="G40" s="3154"/>
      <c r="H40" s="3155"/>
      <c r="I40" s="3155"/>
      <c r="J40" s="3155"/>
      <c r="K40" s="3155"/>
      <c r="L40" s="3163"/>
      <c r="M40" s="3370"/>
      <c r="N40" s="3149">
        <v>203</v>
      </c>
      <c r="O40" s="3149">
        <v>485.92</v>
      </c>
      <c r="P40" s="3364"/>
      <c r="Q40" s="3154"/>
      <c r="R40" s="3155"/>
      <c r="S40" s="3155"/>
      <c r="T40" s="3155"/>
      <c r="U40" s="3154"/>
      <c r="V40" s="3155"/>
      <c r="W40" s="3155"/>
      <c r="X40" s="3163"/>
    </row>
    <row r="41" spans="1:25" ht="14.25">
      <c r="A41" s="3362"/>
      <c r="B41" s="3149">
        <v>-101</v>
      </c>
      <c r="C41" s="3149">
        <v>45.38</v>
      </c>
      <c r="D41" s="3176"/>
      <c r="E41" s="3176"/>
      <c r="F41" s="3364"/>
      <c r="G41" s="3154"/>
      <c r="H41" s="3155"/>
      <c r="I41" s="3155"/>
      <c r="J41" s="3155"/>
      <c r="K41" s="3155"/>
      <c r="L41" s="3163"/>
      <c r="M41" s="3370"/>
      <c r="N41" s="3149">
        <v>303</v>
      </c>
      <c r="O41" s="3149">
        <v>500.94</v>
      </c>
      <c r="P41" s="3364"/>
      <c r="Q41" s="3154"/>
      <c r="R41" s="3155"/>
      <c r="S41" s="3155"/>
      <c r="T41" s="3155"/>
      <c r="U41" s="3154"/>
      <c r="V41" s="3155"/>
      <c r="W41" s="3155"/>
      <c r="X41" s="3163"/>
    </row>
    <row r="42" spans="1:25" ht="14.25">
      <c r="A42" s="3362"/>
      <c r="B42" s="3149">
        <v>-102</v>
      </c>
      <c r="C42" s="3149">
        <v>67.63</v>
      </c>
      <c r="D42" s="3176"/>
      <c r="E42" s="3176"/>
      <c r="F42" s="3364"/>
      <c r="G42" s="3154"/>
      <c r="H42" s="3155"/>
      <c r="I42" s="3155"/>
      <c r="J42" s="3155"/>
      <c r="K42" s="3155"/>
      <c r="L42" s="3163"/>
      <c r="M42" s="3371"/>
      <c r="N42" s="3157">
        <v>403</v>
      </c>
      <c r="O42" s="3157">
        <v>444.85</v>
      </c>
      <c r="P42" s="3367"/>
      <c r="Q42" s="3154"/>
      <c r="R42" s="3155"/>
      <c r="S42" s="3155"/>
      <c r="T42" s="3155"/>
      <c r="U42" s="3154"/>
      <c r="V42" s="3155"/>
      <c r="W42" s="3155"/>
      <c r="X42" s="3163"/>
    </row>
    <row r="43" spans="1:25" ht="14.25">
      <c r="A43" s="3362"/>
      <c r="B43" s="3149">
        <v>-103</v>
      </c>
      <c r="C43" s="3149">
        <v>127.16</v>
      </c>
      <c r="D43" s="3176"/>
      <c r="E43" s="3176"/>
      <c r="F43" s="3364"/>
      <c r="G43" s="3154"/>
      <c r="H43" s="3155"/>
      <c r="I43" s="3155"/>
      <c r="J43" s="3155"/>
      <c r="K43" s="3155"/>
      <c r="L43" s="3155"/>
      <c r="M43" s="3160"/>
      <c r="N43" s="3161"/>
      <c r="O43" s="3161"/>
      <c r="P43" s="3161"/>
      <c r="Q43" s="3154"/>
      <c r="R43" s="3155"/>
      <c r="S43" s="3155"/>
      <c r="T43" s="3155"/>
      <c r="U43" s="3154"/>
      <c r="V43" s="3155"/>
      <c r="W43" s="3155"/>
      <c r="X43" s="3163"/>
    </row>
    <row r="44" spans="1:25" ht="14.25">
      <c r="A44" s="3362"/>
      <c r="B44" s="3149">
        <v>-104</v>
      </c>
      <c r="C44" s="3149">
        <v>68.45</v>
      </c>
      <c r="D44" s="3176"/>
      <c r="E44" s="3176"/>
      <c r="F44" s="3364"/>
      <c r="G44" s="3154"/>
      <c r="H44" s="3155"/>
      <c r="I44" s="3155"/>
      <c r="J44" s="3155"/>
      <c r="K44" s="3155"/>
      <c r="L44" s="3155"/>
      <c r="M44" s="3154"/>
      <c r="N44" s="3155"/>
      <c r="O44" s="3155"/>
      <c r="P44" s="3155"/>
      <c r="Q44" s="3154"/>
      <c r="R44" s="3155"/>
      <c r="S44" s="3155"/>
      <c r="T44" s="3155"/>
      <c r="U44" s="3154"/>
      <c r="V44" s="3155"/>
      <c r="W44" s="3155"/>
      <c r="X44" s="3163"/>
    </row>
    <row r="45" spans="1:25" ht="14.25">
      <c r="A45" s="3362">
        <v>8</v>
      </c>
      <c r="B45" s="3149">
        <v>-101</v>
      </c>
      <c r="C45" s="3149">
        <v>37.880000000000003</v>
      </c>
      <c r="D45" s="3176"/>
      <c r="E45" s="3176"/>
      <c r="F45" s="3364">
        <f>SUM(C45:C47)</f>
        <v>184.71</v>
      </c>
      <c r="G45" s="3154"/>
      <c r="H45" s="3155"/>
      <c r="I45" s="3155"/>
      <c r="J45" s="3155"/>
      <c r="K45" s="3155"/>
      <c r="L45" s="3155"/>
      <c r="M45" s="3154"/>
      <c r="N45" s="3155"/>
      <c r="O45" s="3155"/>
      <c r="P45" s="3155"/>
      <c r="Q45" s="3154"/>
      <c r="R45" s="3155"/>
      <c r="S45" s="3155"/>
      <c r="T45" s="3155"/>
      <c r="U45" s="3154"/>
      <c r="V45" s="3155"/>
      <c r="W45" s="3155"/>
      <c r="X45" s="3163"/>
    </row>
    <row r="46" spans="1:25" ht="14.25">
      <c r="A46" s="3362"/>
      <c r="B46" s="3149">
        <v>-102</v>
      </c>
      <c r="C46" s="3149">
        <v>67.989999999999995</v>
      </c>
      <c r="D46" s="3176"/>
      <c r="E46" s="3176"/>
      <c r="F46" s="3364"/>
      <c r="G46" s="3154"/>
      <c r="H46" s="3155"/>
      <c r="I46" s="3155"/>
      <c r="J46" s="3155"/>
      <c r="K46" s="3155"/>
      <c r="L46" s="3155"/>
      <c r="M46" s="3154"/>
      <c r="N46" s="3155"/>
      <c r="O46" s="3155"/>
      <c r="P46" s="3155"/>
      <c r="Q46" s="3154"/>
      <c r="R46" s="3155"/>
      <c r="S46" s="3155"/>
      <c r="T46" s="3155"/>
      <c r="U46" s="3154"/>
      <c r="V46" s="3155"/>
      <c r="W46" s="3155"/>
      <c r="X46" s="3163"/>
    </row>
    <row r="47" spans="1:25" ht="14.25">
      <c r="A47" s="3362"/>
      <c r="B47" s="3149">
        <v>-105</v>
      </c>
      <c r="C47" s="3149">
        <v>78.84</v>
      </c>
      <c r="D47" s="3176"/>
      <c r="E47" s="3176"/>
      <c r="F47" s="3364"/>
      <c r="G47" s="3167"/>
      <c r="H47" s="3168"/>
      <c r="I47" s="3168"/>
      <c r="J47" s="3168"/>
      <c r="K47" s="3168"/>
      <c r="L47" s="3168"/>
      <c r="M47" s="3167"/>
      <c r="N47" s="3168"/>
      <c r="O47" s="3168"/>
      <c r="P47" s="3168"/>
      <c r="Q47" s="3167"/>
      <c r="R47" s="3168"/>
      <c r="S47" s="3168"/>
      <c r="T47" s="3168"/>
      <c r="U47" s="3167"/>
      <c r="V47" s="3168"/>
      <c r="W47" s="3168"/>
      <c r="X47" s="3169"/>
    </row>
    <row r="48" spans="1:25" ht="14.25">
      <c r="A48" s="3362" t="s">
        <v>37</v>
      </c>
      <c r="B48" s="3362"/>
      <c r="C48" s="3362">
        <f>SUM(C4:C47)</f>
        <v>2353.7599999999998</v>
      </c>
      <c r="D48" s="3362"/>
      <c r="E48" s="3362"/>
      <c r="F48" s="3362"/>
      <c r="G48" s="3362" t="s">
        <v>37</v>
      </c>
      <c r="H48" s="3362"/>
      <c r="I48" s="3362">
        <f>SUM(I4:I24)</f>
        <v>5661.1</v>
      </c>
      <c r="J48" s="3362"/>
      <c r="K48" s="3362"/>
      <c r="L48" s="3362"/>
      <c r="M48" s="3362" t="s">
        <v>37</v>
      </c>
      <c r="N48" s="3362"/>
      <c r="O48" s="3362">
        <f>SUM(O4:O42)</f>
        <v>15360.169999999996</v>
      </c>
      <c r="P48" s="3362"/>
      <c r="Q48" s="3362" t="s">
        <v>37</v>
      </c>
      <c r="R48" s="3362"/>
      <c r="S48" s="3362">
        <f>SUM(S4:S33)</f>
        <v>7575.6499999999987</v>
      </c>
      <c r="T48" s="3362"/>
      <c r="U48" s="3362" t="s">
        <v>37</v>
      </c>
      <c r="V48" s="3362"/>
      <c r="W48" s="3362">
        <f>SUM(W4:W11)</f>
        <v>62596.38</v>
      </c>
      <c r="X48" s="3362"/>
    </row>
    <row r="49" spans="1:24">
      <c r="A49" s="3363" t="s">
        <v>3531</v>
      </c>
      <c r="B49" s="3363"/>
      <c r="C49" s="3363">
        <f>C48+I48+O48+S48+W48</f>
        <v>93547.06</v>
      </c>
      <c r="D49" s="3363"/>
      <c r="E49" s="3363"/>
      <c r="F49" s="3363"/>
      <c r="G49" s="3363"/>
      <c r="H49" s="3363"/>
      <c r="I49" s="3363"/>
      <c r="J49" s="3363"/>
      <c r="K49" s="3363"/>
      <c r="L49" s="3363"/>
      <c r="M49" s="3363"/>
      <c r="N49" s="3363"/>
      <c r="O49" s="3363"/>
      <c r="P49" s="3363"/>
      <c r="Q49" s="3363"/>
      <c r="R49" s="3363"/>
      <c r="S49" s="3363"/>
      <c r="T49" s="3363"/>
      <c r="U49" s="3363"/>
      <c r="V49" s="3363"/>
      <c r="W49" s="3363"/>
      <c r="X49" s="3363"/>
    </row>
    <row r="50" spans="1:24" ht="14.25">
      <c r="A50" s="3360" t="s">
        <v>3532</v>
      </c>
      <c r="B50" s="3360"/>
      <c r="C50" s="3361">
        <f>C49+AA20</f>
        <v>99280.04</v>
      </c>
      <c r="D50" s="3361"/>
      <c r="E50" s="3361"/>
      <c r="F50" s="3361"/>
      <c r="G50" s="3361"/>
      <c r="H50" s="3361"/>
      <c r="I50" s="3361"/>
      <c r="J50" s="3361"/>
      <c r="K50" s="3361"/>
      <c r="L50" s="3361"/>
      <c r="M50" s="3361"/>
      <c r="N50" s="3361"/>
      <c r="O50" s="3361"/>
      <c r="P50" s="3361"/>
      <c r="Q50" s="3361"/>
      <c r="R50" s="3361"/>
      <c r="S50" s="3361"/>
      <c r="T50" s="3361"/>
      <c r="U50" s="3052"/>
      <c r="V50" s="3052"/>
      <c r="W50" s="3052"/>
      <c r="X50" s="3052"/>
    </row>
    <row r="51" spans="1:24" ht="14.25">
      <c r="A51" s="3360" t="s">
        <v>3533</v>
      </c>
      <c r="B51" s="3360"/>
      <c r="C51" s="3361">
        <f>X4</f>
        <v>62596.38</v>
      </c>
      <c r="D51" s="3361"/>
      <c r="E51" s="3361"/>
      <c r="F51" s="3361"/>
      <c r="G51" s="3361"/>
      <c r="H51" s="3361"/>
      <c r="I51" s="3361"/>
      <c r="J51" s="3361"/>
      <c r="K51" s="3361"/>
      <c r="L51" s="3361"/>
      <c r="M51" s="3361"/>
      <c r="N51" s="3361"/>
      <c r="O51" s="3361"/>
      <c r="P51" s="3361"/>
      <c r="Q51" s="3361"/>
      <c r="R51" s="3361"/>
      <c r="S51" s="3361"/>
      <c r="T51" s="3361"/>
    </row>
    <row r="52" spans="1:24" ht="14.25">
      <c r="A52" s="3360" t="s">
        <v>3534</v>
      </c>
      <c r="B52" s="3360"/>
      <c r="C52" s="3361">
        <f>C48+AA20-AN12</f>
        <v>4484.74</v>
      </c>
      <c r="D52" s="3361"/>
      <c r="E52" s="3361"/>
      <c r="F52" s="3361"/>
      <c r="G52" s="3361"/>
      <c r="H52" s="3361"/>
      <c r="I52" s="3361"/>
      <c r="J52" s="3361"/>
      <c r="K52" s="3361"/>
      <c r="L52" s="3361"/>
      <c r="M52" s="3361"/>
      <c r="N52" s="3361"/>
      <c r="O52" s="3361"/>
      <c r="P52" s="3361"/>
      <c r="Q52" s="3361"/>
      <c r="R52" s="3361"/>
      <c r="S52" s="3361"/>
      <c r="T52" s="3361"/>
    </row>
    <row r="53" spans="1:24" ht="14.25">
      <c r="A53" s="3360" t="s">
        <v>3535</v>
      </c>
      <c r="B53" s="3360"/>
      <c r="C53" s="3361">
        <f>I48+O48+S48+AN12</f>
        <v>32198.919999999995</v>
      </c>
      <c r="D53" s="3361"/>
      <c r="E53" s="3361"/>
      <c r="F53" s="3361"/>
      <c r="G53" s="3361"/>
      <c r="H53" s="3361"/>
      <c r="I53" s="3361"/>
      <c r="J53" s="3361"/>
      <c r="K53" s="3361"/>
      <c r="L53" s="3361"/>
      <c r="M53" s="3361"/>
      <c r="N53" s="3361"/>
      <c r="O53" s="3361"/>
      <c r="P53" s="3361"/>
      <c r="Q53" s="3361"/>
      <c r="R53" s="3361"/>
      <c r="S53" s="3361"/>
      <c r="T53" s="3361"/>
    </row>
  </sheetData>
  <mergeCells count="99">
    <mergeCell ref="A1:X1"/>
    <mergeCell ref="Y1:AN1"/>
    <mergeCell ref="A2:F2"/>
    <mergeCell ref="G2:L2"/>
    <mergeCell ref="M2:P2"/>
    <mergeCell ref="Q2:T2"/>
    <mergeCell ref="U2:X2"/>
    <mergeCell ref="Y2:AB2"/>
    <mergeCell ref="AC2:AF2"/>
    <mergeCell ref="AG2:AJ2"/>
    <mergeCell ref="AK2:AN2"/>
    <mergeCell ref="A4:A9"/>
    <mergeCell ref="F4:F9"/>
    <mergeCell ref="G4:G6"/>
    <mergeCell ref="L4:L6"/>
    <mergeCell ref="M4:M10"/>
    <mergeCell ref="G7:G8"/>
    <mergeCell ref="L7:L8"/>
    <mergeCell ref="G9:G13"/>
    <mergeCell ref="L9:L13"/>
    <mergeCell ref="A10:A12"/>
    <mergeCell ref="F10:F12"/>
    <mergeCell ref="M11:M18"/>
    <mergeCell ref="A13:A15"/>
    <mergeCell ref="F13:F15"/>
    <mergeCell ref="G14:G19"/>
    <mergeCell ref="L14:L19"/>
    <mergeCell ref="P4:P10"/>
    <mergeCell ref="Q4:Q20"/>
    <mergeCell ref="T4:T20"/>
    <mergeCell ref="U4:U11"/>
    <mergeCell ref="AN4:AN10"/>
    <mergeCell ref="Y9:Y13"/>
    <mergeCell ref="AB9:AB13"/>
    <mergeCell ref="X4:X11"/>
    <mergeCell ref="Y4:Y8"/>
    <mergeCell ref="AB4:AB8"/>
    <mergeCell ref="AC4:AC10"/>
    <mergeCell ref="AF4:AF10"/>
    <mergeCell ref="AK4:AK10"/>
    <mergeCell ref="P11:P18"/>
    <mergeCell ref="AK12:AK18"/>
    <mergeCell ref="AM19:AN19"/>
    <mergeCell ref="Y14:Y18"/>
    <mergeCell ref="AB14:AB18"/>
    <mergeCell ref="A16:A23"/>
    <mergeCell ref="F16:F23"/>
    <mergeCell ref="M19:M21"/>
    <mergeCell ref="P19:P21"/>
    <mergeCell ref="Y19:Z19"/>
    <mergeCell ref="AA19:AB19"/>
    <mergeCell ref="G20:G24"/>
    <mergeCell ref="L20:L24"/>
    <mergeCell ref="Y20:Z20"/>
    <mergeCell ref="AA20:AN20"/>
    <mergeCell ref="Q21:Q26"/>
    <mergeCell ref="T21:T26"/>
    <mergeCell ref="M22:M28"/>
    <mergeCell ref="P22:P28"/>
    <mergeCell ref="AN12:AN18"/>
    <mergeCell ref="AC19:AD19"/>
    <mergeCell ref="AE19:AF19"/>
    <mergeCell ref="AG19:AH19"/>
    <mergeCell ref="AI19:AJ19"/>
    <mergeCell ref="AK19:AL19"/>
    <mergeCell ref="A24:A31"/>
    <mergeCell ref="F24:F31"/>
    <mergeCell ref="Q27:Q33"/>
    <mergeCell ref="T27:T33"/>
    <mergeCell ref="M29:M35"/>
    <mergeCell ref="P29:P35"/>
    <mergeCell ref="A32:A37"/>
    <mergeCell ref="F32:F37"/>
    <mergeCell ref="M36:M42"/>
    <mergeCell ref="P36:P42"/>
    <mergeCell ref="A38:A44"/>
    <mergeCell ref="F38:F44"/>
    <mergeCell ref="A45:A47"/>
    <mergeCell ref="F45:F47"/>
    <mergeCell ref="A48:B48"/>
    <mergeCell ref="C48:F48"/>
    <mergeCell ref="U48:V48"/>
    <mergeCell ref="W48:X48"/>
    <mergeCell ref="A49:B49"/>
    <mergeCell ref="C49:X49"/>
    <mergeCell ref="A50:B50"/>
    <mergeCell ref="C50:T50"/>
    <mergeCell ref="G48:H48"/>
    <mergeCell ref="I48:L48"/>
    <mergeCell ref="M48:N48"/>
    <mergeCell ref="O48:P48"/>
    <mergeCell ref="Q48:R48"/>
    <mergeCell ref="S48:T48"/>
    <mergeCell ref="A51:B51"/>
    <mergeCell ref="C51:T51"/>
    <mergeCell ref="A52:B52"/>
    <mergeCell ref="C52:T52"/>
    <mergeCell ref="A53:B53"/>
    <mergeCell ref="C53:T53"/>
  </mergeCells>
  <phoneticPr fontId="28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L8" sqref="AL8:AL9"/>
    </sheetView>
  </sheetViews>
  <sheetFormatPr defaultColWidth="13.875" defaultRowHeight="12.75"/>
  <cols>
    <col min="1" max="1" width="20.875" style="2331" customWidth="1"/>
    <col min="2" max="2" width="12" style="2261" customWidth="1"/>
    <col min="3" max="3" width="10.875" style="2261" customWidth="1"/>
    <col min="4" max="4" width="9.125" style="2332" customWidth="1"/>
    <col min="5" max="5" width="15" style="2261" bestFit="1" customWidth="1"/>
    <col min="6" max="10" width="8.875" style="2261" customWidth="1"/>
    <col min="11" max="12" width="12.375" style="2176"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24" width="6.875" style="2261" customWidth="1"/>
    <col min="25" max="25" width="8.5" style="2261" customWidth="1"/>
    <col min="26" max="30" width="6.875" style="2261" customWidth="1"/>
    <col min="31" max="31" width="8" style="2261" customWidth="1"/>
    <col min="32" max="34" width="7.125" style="2261" customWidth="1"/>
    <col min="35" max="39" width="8" style="2261" customWidth="1"/>
    <col min="40" max="40" width="13.875" style="2260"/>
    <col min="41" max="41" width="11.625" style="2260" customWidth="1"/>
    <col min="42" max="42" width="9.875" style="2260" customWidth="1"/>
    <col min="43" max="67" width="13.875" style="2260"/>
    <col min="68" max="16384" width="13.875" style="2261"/>
  </cols>
  <sheetData>
    <row r="1" spans="1:67" ht="19.5" thickBot="1">
      <c r="A1" s="2258" t="s">
        <v>1963</v>
      </c>
      <c r="B1" s="731"/>
      <c r="C1" s="1577"/>
      <c r="D1" s="225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18" customFormat="1" ht="15.75" thickBot="1">
      <c r="A2" s="2262" t="s">
        <v>1964</v>
      </c>
      <c r="B2" s="1262">
        <f>项目基本情况!D3</f>
        <v>44011</v>
      </c>
      <c r="C2" s="2263"/>
      <c r="D2" s="2264"/>
      <c r="E2" s="2263"/>
      <c r="F2" s="2263"/>
      <c r="G2" s="2263"/>
      <c r="H2" s="2263"/>
      <c r="I2" s="2263"/>
      <c r="J2" s="2263"/>
      <c r="K2" s="1423"/>
      <c r="L2" s="142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18" customFormat="1" ht="15" thickBot="1">
      <c r="A3" s="2016"/>
      <c r="B3" s="2266"/>
      <c r="C3" s="2263"/>
      <c r="D3" s="2264"/>
      <c r="E3" s="2263"/>
      <c r="F3" s="2263"/>
      <c r="G3" s="2263"/>
      <c r="H3" s="2263"/>
      <c r="I3" s="2263"/>
      <c r="J3" s="2263"/>
      <c r="K3" s="1423"/>
      <c r="L3" s="1423"/>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18" customFormat="1" ht="15" thickBot="1">
      <c r="A4" s="67" t="s">
        <v>1965</v>
      </c>
      <c r="B4" s="2267"/>
      <c r="C4" s="2268"/>
      <c r="D4" s="2269"/>
      <c r="E4" s="2268" t="s">
        <v>1966</v>
      </c>
      <c r="F4" s="2268"/>
      <c r="G4" s="2268"/>
      <c r="H4" s="2268"/>
      <c r="I4" s="2268"/>
      <c r="J4" s="2270"/>
      <c r="K4" s="2271"/>
      <c r="L4" s="2272"/>
      <c r="M4" s="2268"/>
      <c r="N4" s="2268" t="s">
        <v>1967</v>
      </c>
      <c r="O4" s="2268"/>
      <c r="P4" s="2268"/>
      <c r="Q4" s="2268"/>
      <c r="R4" s="2268"/>
      <c r="S4" s="2270"/>
      <c r="T4" s="2273" t="str">
        <f>'数据-汇总表'!I17</f>
        <v>按面积比例</v>
      </c>
      <c r="U4" s="2267" t="s">
        <v>1968</v>
      </c>
      <c r="V4" s="2268"/>
      <c r="W4" s="2268"/>
      <c r="X4" s="2268"/>
      <c r="Y4" s="2270"/>
      <c r="Z4" s="2231" t="s">
        <v>1969</v>
      </c>
      <c r="AA4" s="2231"/>
      <c r="AB4" s="2231"/>
      <c r="AC4" s="2231"/>
      <c r="AD4" s="2231"/>
      <c r="AE4" s="2229" t="s">
        <v>1970</v>
      </c>
      <c r="AF4" s="2231"/>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19" customFormat="1" ht="42">
      <c r="A5" s="2275" t="s">
        <v>1971</v>
      </c>
      <c r="B5" s="2276" t="s">
        <v>1972</v>
      </c>
      <c r="C5" s="2277" t="s">
        <v>1973</v>
      </c>
      <c r="D5" s="2278" t="s">
        <v>1974</v>
      </c>
      <c r="E5" s="1264" t="s">
        <v>1975</v>
      </c>
      <c r="F5" s="2279" t="s">
        <v>1976</v>
      </c>
      <c r="G5" s="1264" t="s">
        <v>1977</v>
      </c>
      <c r="H5" s="1264" t="s">
        <v>1978</v>
      </c>
      <c r="I5" s="1264" t="s">
        <v>1979</v>
      </c>
      <c r="J5" s="2280" t="s">
        <v>1980</v>
      </c>
      <c r="K5" s="2281" t="s">
        <v>1981</v>
      </c>
      <c r="L5" s="2282" t="s">
        <v>1982</v>
      </c>
      <c r="M5" s="2283" t="s">
        <v>1983</v>
      </c>
      <c r="N5" s="2284" t="s">
        <v>3100</v>
      </c>
      <c r="O5" s="2282" t="s">
        <v>1984</v>
      </c>
      <c r="P5" s="2285" t="s">
        <v>1985</v>
      </c>
      <c r="Q5" s="68" t="s">
        <v>1986</v>
      </c>
      <c r="R5" s="2286" t="s">
        <v>1987</v>
      </c>
      <c r="S5" s="2287" t="s">
        <v>1988</v>
      </c>
      <c r="T5" s="2288" t="s">
        <v>1989</v>
      </c>
      <c r="U5" s="1263" t="s">
        <v>1990</v>
      </c>
      <c r="V5" s="1264" t="s">
        <v>1991</v>
      </c>
      <c r="W5" s="1264" t="s">
        <v>1992</v>
      </c>
      <c r="X5" s="70"/>
      <c r="Y5" s="69" t="s">
        <v>1993</v>
      </c>
      <c r="Z5" s="2289" t="s">
        <v>1990</v>
      </c>
      <c r="AA5" s="1264" t="s">
        <v>1991</v>
      </c>
      <c r="AB5" s="1264" t="s">
        <v>1992</v>
      </c>
      <c r="AC5" s="70"/>
      <c r="AD5" s="70" t="s">
        <v>1993</v>
      </c>
      <c r="AE5" s="1263" t="s">
        <v>1994</v>
      </c>
      <c r="AF5" s="1264" t="s">
        <v>1995</v>
      </c>
      <c r="AG5" s="69" t="s">
        <v>1996</v>
      </c>
      <c r="AH5" s="1263" t="s">
        <v>1997</v>
      </c>
      <c r="AI5" s="2289" t="s">
        <v>1998</v>
      </c>
      <c r="AJ5" s="2289" t="s">
        <v>1999</v>
      </c>
      <c r="AK5" s="1264" t="s">
        <v>2000</v>
      </c>
      <c r="AL5" s="1264" t="s">
        <v>2001</v>
      </c>
      <c r="AM5" s="69" t="s">
        <v>2002</v>
      </c>
      <c r="AN5" s="2290" t="s">
        <v>2003</v>
      </c>
      <c r="AO5" s="2061" t="s">
        <v>2004</v>
      </c>
      <c r="AP5" s="1245" t="s">
        <v>2005</v>
      </c>
      <c r="AQ5" s="2291" t="s">
        <v>2006</v>
      </c>
      <c r="AR5" s="2291" t="s">
        <v>2007</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18" customFormat="1" ht="14.25">
      <c r="A6" s="2292" t="str">
        <f>'数据-汇总表'!C19</f>
        <v>商业</v>
      </c>
      <c r="B6" s="2293" t="str">
        <f>IF(A6=0,"","经营性")</f>
        <v>经营性</v>
      </c>
      <c r="C6" s="2294" t="s">
        <v>1372</v>
      </c>
      <c r="D6" s="1050">
        <f>SUMIF(项目基本情况!D$12:I$12,C6,项目基本情况!D$14:I$14)</f>
        <v>40</v>
      </c>
      <c r="E6" s="1047">
        <f>IF(B6="","",SUMIF(项目基本情况!D$12:I$12,C6,项目基本情况!D$13:I$13))</f>
        <v>58623</v>
      </c>
      <c r="F6" s="71">
        <f>SUMIF(项目基本情况!D$12:I$12,C6,项目基本情况!D$15:I$15)</f>
        <v>40</v>
      </c>
      <c r="G6" s="72">
        <f>IF(ISERROR(ROUND(POWER(1+H6,D6-F6)*(POWER(1+H6,F6)-1)/(POWER(1+H6,D6)-1),3)),0,ROUND(POWER(1+H6,D6-F6)*(POWER(1+H6,F6)-1)/(POWER(1+H6,D6)-1),3))</f>
        <v>1</v>
      </c>
      <c r="H6" s="801">
        <v>0.04</v>
      </c>
      <c r="I6" s="801">
        <v>4.4999999999999998E-2</v>
      </c>
      <c r="J6" s="73">
        <v>0.04</v>
      </c>
      <c r="K6" s="1247">
        <f>SUMIF('数据-汇总表'!C$19:C$33,A6,'数据-汇总表'!E$19:E$33)</f>
        <v>135636.54000000004</v>
      </c>
      <c r="L6" s="802">
        <v>3000</v>
      </c>
      <c r="M6" s="74">
        <f t="shared" ref="M6:M14" si="0">ROUND(K6*L6/10000,0)</f>
        <v>40691</v>
      </c>
      <c r="N6" s="800">
        <v>1</v>
      </c>
      <c r="O6" s="74" t="str">
        <f>IF($N$5="成新度","——",ROUND(M6*N6,0))</f>
        <v>——</v>
      </c>
      <c r="P6" s="75" t="str">
        <f>IF($N$5="成新度","——",M6-O6)</f>
        <v>——</v>
      </c>
      <c r="Q6" s="803">
        <v>0.1</v>
      </c>
      <c r="R6" s="76">
        <f ca="1">SUMIF('数据-汇总表'!C$19:C$33,A6,'数据-汇总表'!R$19:R$27)</f>
        <v>45212.18</v>
      </c>
      <c r="S6" s="54">
        <f>IF('数据-汇总表'!$I$17="按面积比例",SUMIF('数据-汇总表'!C$19:C$33,A6,'数据-汇总表'!K$19:K$33),SUMIF('数据-汇总表'!C$19:C$33,A6,'数据-汇总表'!N$19:N$33))</f>
        <v>0</v>
      </c>
      <c r="T6" s="1439">
        <f>ROUND($L$14*S6/10000,0)</f>
        <v>0</v>
      </c>
      <c r="U6" s="77"/>
      <c r="V6" s="78">
        <v>5.0000000000000001E-3</v>
      </c>
      <c r="W6" s="78">
        <v>0.15</v>
      </c>
      <c r="X6" s="1257"/>
      <c r="Y6" s="79">
        <v>1</v>
      </c>
      <c r="Z6" s="80"/>
      <c r="AA6" s="73"/>
      <c r="AB6" s="73"/>
      <c r="AC6" s="1257"/>
      <c r="AD6" s="81"/>
      <c r="AE6" s="1258">
        <f ca="1">IF(AN6="",0,SUMIF(INDIRECT("'"&amp;AN6&amp;"'"&amp;"!E:E"),$AE$5,INDIRECT("'"&amp;AN6&amp;"'"&amp;"!F:F")))</f>
        <v>0</v>
      </c>
      <c r="AF6" s="1792"/>
      <c r="AG6" s="146">
        <f>IF(AF6="",0,AE6-AF6)</f>
        <v>0</v>
      </c>
      <c r="AH6" s="82"/>
      <c r="AI6" s="84">
        <v>365</v>
      </c>
      <c r="AJ6" s="85"/>
      <c r="AK6" s="86">
        <v>0.01</v>
      </c>
      <c r="AL6" s="87">
        <v>1E-3</v>
      </c>
      <c r="AM6" s="88">
        <v>0.01</v>
      </c>
      <c r="AN6" s="2295" t="s">
        <v>3101</v>
      </c>
      <c r="AO6" s="55" t="e">
        <f ca="1">SUMIF(INDIRECT("'"&amp;AN6&amp;"'"&amp;"!A:A"),"总价",INDIRECT("'"&amp;AN6&amp;"'"&amp;"!B:B"))</f>
        <v>#DIV/0!</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18" customFormat="1" ht="14.25">
      <c r="A7" s="2292">
        <f>'数据-汇总表'!C20</f>
        <v>0</v>
      </c>
      <c r="B7" s="2293" t="str">
        <f t="shared" ref="B7:B13" si="1">IF(A7=0,"","经营性")</f>
        <v/>
      </c>
      <c r="C7" s="2294"/>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47">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7"/>
      <c r="V7" s="78"/>
      <c r="W7" s="78"/>
      <c r="X7" s="1257"/>
      <c r="Y7" s="79"/>
      <c r="Z7" s="80"/>
      <c r="AA7" s="73"/>
      <c r="AB7" s="73"/>
      <c r="AC7" s="1257"/>
      <c r="AD7" s="81"/>
      <c r="AE7" s="1258">
        <f t="shared" ref="AE7:AE13" ca="1" si="6">IF(AN7="",0,SUMIF(INDIRECT("'"&amp;AN7&amp;"'"&amp;"!E:E"),$AE$5,INDIRECT("'"&amp;AN7&amp;"'"&amp;"!F:F")))</f>
        <v>0</v>
      </c>
      <c r="AF7" s="1792"/>
      <c r="AG7" s="146">
        <f t="shared" ref="AG7:AG13" si="7">IF(AF7="",0,AE7-AF7)</f>
        <v>0</v>
      </c>
      <c r="AH7" s="82"/>
      <c r="AI7" s="84"/>
      <c r="AJ7" s="85"/>
      <c r="AK7" s="86"/>
      <c r="AL7" s="87"/>
      <c r="AM7" s="88"/>
      <c r="AN7" s="2295"/>
      <c r="AO7" s="55" t="e">
        <f t="shared" ref="AO7:AO13" ca="1" si="8">SUMIF(INDIRECT("'"&amp;AN7&amp;"'"&amp;"!A:A"),"总价",INDIRECT("'"&amp;AN7&amp;"'"&amp;"!B:B"))</f>
        <v>#REF!</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18" customFormat="1" ht="14.25">
      <c r="A8" s="2292">
        <f>'数据-汇总表'!C21</f>
        <v>0</v>
      </c>
      <c r="B8" s="2293" t="str">
        <f t="shared" si="1"/>
        <v/>
      </c>
      <c r="C8" s="2294"/>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47">
        <f>SUMIF('数据-汇总表'!C$19:C$33,A8,'数据-汇总表'!E$19:E$33)</f>
        <v>0</v>
      </c>
      <c r="L8" s="802"/>
      <c r="M8" s="74">
        <f>ROUND(K8*L8/10000,0)</f>
        <v>0</v>
      </c>
      <c r="N8" s="800"/>
      <c r="O8" s="74" t="str">
        <f t="shared" si="3"/>
        <v>——</v>
      </c>
      <c r="P8" s="75" t="str">
        <f t="shared" si="4"/>
        <v>——</v>
      </c>
      <c r="Q8" s="803"/>
      <c r="R8" s="76">
        <f ca="1">SUMIF('数据-汇总表'!C$19:C$33,A8,'数据-汇总表'!R$19:R$27)</f>
        <v>0</v>
      </c>
      <c r="S8" s="54">
        <f>IF('数据-汇总表'!$I$17="按面积比例",SUMIF('数据-汇总表'!C$19:C$33,A8,'数据-汇总表'!K$19:K$33),SUMIF('数据-汇总表'!C$19:C$33,A8,'数据-汇总表'!N$19:N$33))</f>
        <v>0</v>
      </c>
      <c r="T8" s="1439">
        <f t="shared" si="5"/>
        <v>0</v>
      </c>
      <c r="U8" s="804"/>
      <c r="V8" s="805"/>
      <c r="W8" s="805"/>
      <c r="X8" s="1257"/>
      <c r="Y8" s="806"/>
      <c r="Z8" s="80"/>
      <c r="AA8" s="73"/>
      <c r="AB8" s="73"/>
      <c r="AC8" s="1257"/>
      <c r="AD8" s="81"/>
      <c r="AE8" s="1258">
        <f t="shared" ca="1" si="6"/>
        <v>0</v>
      </c>
      <c r="AF8" s="1792"/>
      <c r="AG8" s="146">
        <f t="shared" si="7"/>
        <v>0</v>
      </c>
      <c r="AH8" s="807"/>
      <c r="AI8" s="84"/>
      <c r="AJ8" s="85"/>
      <c r="AK8" s="808"/>
      <c r="AL8" s="809"/>
      <c r="AM8" s="810"/>
      <c r="AN8" s="2295"/>
      <c r="AO8" s="55" t="e">
        <f t="shared" ca="1" si="8"/>
        <v>#REF!</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18" customFormat="1" ht="14.25">
      <c r="A9" s="2292">
        <f>'数据-汇总表'!C22</f>
        <v>0</v>
      </c>
      <c r="B9" s="2293" t="str">
        <f t="shared" si="1"/>
        <v/>
      </c>
      <c r="C9" s="2294"/>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792"/>
      <c r="AG9" s="146">
        <f t="shared" si="7"/>
        <v>0</v>
      </c>
      <c r="AH9" s="82"/>
      <c r="AI9" s="84"/>
      <c r="AJ9" s="85"/>
      <c r="AK9" s="86"/>
      <c r="AL9" s="87"/>
      <c r="AM9" s="88"/>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18" customFormat="1" ht="14.25">
      <c r="A10" s="2292">
        <f>'数据-汇总表'!C23</f>
        <v>0</v>
      </c>
      <c r="B10" s="2293" t="str">
        <f t="shared" si="1"/>
        <v/>
      </c>
      <c r="C10" s="2294"/>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792"/>
      <c r="AG10" s="146">
        <f t="shared" si="7"/>
        <v>0</v>
      </c>
      <c r="AH10" s="82"/>
      <c r="AI10" s="84"/>
      <c r="AJ10" s="85"/>
      <c r="AK10" s="86"/>
      <c r="AL10" s="87"/>
      <c r="AM10" s="88"/>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18" customFormat="1" ht="14.25">
      <c r="A11" s="2292">
        <f>'数据-汇总表'!C24</f>
        <v>0</v>
      </c>
      <c r="B11" s="2293" t="str">
        <f t="shared" si="1"/>
        <v/>
      </c>
      <c r="C11" s="2294"/>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792"/>
      <c r="AG11" s="146">
        <f t="shared" si="7"/>
        <v>0</v>
      </c>
      <c r="AH11" s="82"/>
      <c r="AI11" s="84"/>
      <c r="AJ11" s="85"/>
      <c r="AK11" s="93"/>
      <c r="AL11" s="94"/>
      <c r="AM11" s="95"/>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18" customFormat="1" ht="14.25">
      <c r="A12" s="2292">
        <f>'数据-汇总表'!C25</f>
        <v>0</v>
      </c>
      <c r="B12" s="2293" t="str">
        <f t="shared" si="1"/>
        <v/>
      </c>
      <c r="C12" s="2294"/>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792"/>
      <c r="AG12" s="146">
        <f t="shared" si="7"/>
        <v>0</v>
      </c>
      <c r="AH12" s="82"/>
      <c r="AI12" s="84"/>
      <c r="AJ12" s="85"/>
      <c r="AK12" s="93"/>
      <c r="AL12" s="94"/>
      <c r="AM12" s="95"/>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18" customFormat="1" ht="14.25">
      <c r="A13" s="2292">
        <f>'数据-汇总表'!C26</f>
        <v>0</v>
      </c>
      <c r="B13" s="2293" t="str">
        <f t="shared" si="1"/>
        <v/>
      </c>
      <c r="C13" s="2294"/>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792"/>
      <c r="AG13" s="146">
        <f t="shared" si="7"/>
        <v>0</v>
      </c>
      <c r="AH13" s="82"/>
      <c r="AI13" s="84"/>
      <c r="AJ13" s="85"/>
      <c r="AK13" s="86"/>
      <c r="AL13" s="87"/>
      <c r="AM13" s="88"/>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18" customFormat="1" ht="14.25">
      <c r="A14" s="2297" t="s">
        <v>2008</v>
      </c>
      <c r="B14" s="2293" t="s">
        <v>2009</v>
      </c>
      <c r="C14" s="2298" t="s">
        <v>2008</v>
      </c>
      <c r="D14" s="1050"/>
      <c r="E14" s="1047"/>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4"/>
      <c r="T14" s="1439"/>
      <c r="U14" s="722"/>
      <c r="V14" s="1252"/>
      <c r="W14" s="1252"/>
      <c r="X14" s="1253"/>
      <c r="Y14" s="1254"/>
      <c r="Z14" s="1255"/>
      <c r="AA14" s="1256"/>
      <c r="AB14" s="1256"/>
      <c r="AC14" s="1257"/>
      <c r="AD14" s="1253"/>
      <c r="AE14" s="1258"/>
      <c r="AF14" s="55"/>
      <c r="AG14" s="146"/>
      <c r="AH14" s="1258"/>
      <c r="AI14" s="1803"/>
      <c r="AJ14" s="772"/>
      <c r="AK14" s="1259"/>
      <c r="AL14" s="1260"/>
      <c r="AM14" s="1261"/>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18" customFormat="1" ht="27">
      <c r="A15" s="2297" t="s">
        <v>2010</v>
      </c>
      <c r="B15" s="2293" t="s">
        <v>2009</v>
      </c>
      <c r="C15" s="2298" t="s">
        <v>2011</v>
      </c>
      <c r="D15" s="1050"/>
      <c r="E15" s="1047"/>
      <c r="F15" s="71"/>
      <c r="G15" s="72"/>
      <c r="H15" s="1246"/>
      <c r="I15" s="1246"/>
      <c r="J15" s="1246"/>
      <c r="K15" s="1247">
        <f>SUMIF('数据-汇总表'!C$19:C$33,A15,'数据-汇总表'!E$19:E$33)</f>
        <v>0</v>
      </c>
      <c r="L15" s="1248"/>
      <c r="M15" s="74"/>
      <c r="N15" s="1249"/>
      <c r="O15" s="74"/>
      <c r="P15" s="75"/>
      <c r="Q15" s="1250"/>
      <c r="R15" s="76"/>
      <c r="S15" s="54"/>
      <c r="T15" s="1439"/>
      <c r="U15" s="722"/>
      <c r="V15" s="1252"/>
      <c r="W15" s="1252"/>
      <c r="X15" s="1253"/>
      <c r="Y15" s="1254"/>
      <c r="Z15" s="1255"/>
      <c r="AA15" s="1256"/>
      <c r="AB15" s="1256"/>
      <c r="AC15" s="1257"/>
      <c r="AD15" s="1253"/>
      <c r="AE15" s="1258"/>
      <c r="AF15" s="55"/>
      <c r="AG15" s="146"/>
      <c r="AH15" s="1258"/>
      <c r="AI15" s="1803"/>
      <c r="AJ15" s="772"/>
      <c r="AK15" s="1259"/>
      <c r="AL15" s="1260"/>
      <c r="AM15" s="1261"/>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18" customFormat="1" ht="15.75" thickBot="1">
      <c r="A16" s="2299" t="s">
        <v>2012</v>
      </c>
      <c r="B16" s="96"/>
      <c r="C16" s="1004"/>
      <c r="D16" s="2300"/>
      <c r="E16" s="96"/>
      <c r="F16" s="96"/>
      <c r="G16" s="97">
        <f>ROUND(SUMPRODUCT(G6:G13,K6:K13)/SUMPRODUCT((G6:G13&gt;0)*(K6:K13)),3)</f>
        <v>1</v>
      </c>
      <c r="H16" s="98">
        <f>ROUND(SUMPRODUCT(H6:H13,K6:K13)/SUMPRODUCT((H6:H13&gt;0)*(K6:K13)),3)</f>
        <v>0.04</v>
      </c>
      <c r="I16" s="99"/>
      <c r="J16" s="99"/>
      <c r="K16" s="100">
        <f>SUM(K6:K15)</f>
        <v>135636.54000000004</v>
      </c>
      <c r="L16" s="101">
        <f>ROUND(M16*10000/SUM(K6:K14),0)</f>
        <v>3000</v>
      </c>
      <c r="M16" s="101">
        <f>SUM(M6:M14)</f>
        <v>40691</v>
      </c>
      <c r="N16" s="102">
        <f>ROUND(SUMPRODUCT(M6:M14,N6:N14)/M16,3)</f>
        <v>1</v>
      </c>
      <c r="O16" s="101">
        <f>SUM(O6:O14)</f>
        <v>0</v>
      </c>
      <c r="P16" s="101">
        <f>SUM(P6:P14)</f>
        <v>0</v>
      </c>
      <c r="Q16" s="103">
        <f>ROUND(SUMPRODUCT(Q6:Q13,K6:K13)/SUMPRODUCT((Q6:Q13&gt;0)*(K6:K13)),2)</f>
        <v>0.1</v>
      </c>
      <c r="R16" s="1251">
        <f ca="1">SUM(R6:R13)</f>
        <v>45212.18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1"/>
      <c r="C17" s="1577"/>
      <c r="D17" s="2259"/>
      <c r="E17" s="225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2013</v>
      </c>
      <c r="B18" s="2266"/>
      <c r="C18" s="2263"/>
      <c r="D18" s="2264"/>
      <c r="E18" s="2263"/>
      <c r="F18" s="2263"/>
      <c r="G18" s="2263"/>
      <c r="H18" s="2263"/>
      <c r="I18" s="2263"/>
      <c r="J18" s="226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2" t="s">
        <v>2014</v>
      </c>
      <c r="B19" s="111">
        <v>0</v>
      </c>
      <c r="C19" s="2263" t="s">
        <v>2015</v>
      </c>
      <c r="D19" s="2264"/>
      <c r="E19" s="2263"/>
      <c r="F19" s="2263"/>
      <c r="G19" s="2263"/>
      <c r="H19" s="2263"/>
      <c r="I19" s="2263"/>
      <c r="J19" s="226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3" t="s">
        <v>2016</v>
      </c>
      <c r="B20" s="112">
        <v>1.5</v>
      </c>
      <c r="C20" s="2263" t="s">
        <v>2017</v>
      </c>
      <c r="D20" s="2264"/>
      <c r="E20" s="2263"/>
      <c r="F20" s="2263"/>
      <c r="G20" s="2263"/>
      <c r="H20" s="2263"/>
      <c r="I20" s="2263"/>
      <c r="J20" s="226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4" t="s">
        <v>2018</v>
      </c>
      <c r="B21" s="112">
        <v>1.5</v>
      </c>
      <c r="C21" s="2263"/>
      <c r="D21" s="2264"/>
      <c r="E21" s="2263"/>
      <c r="F21" s="2263"/>
      <c r="G21" s="2263"/>
      <c r="H21" s="2263"/>
      <c r="I21" s="2263"/>
      <c r="J21" s="226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3" t="s">
        <v>2019</v>
      </c>
      <c r="B22" s="113">
        <f>B19+B20</f>
        <v>1.5</v>
      </c>
      <c r="C22" s="2263"/>
      <c r="D22" s="2264"/>
      <c r="E22" s="2263"/>
      <c r="F22" s="2263"/>
      <c r="G22" s="2263"/>
      <c r="H22" s="2263"/>
      <c r="I22" s="2263"/>
      <c r="J22" s="226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4" t="s">
        <v>2020</v>
      </c>
      <c r="B23" s="113">
        <f>B19+B21</f>
        <v>1.5</v>
      </c>
      <c r="C23" s="2263"/>
      <c r="D23" s="2264"/>
      <c r="E23" s="2263"/>
      <c r="F23" s="2263"/>
      <c r="G23" s="2263"/>
      <c r="H23" s="2263"/>
      <c r="I23" s="2263"/>
      <c r="J23" s="226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5" t="s">
        <v>2021</v>
      </c>
      <c r="B24" s="114">
        <f>B20-B21</f>
        <v>0</v>
      </c>
      <c r="C24" s="2263"/>
      <c r="D24" s="2264"/>
      <c r="E24" s="2263"/>
      <c r="F24" s="2263"/>
      <c r="G24" s="2263"/>
      <c r="H24" s="2263"/>
      <c r="I24" s="2263"/>
      <c r="J24" s="226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16"/>
      <c r="B25" s="2266"/>
      <c r="C25" s="2263"/>
      <c r="D25" s="2264"/>
      <c r="E25" s="2263"/>
      <c r="F25" s="2263"/>
      <c r="G25" s="2263"/>
      <c r="H25" s="2263"/>
      <c r="I25" s="2263"/>
      <c r="J25" s="226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2" t="s">
        <v>2022</v>
      </c>
      <c r="B26" s="2306" t="s">
        <v>2023</v>
      </c>
      <c r="C26" s="2307" t="s">
        <v>2024</v>
      </c>
      <c r="D26" s="2264"/>
      <c r="E26" s="2263"/>
      <c r="F26" s="2263"/>
      <c r="G26" s="2263"/>
      <c r="H26" s="2263"/>
      <c r="I26" s="2263"/>
      <c r="J26" s="226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0" customFormat="1" ht="27.75">
      <c r="A27" s="2308" t="s">
        <v>2025</v>
      </c>
      <c r="B27" s="115">
        <v>160</v>
      </c>
      <c r="C27" s="1752" t="s">
        <v>2026</v>
      </c>
      <c r="D27" s="2309"/>
      <c r="E27" s="1423"/>
      <c r="F27" s="1423"/>
      <c r="G27" s="2263"/>
      <c r="H27" s="2263"/>
      <c r="I27" s="2263"/>
      <c r="J27" s="226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0" customFormat="1" ht="27.75">
      <c r="A28" s="2311" t="s">
        <v>2027</v>
      </c>
      <c r="B28" s="118">
        <v>200</v>
      </c>
      <c r="C28" s="2312"/>
      <c r="D28" s="2309"/>
      <c r="E28" s="1423"/>
      <c r="F28" s="1423"/>
      <c r="G28" s="2263"/>
      <c r="H28" s="2263"/>
      <c r="I28" s="2263"/>
      <c r="J28" s="226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0" customFormat="1" ht="28.5" thickBot="1">
      <c r="A29" s="2313" t="s">
        <v>2028</v>
      </c>
      <c r="B29" s="120">
        <v>200</v>
      </c>
      <c r="C29" s="1752" t="s">
        <v>2029</v>
      </c>
      <c r="D29" s="2309"/>
      <c r="E29" s="1423"/>
      <c r="F29" s="1423"/>
      <c r="G29" s="2263"/>
      <c r="H29" s="2263"/>
      <c r="I29" s="2263"/>
      <c r="J29" s="226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0" customFormat="1" ht="27">
      <c r="A30" s="2314" t="s">
        <v>2030</v>
      </c>
      <c r="B30" s="723">
        <v>200</v>
      </c>
      <c r="C30" s="2312"/>
      <c r="D30" s="2309"/>
      <c r="E30" s="1423"/>
      <c r="F30" s="1423"/>
      <c r="G30" s="2263"/>
      <c r="H30" s="2263"/>
      <c r="I30" s="2263"/>
      <c r="J30" s="226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0" customFormat="1" ht="27">
      <c r="A31" s="2311" t="s">
        <v>2031</v>
      </c>
      <c r="B31" s="119">
        <f>B30-B32</f>
        <v>200</v>
      </c>
      <c r="C31" s="1752"/>
      <c r="D31" s="2309"/>
      <c r="E31" s="1423"/>
      <c r="F31" s="1423"/>
      <c r="G31" s="2263"/>
      <c r="H31" s="2263"/>
      <c r="I31" s="2263"/>
      <c r="J31" s="226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0" customFormat="1" ht="27.75" thickBot="1">
      <c r="A32" s="2315" t="s">
        <v>2032</v>
      </c>
      <c r="B32" s="724">
        <v>0</v>
      </c>
      <c r="C32" s="2312"/>
      <c r="D32" s="2264"/>
      <c r="E32" s="2263"/>
      <c r="F32" s="2263"/>
      <c r="G32" s="2263"/>
      <c r="H32" s="2263"/>
      <c r="I32" s="2263"/>
      <c r="J32" s="226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0" customFormat="1" ht="14.25">
      <c r="A33" s="2308" t="s">
        <v>2033</v>
      </c>
      <c r="B33" s="725">
        <v>0.03</v>
      </c>
      <c r="C33" s="1751" t="s">
        <v>2034</v>
      </c>
      <c r="D33" s="2264"/>
      <c r="E33" s="2263"/>
      <c r="F33" s="2263"/>
      <c r="G33" s="2263"/>
      <c r="H33" s="2263"/>
      <c r="I33" s="2263"/>
      <c r="J33" s="226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0" customFormat="1" ht="14.25">
      <c r="A34" s="2311" t="s">
        <v>2035</v>
      </c>
      <c r="B34" s="121">
        <v>0.05</v>
      </c>
      <c r="C34" s="1751" t="s">
        <v>2036</v>
      </c>
      <c r="D34" s="2264" t="s">
        <v>2037</v>
      </c>
      <c r="E34" s="731"/>
      <c r="F34" s="2263"/>
      <c r="G34" s="2263"/>
      <c r="H34" s="2263"/>
      <c r="I34" s="2263"/>
      <c r="J34" s="226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0" customFormat="1" ht="14.25">
      <c r="A35" s="2311" t="s">
        <v>2038</v>
      </c>
      <c r="B35" s="118">
        <v>200</v>
      </c>
      <c r="C35" s="1751" t="s">
        <v>2039</v>
      </c>
      <c r="D35" s="2309"/>
      <c r="E35" s="1423"/>
      <c r="F35" s="1423"/>
      <c r="G35" s="2263"/>
      <c r="H35" s="2263"/>
      <c r="I35" s="2263"/>
      <c r="J35" s="226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3" t="s">
        <v>2040</v>
      </c>
      <c r="B36" s="122">
        <v>1.4999999999999999E-2</v>
      </c>
      <c r="C36" s="1751" t="s">
        <v>2041</v>
      </c>
      <c r="D36" s="2264"/>
      <c r="E36" s="2263"/>
      <c r="F36" s="2263"/>
      <c r="G36" s="2263"/>
      <c r="H36" s="2263"/>
      <c r="I36" s="2263"/>
      <c r="J36" s="226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4" t="s">
        <v>2042</v>
      </c>
      <c r="B37" s="123">
        <v>0.02</v>
      </c>
      <c r="C37" s="1751" t="s">
        <v>2043</v>
      </c>
      <c r="D37" s="2264"/>
      <c r="E37" s="2263"/>
      <c r="F37" s="2263"/>
      <c r="G37" s="2263"/>
      <c r="H37" s="2263"/>
      <c r="I37" s="2263"/>
      <c r="J37" s="226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1" t="s">
        <v>2044</v>
      </c>
      <c r="B38" s="121">
        <v>0.02</v>
      </c>
      <c r="C38" s="1751" t="s">
        <v>2043</v>
      </c>
      <c r="D38" s="2264"/>
      <c r="E38" s="2263"/>
      <c r="F38" s="2263"/>
      <c r="G38" s="2263"/>
      <c r="H38" s="2263"/>
      <c r="I38" s="2263"/>
      <c r="J38" s="226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5" t="s">
        <v>2045</v>
      </c>
      <c r="B39" s="361">
        <f ca="1">存贷款利率!I1</f>
        <v>1.4999999999999999E-2</v>
      </c>
      <c r="C39" s="1751"/>
      <c r="D39" s="2264"/>
      <c r="E39" s="2263"/>
      <c r="F39" s="2263"/>
      <c r="G39" s="2263"/>
      <c r="H39" s="2263"/>
      <c r="I39" s="2263"/>
      <c r="J39" s="226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5" t="s">
        <v>2046</v>
      </c>
      <c r="B40" s="1296">
        <f ca="1">存贷款利率!G1</f>
        <v>4.7500000000000001E-2</v>
      </c>
      <c r="C40" s="1751" t="s">
        <v>2047</v>
      </c>
      <c r="D40" s="1577"/>
      <c r="E40" s="2264"/>
      <c r="F40" s="2263"/>
      <c r="G40" s="2263"/>
      <c r="H40" s="2263"/>
      <c r="I40" s="2263"/>
      <c r="J40" s="226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08" t="s">
        <v>2048</v>
      </c>
      <c r="B41" s="124">
        <f>B42+B43</f>
        <v>5.6000000000000001E-2</v>
      </c>
      <c r="C41" s="1752"/>
      <c r="D41" s="1577"/>
      <c r="E41" s="2264"/>
      <c r="F41" s="2263"/>
      <c r="G41" s="2263"/>
      <c r="H41" s="2263"/>
      <c r="I41" s="2263"/>
      <c r="J41" s="226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16" t="s">
        <v>2049</v>
      </c>
      <c r="B42" s="125">
        <v>0.05</v>
      </c>
      <c r="C42" s="2317">
        <f>IF(B2&lt;DATE(2016,5,1),0,B42)</f>
        <v>0.05</v>
      </c>
      <c r="D42" s="2264"/>
      <c r="E42" s="2263"/>
      <c r="F42" s="2263"/>
      <c r="G42" s="2263"/>
      <c r="H42" s="2263"/>
      <c r="I42" s="2263"/>
      <c r="J42" s="226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16" t="s">
        <v>2050</v>
      </c>
      <c r="B43" s="126">
        <f>B42*(B44+B45+B46)+B47</f>
        <v>6.000000000000001E-3</v>
      </c>
      <c r="C43" s="1752"/>
      <c r="D43" s="2264"/>
      <c r="E43" s="2263"/>
      <c r="F43" s="2263"/>
      <c r="G43" s="2263"/>
      <c r="H43" s="2263"/>
      <c r="I43" s="2263"/>
      <c r="J43" s="226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18" t="s">
        <v>2051</v>
      </c>
      <c r="B44" s="127">
        <v>7.0000000000000007E-2</v>
      </c>
      <c r="C44" s="1751" t="s">
        <v>2052</v>
      </c>
      <c r="D44" s="2264"/>
      <c r="E44" s="2263"/>
      <c r="F44" s="2263"/>
      <c r="G44" s="2263"/>
      <c r="H44" s="2263"/>
      <c r="I44" s="2263"/>
      <c r="J44" s="226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18" t="s">
        <v>2053</v>
      </c>
      <c r="B45" s="125">
        <v>0.03</v>
      </c>
      <c r="C45" s="1752" t="s">
        <v>2054</v>
      </c>
      <c r="D45" s="2264"/>
      <c r="E45" s="2263"/>
      <c r="F45" s="2263"/>
      <c r="G45" s="2263"/>
      <c r="H45" s="2263"/>
      <c r="I45" s="2263"/>
      <c r="J45" s="226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18" t="s">
        <v>2055</v>
      </c>
      <c r="B46" s="125">
        <v>0.02</v>
      </c>
      <c r="C46" s="1752" t="s">
        <v>2056</v>
      </c>
      <c r="D46" s="2264"/>
      <c r="E46" s="2263"/>
      <c r="F46" s="2263"/>
      <c r="G46" s="2263"/>
      <c r="H46" s="2263"/>
      <c r="I46" s="2263"/>
      <c r="J46" s="226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19" t="s">
        <v>2057</v>
      </c>
      <c r="B47" s="128"/>
      <c r="C47" s="1752" t="s">
        <v>2058</v>
      </c>
      <c r="D47" s="2264"/>
      <c r="E47" s="2263"/>
      <c r="F47" s="2263"/>
      <c r="G47" s="2263"/>
      <c r="H47" s="2263"/>
      <c r="I47" s="2263"/>
      <c r="J47" s="226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0" t="s">
        <v>2059</v>
      </c>
      <c r="B48" s="129">
        <v>0.03</v>
      </c>
      <c r="C48" s="1759" t="s">
        <v>2060</v>
      </c>
      <c r="D48" s="2264"/>
      <c r="E48" s="2263"/>
      <c r="F48" s="2263"/>
      <c r="G48" s="2263"/>
      <c r="H48" s="2263"/>
      <c r="I48" s="2263"/>
      <c r="J48" s="226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5" t="s">
        <v>2061</v>
      </c>
      <c r="B49" s="125">
        <v>5.0000000000000001E-4</v>
      </c>
      <c r="C49" s="1759" t="s">
        <v>2062</v>
      </c>
      <c r="D49" s="2264"/>
      <c r="E49" s="2263"/>
      <c r="F49" s="2263"/>
      <c r="G49" s="2263"/>
      <c r="H49" s="2263"/>
      <c r="I49" s="2263"/>
      <c r="J49" s="226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1" t="s">
        <v>2063</v>
      </c>
      <c r="B50" s="130">
        <v>1.2E-2</v>
      </c>
      <c r="C50" s="1423"/>
      <c r="D50" s="2264"/>
      <c r="E50" s="2263"/>
      <c r="F50" s="2263"/>
      <c r="G50" s="2263"/>
      <c r="H50" s="2263"/>
      <c r="I50" s="2263"/>
      <c r="J50" s="226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3" t="s">
        <v>2064</v>
      </c>
      <c r="B51" s="131">
        <v>0.12</v>
      </c>
      <c r="C51" s="1423"/>
      <c r="D51" s="2264"/>
      <c r="E51" s="2263"/>
      <c r="F51" s="2263"/>
      <c r="G51" s="2263"/>
      <c r="H51" s="2263"/>
      <c r="I51" s="2263"/>
      <c r="J51" s="226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1" t="s">
        <v>2065</v>
      </c>
      <c r="B52" s="132">
        <f>SUMIF(A54:A63,B53,B54:B63)</f>
        <v>1.5</v>
      </c>
      <c r="C52" s="1423"/>
      <c r="D52" s="2264"/>
      <c r="E52" s="2263"/>
      <c r="F52" s="2263"/>
      <c r="G52" s="2263"/>
      <c r="H52" s="2263"/>
      <c r="I52" s="2263"/>
      <c r="J52" s="226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1" t="s">
        <v>2066</v>
      </c>
      <c r="B53" s="2322" t="s">
        <v>56</v>
      </c>
      <c r="C53" s="1423" t="s">
        <v>2067</v>
      </c>
      <c r="D53" s="2323" t="s">
        <v>2068</v>
      </c>
      <c r="E53" s="2263"/>
      <c r="F53" s="2263"/>
      <c r="G53" s="2263"/>
      <c r="H53" s="2263"/>
      <c r="I53" s="2263"/>
      <c r="J53" s="226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4" t="s">
        <v>2069</v>
      </c>
      <c r="B54" s="83"/>
      <c r="C54" s="1423">
        <v>30</v>
      </c>
      <c r="D54" s="2264"/>
      <c r="E54" s="2263"/>
      <c r="F54" s="2263"/>
      <c r="G54" s="2263"/>
      <c r="H54" s="2263"/>
      <c r="I54" s="2263"/>
      <c r="J54" s="226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4" t="s">
        <v>2070</v>
      </c>
      <c r="B55" s="83"/>
      <c r="C55" s="1423">
        <v>24</v>
      </c>
      <c r="D55" s="2264"/>
      <c r="E55" s="2263"/>
      <c r="F55" s="2263"/>
      <c r="G55" s="2263"/>
      <c r="H55" s="2263"/>
      <c r="I55" s="2325"/>
      <c r="J55" s="226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4" t="s">
        <v>2071</v>
      </c>
      <c r="B56" s="83"/>
      <c r="C56" s="1423">
        <v>18</v>
      </c>
      <c r="D56" s="2264"/>
      <c r="E56" s="2263"/>
      <c r="F56" s="2263"/>
      <c r="G56" s="2263"/>
      <c r="H56" s="2263"/>
      <c r="I56" s="2263"/>
      <c r="J56" s="226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4" t="s">
        <v>2072</v>
      </c>
      <c r="B57" s="83"/>
      <c r="C57" s="1423">
        <v>12</v>
      </c>
      <c r="D57" s="2264"/>
      <c r="E57" s="2263"/>
      <c r="F57" s="2263"/>
      <c r="G57" s="2263"/>
      <c r="H57" s="2263"/>
      <c r="I57" s="2263"/>
      <c r="J57" s="226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4" t="s">
        <v>2073</v>
      </c>
      <c r="B58" s="83"/>
      <c r="C58" s="1423">
        <v>3</v>
      </c>
      <c r="D58" s="2264"/>
      <c r="E58" s="2263"/>
      <c r="F58" s="2263"/>
      <c r="G58" s="2263"/>
      <c r="H58" s="2263"/>
      <c r="I58" s="2263"/>
      <c r="J58" s="226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4" t="s">
        <v>2074</v>
      </c>
      <c r="B59" s="83">
        <v>1.5</v>
      </c>
      <c r="C59" s="1423">
        <v>1.5</v>
      </c>
      <c r="D59" s="2264"/>
      <c r="E59" s="2263"/>
      <c r="F59" s="2263"/>
      <c r="G59" s="2263"/>
      <c r="H59" s="2263"/>
      <c r="I59" s="2263"/>
      <c r="J59" s="226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4" t="s">
        <v>2075</v>
      </c>
      <c r="B60" s="83"/>
      <c r="C60" s="2263"/>
      <c r="D60" s="2264"/>
      <c r="E60" s="2263"/>
      <c r="F60" s="2263"/>
      <c r="G60" s="2263"/>
      <c r="H60" s="2263"/>
      <c r="I60" s="2263"/>
      <c r="J60" s="226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4" t="s">
        <v>2076</v>
      </c>
      <c r="B61" s="83"/>
      <c r="C61" s="2263"/>
      <c r="D61" s="2264"/>
      <c r="E61" s="2263"/>
      <c r="F61" s="2263"/>
      <c r="G61" s="2263"/>
      <c r="H61" s="2263"/>
      <c r="I61" s="2263"/>
      <c r="J61" s="226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4" t="s">
        <v>2077</v>
      </c>
      <c r="B62" s="83"/>
      <c r="C62" s="2263"/>
      <c r="D62" s="2264"/>
      <c r="E62" s="2263"/>
      <c r="F62" s="2263"/>
      <c r="G62" s="2263"/>
      <c r="H62" s="2263"/>
      <c r="I62" s="2263"/>
      <c r="J62" s="226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6" t="s">
        <v>2078</v>
      </c>
      <c r="B63" s="133"/>
      <c r="C63" s="2263"/>
      <c r="D63" s="2264"/>
      <c r="E63" s="2263"/>
      <c r="F63" s="2263"/>
      <c r="G63" s="2263"/>
      <c r="H63" s="2263"/>
      <c r="I63" s="2263"/>
      <c r="J63" s="226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3" customFormat="1">
      <c r="A64" s="2327"/>
      <c r="D64" s="2328"/>
      <c r="K64" s="797"/>
      <c r="L64" s="797"/>
    </row>
    <row r="65" spans="1:12" s="963" customFormat="1">
      <c r="A65" s="2327"/>
      <c r="D65" s="2328"/>
      <c r="K65" s="797"/>
      <c r="L65" s="797"/>
    </row>
    <row r="66" spans="1:12" s="963" customFormat="1">
      <c r="A66" s="2327"/>
      <c r="D66" s="2328"/>
      <c r="K66" s="797"/>
      <c r="L66" s="797"/>
    </row>
    <row r="67" spans="1:12" s="963" customFormat="1">
      <c r="A67" s="2327"/>
      <c r="D67" s="2328"/>
      <c r="K67" s="797"/>
      <c r="L67" s="797"/>
    </row>
    <row r="68" spans="1:12" s="963" customFormat="1">
      <c r="A68" s="2327"/>
      <c r="D68" s="2328"/>
      <c r="K68" s="797"/>
      <c r="L68" s="797"/>
    </row>
    <row r="69" spans="1:12" s="963" customFormat="1">
      <c r="A69" s="2327"/>
      <c r="D69" s="2328"/>
      <c r="K69" s="797"/>
      <c r="L69" s="797"/>
    </row>
    <row r="70" spans="1:12" s="963" customFormat="1">
      <c r="A70" s="2327"/>
      <c r="D70" s="2328"/>
      <c r="K70" s="797"/>
      <c r="L70" s="797"/>
    </row>
    <row r="71" spans="1:12" s="963" customFormat="1">
      <c r="A71" s="2327"/>
      <c r="D71" s="2328"/>
      <c r="K71" s="797"/>
      <c r="L71" s="797"/>
    </row>
    <row r="72" spans="1:12" s="963" customFormat="1">
      <c r="A72" s="2327"/>
      <c r="D72" s="2328"/>
      <c r="K72" s="797"/>
      <c r="L72" s="797"/>
    </row>
    <row r="73" spans="1:12" s="963" customFormat="1">
      <c r="A73" s="2327"/>
      <c r="D73" s="2328"/>
      <c r="K73" s="797"/>
      <c r="L73" s="797"/>
    </row>
    <row r="74" spans="1:12" s="963" customFormat="1">
      <c r="A74" s="2327"/>
      <c r="D74" s="2328"/>
      <c r="K74" s="797"/>
      <c r="L74" s="797"/>
    </row>
    <row r="75" spans="1:12" s="963" customFormat="1">
      <c r="A75" s="2327"/>
      <c r="D75" s="2328"/>
      <c r="K75" s="797"/>
      <c r="L75" s="797"/>
    </row>
    <row r="76" spans="1:12" s="963" customFormat="1">
      <c r="A76" s="2327"/>
      <c r="D76" s="2328"/>
      <c r="K76" s="797"/>
      <c r="L76" s="797"/>
    </row>
    <row r="77" spans="1:12" s="963" customFormat="1">
      <c r="A77" s="2327"/>
      <c r="D77" s="2328"/>
      <c r="K77" s="797"/>
      <c r="L77" s="797"/>
    </row>
    <row r="78" spans="1:12" s="963" customFormat="1">
      <c r="A78" s="2327"/>
      <c r="D78" s="2328"/>
      <c r="K78" s="797"/>
      <c r="L78" s="797"/>
    </row>
    <row r="79" spans="1:12" s="963" customFormat="1">
      <c r="A79" s="2327"/>
      <c r="D79" s="2328"/>
      <c r="K79" s="797"/>
      <c r="L79" s="797"/>
    </row>
    <row r="80" spans="1:12" s="963" customFormat="1">
      <c r="A80" s="2327"/>
      <c r="D80" s="2328"/>
      <c r="K80" s="797"/>
      <c r="L80" s="797"/>
    </row>
    <row r="81" spans="1:12" s="963" customFormat="1">
      <c r="A81" s="2327"/>
      <c r="D81" s="2328"/>
      <c r="K81" s="797"/>
      <c r="L81" s="797"/>
    </row>
    <row r="82" spans="1:12" s="963" customFormat="1">
      <c r="A82" s="2327"/>
      <c r="D82" s="2328"/>
      <c r="K82" s="797"/>
      <c r="L82" s="797"/>
    </row>
    <row r="83" spans="1:12" s="963" customFormat="1">
      <c r="A83" s="2327"/>
      <c r="D83" s="2328"/>
      <c r="K83" s="797"/>
      <c r="L83" s="797"/>
    </row>
    <row r="84" spans="1:12" s="963" customFormat="1">
      <c r="A84" s="2327"/>
      <c r="D84" s="2328"/>
      <c r="K84" s="797"/>
      <c r="L84" s="797"/>
    </row>
    <row r="85" spans="1:12" s="963" customFormat="1">
      <c r="A85" s="2327"/>
      <c r="D85" s="2328"/>
      <c r="K85" s="797"/>
      <c r="L85" s="797"/>
    </row>
    <row r="86" spans="1:12" s="963" customFormat="1">
      <c r="A86" s="2327"/>
      <c r="D86" s="2328"/>
      <c r="K86" s="797"/>
      <c r="L86" s="797"/>
    </row>
    <row r="87" spans="1:12" s="963" customFormat="1">
      <c r="A87" s="2327"/>
      <c r="D87" s="2328"/>
      <c r="K87" s="797"/>
      <c r="L87" s="797"/>
    </row>
    <row r="88" spans="1:12" s="963" customFormat="1">
      <c r="A88" s="2327"/>
      <c r="D88" s="2328"/>
      <c r="K88" s="797"/>
      <c r="L88" s="797"/>
    </row>
    <row r="89" spans="1:12" s="963" customFormat="1">
      <c r="A89" s="2327"/>
      <c r="D89" s="2328"/>
      <c r="K89" s="797"/>
      <c r="L89" s="797"/>
    </row>
    <row r="90" spans="1:12" s="963" customFormat="1">
      <c r="A90" s="2327"/>
      <c r="D90" s="2328"/>
      <c r="K90" s="797"/>
      <c r="L90" s="797"/>
    </row>
    <row r="91" spans="1:12" s="963" customFormat="1">
      <c r="A91" s="2327"/>
      <c r="D91" s="2328"/>
      <c r="K91" s="797"/>
      <c r="L91" s="797"/>
    </row>
    <row r="92" spans="1:12" s="963" customFormat="1">
      <c r="A92" s="2327"/>
      <c r="D92" s="2328"/>
      <c r="K92" s="797"/>
      <c r="L92" s="797"/>
    </row>
    <row r="93" spans="1:12" s="963" customFormat="1">
      <c r="A93" s="2327"/>
      <c r="D93" s="2328"/>
      <c r="K93" s="797"/>
      <c r="L93" s="797"/>
    </row>
    <row r="94" spans="1:12" s="963" customFormat="1">
      <c r="A94" s="2327"/>
      <c r="D94" s="2328"/>
      <c r="K94" s="797"/>
      <c r="L94" s="797"/>
    </row>
    <row r="95" spans="1:12" s="963" customFormat="1">
      <c r="A95" s="2327"/>
      <c r="D95" s="2328"/>
      <c r="K95" s="797"/>
      <c r="L95" s="797"/>
    </row>
    <row r="96" spans="1:12" s="963" customFormat="1">
      <c r="A96" s="2327"/>
      <c r="D96" s="2328"/>
      <c r="K96" s="797"/>
      <c r="L96" s="797"/>
    </row>
    <row r="97" spans="1:12" s="963" customFormat="1">
      <c r="A97" s="2327"/>
      <c r="D97" s="2328"/>
      <c r="K97" s="797"/>
      <c r="L97" s="797"/>
    </row>
    <row r="98" spans="1:12" s="963" customFormat="1">
      <c r="A98" s="2327"/>
      <c r="D98" s="2328"/>
      <c r="K98" s="797"/>
      <c r="L98" s="797"/>
    </row>
    <row r="99" spans="1:12" s="963" customFormat="1">
      <c r="A99" s="2327"/>
      <c r="D99" s="2328"/>
      <c r="K99" s="797"/>
      <c r="L99" s="797"/>
    </row>
    <row r="100" spans="1:12" s="963" customFormat="1">
      <c r="A100" s="2327"/>
      <c r="D100" s="2328"/>
      <c r="K100" s="797"/>
      <c r="L100" s="797"/>
    </row>
    <row r="101" spans="1:12" s="963" customFormat="1">
      <c r="A101" s="2327"/>
      <c r="D101" s="2328"/>
      <c r="K101" s="797"/>
      <c r="L101" s="797"/>
    </row>
    <row r="102" spans="1:12" s="963" customFormat="1">
      <c r="A102" s="2327"/>
      <c r="D102" s="2328"/>
      <c r="K102" s="797"/>
      <c r="L102" s="797"/>
    </row>
    <row r="103" spans="1:12" s="963" customFormat="1">
      <c r="A103" s="2327"/>
      <c r="D103" s="2328"/>
      <c r="K103" s="797"/>
      <c r="L103" s="797"/>
    </row>
    <row r="104" spans="1:12" s="963" customFormat="1">
      <c r="A104" s="2327"/>
      <c r="D104" s="2328"/>
      <c r="K104" s="797"/>
      <c r="L104" s="797"/>
    </row>
    <row r="105" spans="1:12" s="963" customFormat="1">
      <c r="A105" s="2327"/>
      <c r="D105" s="2328"/>
      <c r="K105" s="797"/>
      <c r="L105" s="797"/>
    </row>
    <row r="106" spans="1:12" s="963" customFormat="1">
      <c r="A106" s="2327"/>
      <c r="D106" s="2328"/>
      <c r="K106" s="797"/>
      <c r="L106" s="797"/>
    </row>
    <row r="107" spans="1:12" s="963" customFormat="1">
      <c r="A107" s="2327"/>
      <c r="D107" s="2328"/>
      <c r="K107" s="797"/>
      <c r="L107" s="797"/>
    </row>
    <row r="108" spans="1:12" s="963" customFormat="1">
      <c r="A108" s="2327"/>
      <c r="D108" s="2328"/>
      <c r="K108" s="797"/>
      <c r="L108" s="797"/>
    </row>
    <row r="109" spans="1:12" s="963" customFormat="1">
      <c r="A109" s="2327"/>
      <c r="D109" s="2328"/>
      <c r="K109" s="797"/>
      <c r="L109" s="797"/>
    </row>
    <row r="110" spans="1:12" s="963" customFormat="1">
      <c r="A110" s="2327"/>
      <c r="D110" s="2328"/>
      <c r="K110" s="797"/>
      <c r="L110" s="797"/>
    </row>
    <row r="111" spans="1:12" s="963" customFormat="1">
      <c r="A111" s="2327"/>
      <c r="D111" s="2328"/>
      <c r="K111" s="797"/>
      <c r="L111" s="797"/>
    </row>
    <row r="112" spans="1:12" s="963" customFormat="1">
      <c r="A112" s="2327"/>
      <c r="D112" s="2328"/>
      <c r="K112" s="797"/>
      <c r="L112" s="797"/>
    </row>
    <row r="113" spans="1:12" s="963" customFormat="1">
      <c r="A113" s="2327"/>
      <c r="D113" s="2328"/>
      <c r="K113" s="797"/>
      <c r="L113" s="797"/>
    </row>
    <row r="114" spans="1:12" s="963" customFormat="1">
      <c r="A114" s="2327"/>
      <c r="D114" s="2328"/>
      <c r="K114" s="797"/>
      <c r="L114" s="797"/>
    </row>
    <row r="115" spans="1:12" s="963" customFormat="1">
      <c r="A115" s="2327"/>
      <c r="D115" s="2328"/>
      <c r="K115" s="797"/>
      <c r="L115" s="797"/>
    </row>
    <row r="116" spans="1:12" s="963" customFormat="1">
      <c r="A116" s="2327"/>
      <c r="D116" s="2328"/>
      <c r="K116" s="797"/>
      <c r="L116" s="797"/>
    </row>
    <row r="117" spans="1:12" s="963" customFormat="1">
      <c r="A117" s="2327"/>
      <c r="D117" s="2328"/>
      <c r="K117" s="797"/>
      <c r="L117" s="797"/>
    </row>
    <row r="118" spans="1:12" s="963" customFormat="1">
      <c r="A118" s="2327"/>
      <c r="D118" s="2328"/>
      <c r="K118" s="797"/>
      <c r="L118" s="797"/>
    </row>
    <row r="119" spans="1:12" s="963" customFormat="1">
      <c r="A119" s="2327"/>
      <c r="D119" s="2328"/>
      <c r="K119" s="797"/>
      <c r="L119" s="797"/>
    </row>
    <row r="120" spans="1:12" s="963" customFormat="1">
      <c r="A120" s="2327"/>
      <c r="D120" s="2328"/>
      <c r="K120" s="797"/>
      <c r="L120" s="797"/>
    </row>
    <row r="121" spans="1:12" s="963" customFormat="1">
      <c r="A121" s="2327"/>
      <c r="D121" s="2328"/>
      <c r="K121" s="797"/>
      <c r="L121" s="797"/>
    </row>
    <row r="122" spans="1:12" s="963" customFormat="1">
      <c r="A122" s="2327"/>
      <c r="D122" s="2328"/>
      <c r="K122" s="797"/>
      <c r="L122" s="797"/>
    </row>
    <row r="123" spans="1:12" s="963" customFormat="1">
      <c r="A123" s="2327"/>
      <c r="D123" s="2328"/>
      <c r="K123" s="797"/>
      <c r="L123" s="797"/>
    </row>
    <row r="124" spans="1:12" s="963" customFormat="1">
      <c r="A124" s="2327"/>
      <c r="D124" s="2328"/>
      <c r="K124" s="797"/>
      <c r="L124" s="797"/>
    </row>
    <row r="125" spans="1:12" s="963" customFormat="1">
      <c r="A125" s="2327"/>
      <c r="D125" s="2328"/>
      <c r="K125" s="797"/>
      <c r="L125" s="797"/>
    </row>
    <row r="126" spans="1:12" s="963" customFormat="1">
      <c r="A126" s="2327"/>
      <c r="D126" s="2328"/>
      <c r="K126" s="797"/>
      <c r="L126" s="797"/>
    </row>
    <row r="127" spans="1:12" s="963" customFormat="1">
      <c r="A127" s="2327"/>
      <c r="D127" s="2328"/>
      <c r="K127" s="797"/>
      <c r="L127" s="797"/>
    </row>
    <row r="128" spans="1:12" s="963" customFormat="1">
      <c r="A128" s="2327"/>
      <c r="D128" s="2328"/>
      <c r="K128" s="797"/>
      <c r="L128" s="797"/>
    </row>
    <row r="129" spans="1:12" s="963" customFormat="1">
      <c r="A129" s="2327"/>
      <c r="D129" s="2328"/>
      <c r="K129" s="797"/>
      <c r="L129" s="797"/>
    </row>
    <row r="130" spans="1:12" s="963" customFormat="1">
      <c r="A130" s="2327"/>
      <c r="D130" s="2328"/>
      <c r="K130" s="797"/>
      <c r="L130" s="797"/>
    </row>
    <row r="131" spans="1:12" s="963" customFormat="1">
      <c r="A131" s="2327"/>
      <c r="D131" s="2328"/>
      <c r="K131" s="797"/>
      <c r="L131" s="797"/>
    </row>
    <row r="132" spans="1:12" s="963" customFormat="1">
      <c r="A132" s="2327"/>
      <c r="D132" s="2328"/>
      <c r="K132" s="797"/>
      <c r="L132" s="797"/>
    </row>
    <row r="133" spans="1:12" s="963" customFormat="1">
      <c r="A133" s="2327"/>
      <c r="D133" s="2328"/>
      <c r="K133" s="797"/>
      <c r="L133" s="797"/>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5" tint="0.39997558519241921"/>
  </sheetPr>
  <dimension ref="A1:AF195"/>
  <sheetViews>
    <sheetView zoomScale="80" zoomScaleNormal="80" workbookViewId="0">
      <selection activeCell="N14" sqref="N14"/>
    </sheetView>
  </sheetViews>
  <sheetFormatPr defaultRowHeight="13.5"/>
  <cols>
    <col min="1" max="1" width="9" style="3018"/>
    <col min="2" max="2" width="5.625" style="3018" customWidth="1"/>
    <col min="3" max="3" width="8.75" style="3018" customWidth="1"/>
    <col min="4" max="4" width="5.375" style="3018" customWidth="1"/>
    <col min="5" max="5" width="6" style="3018" customWidth="1"/>
    <col min="6" max="6" width="9" style="3018"/>
    <col min="7" max="7" width="10.875" style="3018" customWidth="1"/>
    <col min="8" max="9" width="9" style="3018"/>
    <col min="10" max="10" width="13.125" style="3018" customWidth="1"/>
    <col min="11" max="11" width="10.625" style="3018" customWidth="1"/>
    <col min="12" max="28" width="9" style="3018"/>
    <col min="29" max="29" width="9.5" style="3018" bestFit="1" customWidth="1"/>
    <col min="30" max="16384" width="9" style="3018"/>
  </cols>
  <sheetData>
    <row r="1" spans="1:26" ht="13.5" customHeight="1">
      <c r="A1" s="3390" t="s">
        <v>3620</v>
      </c>
      <c r="B1" s="3391"/>
      <c r="C1" s="3391"/>
      <c r="D1" s="3391"/>
      <c r="E1" s="3391"/>
      <c r="F1" s="3391"/>
      <c r="G1" s="3391"/>
      <c r="H1" s="3391"/>
      <c r="I1" s="3391"/>
      <c r="J1" s="3391"/>
      <c r="K1" s="3392"/>
      <c r="L1" s="3059"/>
      <c r="M1" s="3059"/>
      <c r="N1" s="3059"/>
      <c r="O1" s="3059"/>
      <c r="P1" s="3059"/>
      <c r="Q1" s="3059"/>
      <c r="R1" s="3059"/>
    </row>
    <row r="2" spans="1:26">
      <c r="A2" s="3393"/>
      <c r="B2" s="3389"/>
      <c r="C2" s="3389"/>
      <c r="D2" s="3389"/>
      <c r="E2" s="3389"/>
      <c r="F2" s="3389"/>
      <c r="G2" s="3389"/>
      <c r="H2" s="3389"/>
      <c r="I2" s="3389"/>
      <c r="J2" s="3389"/>
      <c r="K2" s="3394"/>
      <c r="L2" s="3059"/>
      <c r="M2" s="3059"/>
      <c r="N2" s="3059"/>
      <c r="O2" s="3059"/>
      <c r="P2" s="3059"/>
      <c r="Q2" s="3059"/>
      <c r="R2" s="3059"/>
    </row>
    <row r="3" spans="1:26" ht="27">
      <c r="A3" s="3214" t="s">
        <v>3617</v>
      </c>
      <c r="B3" s="3214" t="s">
        <v>3631</v>
      </c>
      <c r="C3" s="3214" t="s">
        <v>3632</v>
      </c>
      <c r="D3" s="3214" t="s">
        <v>3577</v>
      </c>
      <c r="E3" s="3214" t="s">
        <v>3582</v>
      </c>
      <c r="F3" s="3214" t="s">
        <v>3583</v>
      </c>
      <c r="G3" s="3215" t="s">
        <v>3647</v>
      </c>
      <c r="H3" s="3214" t="s">
        <v>3616</v>
      </c>
      <c r="I3" s="3214" t="s">
        <v>3618</v>
      </c>
      <c r="J3" s="3234" t="s">
        <v>3648</v>
      </c>
      <c r="K3" s="3234" t="s">
        <v>3645</v>
      </c>
      <c r="L3" s="3059"/>
      <c r="M3" s="3059"/>
      <c r="N3" s="3059"/>
      <c r="O3" s="3059"/>
      <c r="P3" s="3059"/>
      <c r="Q3" s="3059"/>
      <c r="R3" s="3059"/>
      <c r="W3" s="3389" t="s">
        <v>3635</v>
      </c>
      <c r="X3" s="3389"/>
      <c r="Y3" s="3389" t="s">
        <v>3636</v>
      </c>
      <c r="Z3" s="3389"/>
    </row>
    <row r="4" spans="1:26" ht="14.25" customHeight="1">
      <c r="A4" s="3214">
        <v>1</v>
      </c>
      <c r="B4" s="3384" t="s">
        <v>3609</v>
      </c>
      <c r="C4" s="3382" t="s">
        <v>3598</v>
      </c>
      <c r="D4" s="3384" t="s">
        <v>3601</v>
      </c>
      <c r="E4" s="3383">
        <v>1</v>
      </c>
      <c r="F4" s="3219">
        <v>101</v>
      </c>
      <c r="G4" s="3229">
        <v>46.37</v>
      </c>
      <c r="H4" s="3214">
        <v>1</v>
      </c>
      <c r="I4" s="3214" t="s">
        <v>3619</v>
      </c>
      <c r="J4" s="3219">
        <f ca="1">'结果表-分业态'!G2</f>
        <v>0.49</v>
      </c>
      <c r="K4" s="3234">
        <f ca="1">ROUND(G4*J4,2)</f>
        <v>22.72</v>
      </c>
      <c r="L4" s="3059"/>
      <c r="M4" s="3059"/>
      <c r="N4" s="3059"/>
      <c r="O4" s="3059"/>
      <c r="P4" s="3059"/>
      <c r="Q4" s="3059"/>
      <c r="R4" s="3059"/>
      <c r="W4" s="3219">
        <v>101</v>
      </c>
      <c r="X4" s="3219">
        <v>46.37</v>
      </c>
      <c r="Y4" s="3220">
        <v>-101</v>
      </c>
      <c r="Z4" s="3219">
        <v>76.400000000000006</v>
      </c>
    </row>
    <row r="5" spans="1:26" ht="14.25">
      <c r="A5" s="3214">
        <v>2</v>
      </c>
      <c r="B5" s="3384"/>
      <c r="C5" s="3382"/>
      <c r="D5" s="3384"/>
      <c r="E5" s="3383"/>
      <c r="F5" s="3219">
        <v>102</v>
      </c>
      <c r="G5" s="3229">
        <v>41.19</v>
      </c>
      <c r="H5" s="3214">
        <v>1</v>
      </c>
      <c r="I5" s="3214" t="s">
        <v>3619</v>
      </c>
      <c r="J5" s="3219">
        <f ca="1">J4</f>
        <v>0.49</v>
      </c>
      <c r="K5" s="3234">
        <f t="shared" ref="K5:K68" ca="1" si="0">ROUND(G5*J5,2)</f>
        <v>20.18</v>
      </c>
      <c r="L5" s="3059"/>
      <c r="M5" s="3059"/>
      <c r="N5" s="3059"/>
      <c r="O5" s="3059"/>
      <c r="P5" s="3059"/>
      <c r="Q5" s="3059"/>
      <c r="R5" s="3059"/>
      <c r="W5" s="3219">
        <v>102</v>
      </c>
      <c r="X5" s="3219">
        <v>41.19</v>
      </c>
      <c r="Y5" s="3220">
        <v>-104</v>
      </c>
      <c r="Z5" s="3219">
        <v>65.89</v>
      </c>
    </row>
    <row r="6" spans="1:26" ht="14.25">
      <c r="A6" s="3214">
        <v>3</v>
      </c>
      <c r="B6" s="3384"/>
      <c r="C6" s="3382"/>
      <c r="D6" s="3384"/>
      <c r="E6" s="3383"/>
      <c r="F6" s="3219">
        <v>103</v>
      </c>
      <c r="G6" s="3229">
        <v>29.63</v>
      </c>
      <c r="H6" s="3214">
        <v>1</v>
      </c>
      <c r="I6" s="3214" t="s">
        <v>3619</v>
      </c>
      <c r="J6" s="3219">
        <f ca="1">J4</f>
        <v>0.49</v>
      </c>
      <c r="K6" s="3234">
        <f t="shared" ca="1" si="0"/>
        <v>14.52</v>
      </c>
      <c r="L6" s="3059"/>
      <c r="M6" s="3059"/>
      <c r="N6" s="3059"/>
      <c r="O6" s="3059"/>
      <c r="P6" s="3059"/>
      <c r="Q6" s="3059"/>
      <c r="R6" s="3059"/>
      <c r="W6" s="3219">
        <v>103</v>
      </c>
      <c r="X6" s="3219">
        <v>29.63</v>
      </c>
      <c r="Y6" s="3220">
        <v>-105</v>
      </c>
      <c r="Z6" s="3219">
        <v>44.23</v>
      </c>
    </row>
    <row r="7" spans="1:26" ht="14.25">
      <c r="A7" s="3214">
        <v>4</v>
      </c>
      <c r="B7" s="3384"/>
      <c r="C7" s="3382"/>
      <c r="D7" s="3384"/>
      <c r="E7" s="3383"/>
      <c r="F7" s="3219">
        <v>104</v>
      </c>
      <c r="G7" s="3229">
        <v>32.25</v>
      </c>
      <c r="H7" s="3214">
        <v>1</v>
      </c>
      <c r="I7" s="3214" t="s">
        <v>3619</v>
      </c>
      <c r="J7" s="3219">
        <f ca="1">J4</f>
        <v>0.49</v>
      </c>
      <c r="K7" s="3234">
        <f t="shared" ca="1" si="0"/>
        <v>15.8</v>
      </c>
      <c r="L7" s="3059"/>
      <c r="M7" s="3059"/>
      <c r="N7" s="3059"/>
      <c r="O7" s="3059"/>
      <c r="P7" s="3059"/>
      <c r="Q7" s="3059"/>
      <c r="R7" s="3059"/>
      <c r="W7" s="3219">
        <v>104</v>
      </c>
      <c r="X7" s="3219">
        <v>32.25</v>
      </c>
      <c r="Y7" s="3220">
        <v>-101</v>
      </c>
      <c r="Z7" s="3219">
        <v>78.17</v>
      </c>
    </row>
    <row r="8" spans="1:26" ht="14.25">
      <c r="A8" s="3214">
        <v>5</v>
      </c>
      <c r="B8" s="3384"/>
      <c r="C8" s="3382"/>
      <c r="D8" s="3384"/>
      <c r="E8" s="3383"/>
      <c r="F8" s="3219">
        <v>105</v>
      </c>
      <c r="G8" s="3229">
        <v>28</v>
      </c>
      <c r="H8" s="3214">
        <v>1</v>
      </c>
      <c r="I8" s="3214" t="s">
        <v>3619</v>
      </c>
      <c r="J8" s="3219">
        <f ca="1">J4</f>
        <v>0.49</v>
      </c>
      <c r="K8" s="3234">
        <f t="shared" ca="1" si="0"/>
        <v>13.72</v>
      </c>
      <c r="L8" s="3059"/>
      <c r="M8" s="3059"/>
      <c r="N8" s="3059"/>
      <c r="O8" s="3059"/>
      <c r="P8" s="3059"/>
      <c r="Q8" s="3059"/>
      <c r="R8" s="3059"/>
      <c r="W8" s="3219">
        <v>105</v>
      </c>
      <c r="X8" s="3219">
        <v>28</v>
      </c>
      <c r="Y8" s="3220">
        <v>-104</v>
      </c>
      <c r="Z8" s="3219">
        <v>67.42</v>
      </c>
    </row>
    <row r="9" spans="1:26" ht="14.25">
      <c r="A9" s="3214">
        <v>6</v>
      </c>
      <c r="B9" s="3384"/>
      <c r="C9" s="3382"/>
      <c r="D9" s="3384"/>
      <c r="E9" s="3383"/>
      <c r="F9" s="3219">
        <v>106</v>
      </c>
      <c r="G9" s="3229">
        <v>18.579999999999998</v>
      </c>
      <c r="H9" s="3214">
        <v>1</v>
      </c>
      <c r="I9" s="3214" t="s">
        <v>3619</v>
      </c>
      <c r="J9" s="3219">
        <f ca="1">J4</f>
        <v>0.49</v>
      </c>
      <c r="K9" s="3234">
        <f t="shared" ca="1" si="0"/>
        <v>9.1</v>
      </c>
      <c r="L9" s="3059"/>
      <c r="M9" s="3059"/>
      <c r="N9" s="3059"/>
      <c r="O9" s="3059"/>
      <c r="P9" s="3059"/>
      <c r="Q9" s="3059"/>
      <c r="R9" s="3059"/>
      <c r="W9" s="3219">
        <v>106</v>
      </c>
      <c r="X9" s="3219">
        <v>18.579999999999998</v>
      </c>
      <c r="Y9" s="3220">
        <v>-105</v>
      </c>
      <c r="Z9" s="3219">
        <v>45.25</v>
      </c>
    </row>
    <row r="10" spans="1:26" ht="14.25">
      <c r="A10" s="3214">
        <v>7</v>
      </c>
      <c r="B10" s="3384"/>
      <c r="C10" s="3382"/>
      <c r="D10" s="3384"/>
      <c r="E10" s="3383">
        <v>2</v>
      </c>
      <c r="F10" s="3220">
        <v>-101</v>
      </c>
      <c r="G10" s="3229">
        <v>76.400000000000006</v>
      </c>
      <c r="H10" s="3214">
        <v>-1</v>
      </c>
      <c r="I10" s="3214" t="s">
        <v>3619</v>
      </c>
      <c r="J10" s="3219">
        <f ca="1">'结果表-分业态'!G3</f>
        <v>0.23</v>
      </c>
      <c r="K10" s="3234">
        <f t="shared" ca="1" si="0"/>
        <v>17.57</v>
      </c>
      <c r="L10" s="3059"/>
      <c r="M10" s="3059"/>
      <c r="N10" s="3059"/>
      <c r="O10" s="3059"/>
      <c r="P10" s="3059"/>
      <c r="Q10" s="3059"/>
      <c r="R10" s="3059"/>
      <c r="W10" s="3219">
        <v>101</v>
      </c>
      <c r="X10" s="3219">
        <v>81.97</v>
      </c>
      <c r="Y10" s="3220">
        <v>-101</v>
      </c>
      <c r="Z10" s="3219">
        <v>42.96</v>
      </c>
    </row>
    <row r="11" spans="1:26" ht="14.25">
      <c r="A11" s="3214">
        <v>8</v>
      </c>
      <c r="B11" s="3384"/>
      <c r="C11" s="3382"/>
      <c r="D11" s="3384"/>
      <c r="E11" s="3383"/>
      <c r="F11" s="3220">
        <v>-104</v>
      </c>
      <c r="G11" s="3229">
        <v>65.89</v>
      </c>
      <c r="H11" s="3214">
        <v>-1</v>
      </c>
      <c r="I11" s="3214" t="s">
        <v>3619</v>
      </c>
      <c r="J11" s="3219">
        <f ca="1">J10</f>
        <v>0.23</v>
      </c>
      <c r="K11" s="3234">
        <f t="shared" ca="1" si="0"/>
        <v>15.15</v>
      </c>
      <c r="L11" s="3059"/>
      <c r="M11" s="3059"/>
      <c r="N11" s="3059"/>
      <c r="O11" s="3059"/>
      <c r="P11" s="3059"/>
      <c r="Q11" s="3059"/>
      <c r="R11" s="3059"/>
      <c r="W11" s="3219">
        <v>102</v>
      </c>
      <c r="X11" s="3219">
        <v>31.3</v>
      </c>
      <c r="Y11" s="3220">
        <v>-102</v>
      </c>
      <c r="Z11" s="3219">
        <v>49.03</v>
      </c>
    </row>
    <row r="12" spans="1:26" ht="14.25">
      <c r="A12" s="3214">
        <v>9</v>
      </c>
      <c r="B12" s="3384"/>
      <c r="C12" s="3382"/>
      <c r="D12" s="3384"/>
      <c r="E12" s="3383"/>
      <c r="F12" s="3220">
        <v>-105</v>
      </c>
      <c r="G12" s="3229">
        <v>44.23</v>
      </c>
      <c r="H12" s="3214">
        <v>-1</v>
      </c>
      <c r="I12" s="3214" t="s">
        <v>3619</v>
      </c>
      <c r="J12" s="3219">
        <f ca="1">J10</f>
        <v>0.23</v>
      </c>
      <c r="K12" s="3234">
        <f t="shared" ca="1" si="0"/>
        <v>10.17</v>
      </c>
      <c r="L12" s="3059"/>
      <c r="M12" s="3059"/>
      <c r="N12" s="3059"/>
      <c r="O12" s="3059"/>
      <c r="P12" s="3059"/>
      <c r="Q12" s="3059"/>
      <c r="R12" s="3059"/>
      <c r="W12" s="3219">
        <v>103</v>
      </c>
      <c r="X12" s="3219">
        <v>84.05</v>
      </c>
      <c r="Y12" s="3220">
        <v>-103</v>
      </c>
      <c r="Z12" s="3219">
        <v>49.03</v>
      </c>
    </row>
    <row r="13" spans="1:26" ht="14.25">
      <c r="A13" s="3214">
        <v>10</v>
      </c>
      <c r="B13" s="3384"/>
      <c r="C13" s="3382"/>
      <c r="D13" s="3384"/>
      <c r="E13" s="3383">
        <v>3</v>
      </c>
      <c r="F13" s="3220">
        <v>-101</v>
      </c>
      <c r="G13" s="3229">
        <v>78.17</v>
      </c>
      <c r="H13" s="3214">
        <v>-1</v>
      </c>
      <c r="I13" s="3214" t="s">
        <v>3619</v>
      </c>
      <c r="J13" s="3219">
        <f ca="1">J10</f>
        <v>0.23</v>
      </c>
      <c r="K13" s="3234">
        <f t="shared" ca="1" si="0"/>
        <v>17.98</v>
      </c>
      <c r="L13" s="3059"/>
      <c r="M13" s="3059"/>
      <c r="N13" s="3059"/>
      <c r="O13" s="3059"/>
      <c r="P13" s="3059"/>
      <c r="Q13" s="3059"/>
      <c r="R13" s="3059"/>
      <c r="W13" s="3219">
        <v>101</v>
      </c>
      <c r="X13" s="3219">
        <v>45.95</v>
      </c>
      <c r="Y13" s="3220">
        <v>-104</v>
      </c>
      <c r="Z13" s="3219">
        <v>45.26</v>
      </c>
    </row>
    <row r="14" spans="1:26" ht="14.25">
      <c r="A14" s="3214">
        <v>11</v>
      </c>
      <c r="B14" s="3384"/>
      <c r="C14" s="3382"/>
      <c r="D14" s="3384"/>
      <c r="E14" s="3383"/>
      <c r="F14" s="3220">
        <v>-104</v>
      </c>
      <c r="G14" s="3229">
        <v>67.42</v>
      </c>
      <c r="H14" s="3214">
        <v>-1</v>
      </c>
      <c r="I14" s="3214" t="s">
        <v>3619</v>
      </c>
      <c r="J14" s="3219">
        <f ca="1">J10</f>
        <v>0.23</v>
      </c>
      <c r="K14" s="3234">
        <f t="shared" ca="1" si="0"/>
        <v>15.51</v>
      </c>
      <c r="L14" s="3059"/>
      <c r="M14" s="3059"/>
      <c r="N14" s="3059"/>
      <c r="O14" s="3059"/>
      <c r="P14" s="3059"/>
      <c r="Q14" s="3059"/>
      <c r="R14" s="3059"/>
      <c r="W14" s="3219">
        <v>102</v>
      </c>
      <c r="X14" s="3219">
        <v>68.989999999999995</v>
      </c>
      <c r="Y14" s="3220">
        <v>-105</v>
      </c>
      <c r="Z14" s="3219">
        <v>90.91</v>
      </c>
    </row>
    <row r="15" spans="1:26" ht="14.25">
      <c r="A15" s="3214">
        <v>12</v>
      </c>
      <c r="B15" s="3384"/>
      <c r="C15" s="3382"/>
      <c r="D15" s="3384"/>
      <c r="E15" s="3383"/>
      <c r="F15" s="3220">
        <v>-105</v>
      </c>
      <c r="G15" s="3229">
        <v>45.25</v>
      </c>
      <c r="H15" s="3214">
        <v>-1</v>
      </c>
      <c r="I15" s="3214" t="s">
        <v>3619</v>
      </c>
      <c r="J15" s="3219">
        <f ca="1">J10</f>
        <v>0.23</v>
      </c>
      <c r="K15" s="3234">
        <f t="shared" ca="1" si="0"/>
        <v>10.41</v>
      </c>
      <c r="L15" s="3059"/>
      <c r="M15" s="3059"/>
      <c r="N15" s="3059"/>
      <c r="O15" s="3059"/>
      <c r="P15" s="3059"/>
      <c r="Q15" s="3059"/>
      <c r="R15" s="3059"/>
      <c r="W15" s="3219">
        <v>103</v>
      </c>
      <c r="X15" s="3219">
        <v>31.91</v>
      </c>
      <c r="Y15" s="3220">
        <v>-101</v>
      </c>
      <c r="Z15" s="3219">
        <v>44.54</v>
      </c>
    </row>
    <row r="16" spans="1:26" ht="14.25">
      <c r="A16" s="3214">
        <v>13</v>
      </c>
      <c r="B16" s="3384"/>
      <c r="C16" s="3382"/>
      <c r="D16" s="3384"/>
      <c r="E16" s="3383">
        <v>4</v>
      </c>
      <c r="F16" s="3219">
        <v>101</v>
      </c>
      <c r="G16" s="3229">
        <v>81.97</v>
      </c>
      <c r="H16" s="3214">
        <v>1</v>
      </c>
      <c r="I16" s="3214" t="s">
        <v>3619</v>
      </c>
      <c r="J16" s="3219">
        <f ca="1">J4</f>
        <v>0.49</v>
      </c>
      <c r="K16" s="3234">
        <f t="shared" ca="1" si="0"/>
        <v>40.17</v>
      </c>
      <c r="L16" s="3059"/>
      <c r="M16" s="3059"/>
      <c r="N16" s="3059"/>
      <c r="O16" s="3059"/>
      <c r="P16" s="3059"/>
      <c r="Q16" s="3059"/>
      <c r="R16" s="3059"/>
      <c r="W16" s="3219">
        <v>104</v>
      </c>
      <c r="X16" s="3219">
        <v>68.989999999999995</v>
      </c>
      <c r="Y16" s="3220">
        <v>-102</v>
      </c>
      <c r="Z16" s="3219">
        <v>66.31</v>
      </c>
    </row>
    <row r="17" spans="1:26" ht="14.25">
      <c r="A17" s="3214">
        <v>14</v>
      </c>
      <c r="B17" s="3384"/>
      <c r="C17" s="3382"/>
      <c r="D17" s="3384"/>
      <c r="E17" s="3383"/>
      <c r="F17" s="3219">
        <v>102</v>
      </c>
      <c r="G17" s="3229">
        <v>31.3</v>
      </c>
      <c r="H17" s="3214">
        <v>1</v>
      </c>
      <c r="I17" s="3214" t="s">
        <v>3619</v>
      </c>
      <c r="J17" s="3219">
        <f ca="1">J4</f>
        <v>0.49</v>
      </c>
      <c r="K17" s="3234">
        <f t="shared" ca="1" si="0"/>
        <v>15.34</v>
      </c>
      <c r="L17" s="3059"/>
      <c r="M17" s="3059"/>
      <c r="N17" s="3059"/>
      <c r="O17" s="3059"/>
      <c r="P17" s="3059"/>
      <c r="Q17" s="3059"/>
      <c r="R17" s="3059"/>
      <c r="W17" s="3219">
        <v>105</v>
      </c>
      <c r="X17" s="3219">
        <v>45.95</v>
      </c>
      <c r="Y17" s="3220">
        <v>-105</v>
      </c>
      <c r="Z17" s="3219">
        <v>76.89</v>
      </c>
    </row>
    <row r="18" spans="1:26" ht="14.25">
      <c r="A18" s="3214">
        <v>15</v>
      </c>
      <c r="B18" s="3384"/>
      <c r="C18" s="3382"/>
      <c r="D18" s="3384"/>
      <c r="E18" s="3383"/>
      <c r="F18" s="3219">
        <v>103</v>
      </c>
      <c r="G18" s="3229">
        <v>84.05</v>
      </c>
      <c r="H18" s="3214">
        <v>1</v>
      </c>
      <c r="I18" s="3214" t="s">
        <v>3619</v>
      </c>
      <c r="J18" s="3219">
        <f ca="1">J4</f>
        <v>0.49</v>
      </c>
      <c r="K18" s="3234">
        <f t="shared" ca="1" si="0"/>
        <v>41.18</v>
      </c>
      <c r="L18" s="3059"/>
      <c r="M18" s="3059"/>
      <c r="N18" s="3059"/>
      <c r="O18" s="3059"/>
      <c r="P18" s="3059"/>
      <c r="Q18" s="3059"/>
      <c r="R18" s="3059"/>
      <c r="W18" s="3219">
        <v>101</v>
      </c>
      <c r="X18" s="3219">
        <v>18.260000000000002</v>
      </c>
      <c r="Y18" s="3219">
        <v>-101</v>
      </c>
      <c r="Z18" s="3219">
        <v>45.38</v>
      </c>
    </row>
    <row r="19" spans="1:26" ht="14.25">
      <c r="A19" s="3214">
        <v>16</v>
      </c>
      <c r="B19" s="3384"/>
      <c r="C19" s="3382"/>
      <c r="D19" s="3384"/>
      <c r="E19" s="3383"/>
      <c r="F19" s="3220">
        <v>-101</v>
      </c>
      <c r="G19" s="3229">
        <v>42.96</v>
      </c>
      <c r="H19" s="3214">
        <v>-1</v>
      </c>
      <c r="I19" s="3214" t="s">
        <v>3619</v>
      </c>
      <c r="J19" s="3219">
        <f ca="1">J10</f>
        <v>0.23</v>
      </c>
      <c r="K19" s="3234">
        <f t="shared" ca="1" si="0"/>
        <v>9.8800000000000008</v>
      </c>
      <c r="L19" s="3059"/>
      <c r="M19" s="3059"/>
      <c r="N19" s="3059"/>
      <c r="O19" s="3059"/>
      <c r="P19" s="3059"/>
      <c r="Q19" s="3059"/>
      <c r="R19" s="3059"/>
      <c r="W19" s="3219">
        <v>102</v>
      </c>
      <c r="X19" s="3219">
        <v>28.13</v>
      </c>
      <c r="Y19" s="3219">
        <v>-102</v>
      </c>
      <c r="Z19" s="3219">
        <v>67.63</v>
      </c>
    </row>
    <row r="20" spans="1:26" ht="14.25">
      <c r="A20" s="3214">
        <v>17</v>
      </c>
      <c r="B20" s="3384"/>
      <c r="C20" s="3382"/>
      <c r="D20" s="3384"/>
      <c r="E20" s="3383"/>
      <c r="F20" s="3220">
        <v>-102</v>
      </c>
      <c r="G20" s="3229">
        <v>49.03</v>
      </c>
      <c r="H20" s="3214">
        <v>-1</v>
      </c>
      <c r="I20" s="3214" t="s">
        <v>3619</v>
      </c>
      <c r="J20" s="3219">
        <f ca="1">J10</f>
        <v>0.23</v>
      </c>
      <c r="K20" s="3234">
        <f t="shared" ca="1" si="0"/>
        <v>11.28</v>
      </c>
      <c r="L20" s="3059"/>
      <c r="M20" s="3059"/>
      <c r="N20" s="3059"/>
      <c r="O20" s="3059"/>
      <c r="P20" s="3059"/>
      <c r="Q20" s="3059"/>
      <c r="R20" s="3059"/>
      <c r="W20" s="3219">
        <v>103</v>
      </c>
      <c r="X20" s="3219">
        <v>32.31</v>
      </c>
      <c r="Y20" s="3219">
        <v>-103</v>
      </c>
      <c r="Z20" s="3219">
        <v>127.16</v>
      </c>
    </row>
    <row r="21" spans="1:26" ht="14.25">
      <c r="A21" s="3214">
        <v>18</v>
      </c>
      <c r="B21" s="3384"/>
      <c r="C21" s="3382"/>
      <c r="D21" s="3384"/>
      <c r="E21" s="3383"/>
      <c r="F21" s="3220">
        <v>-103</v>
      </c>
      <c r="G21" s="3229">
        <v>49.03</v>
      </c>
      <c r="H21" s="3214">
        <v>-1</v>
      </c>
      <c r="I21" s="3214" t="s">
        <v>3619</v>
      </c>
      <c r="J21" s="3219">
        <f ca="1">J10</f>
        <v>0.23</v>
      </c>
      <c r="K21" s="3234">
        <f t="shared" ca="1" si="0"/>
        <v>11.28</v>
      </c>
      <c r="L21" s="3059"/>
      <c r="M21" s="3059"/>
      <c r="N21" s="3059"/>
      <c r="O21" s="3059"/>
      <c r="P21" s="3059"/>
      <c r="Q21" s="3059"/>
      <c r="R21" s="3059"/>
      <c r="W21" s="3219">
        <v>104</v>
      </c>
      <c r="X21" s="3219">
        <v>29.65</v>
      </c>
      <c r="Y21" s="3219">
        <v>-104</v>
      </c>
      <c r="Z21" s="3219">
        <v>68.45</v>
      </c>
    </row>
    <row r="22" spans="1:26" ht="14.25">
      <c r="A22" s="3214">
        <v>19</v>
      </c>
      <c r="B22" s="3384"/>
      <c r="C22" s="3382"/>
      <c r="D22" s="3384"/>
      <c r="E22" s="3383"/>
      <c r="F22" s="3220">
        <v>-104</v>
      </c>
      <c r="G22" s="3229">
        <v>45.26</v>
      </c>
      <c r="H22" s="3214">
        <v>-1</v>
      </c>
      <c r="I22" s="3214" t="s">
        <v>3619</v>
      </c>
      <c r="J22" s="3219">
        <f ca="1">J10</f>
        <v>0.23</v>
      </c>
      <c r="K22" s="3234">
        <f t="shared" ca="1" si="0"/>
        <v>10.41</v>
      </c>
      <c r="L22" s="3059"/>
      <c r="M22" s="3059"/>
      <c r="N22" s="3059"/>
      <c r="O22" s="3059"/>
      <c r="P22" s="3059"/>
      <c r="Q22" s="3059"/>
      <c r="R22" s="3059"/>
      <c r="W22" s="3219">
        <v>105</v>
      </c>
      <c r="X22" s="3219">
        <v>41.24</v>
      </c>
      <c r="Y22" s="3219">
        <v>-101</v>
      </c>
      <c r="Z22" s="3219">
        <v>37.880000000000003</v>
      </c>
    </row>
    <row r="23" spans="1:26" ht="14.25">
      <c r="A23" s="3214">
        <v>20</v>
      </c>
      <c r="B23" s="3384"/>
      <c r="C23" s="3382"/>
      <c r="D23" s="3384"/>
      <c r="E23" s="3383"/>
      <c r="F23" s="3220">
        <v>-105</v>
      </c>
      <c r="G23" s="3229">
        <v>90.91</v>
      </c>
      <c r="H23" s="3214">
        <v>-1</v>
      </c>
      <c r="I23" s="3214" t="s">
        <v>3619</v>
      </c>
      <c r="J23" s="3219">
        <f ca="1">J10</f>
        <v>0.23</v>
      </c>
      <c r="K23" s="3234">
        <f t="shared" ca="1" si="0"/>
        <v>20.91</v>
      </c>
      <c r="L23" s="3059"/>
      <c r="M23" s="3059"/>
      <c r="N23" s="3059"/>
      <c r="O23" s="3059"/>
      <c r="P23" s="3059"/>
      <c r="Q23" s="3059"/>
      <c r="R23" s="3059"/>
      <c r="W23" s="3219">
        <v>106</v>
      </c>
      <c r="X23" s="3219">
        <v>46.87</v>
      </c>
      <c r="Y23" s="3219">
        <v>-102</v>
      </c>
      <c r="Z23" s="3219">
        <v>67.989999999999995</v>
      </c>
    </row>
    <row r="24" spans="1:26" ht="14.25">
      <c r="A24" s="3214">
        <v>21</v>
      </c>
      <c r="B24" s="3384"/>
      <c r="C24" s="3382"/>
      <c r="D24" s="3384"/>
      <c r="E24" s="3383">
        <v>5</v>
      </c>
      <c r="F24" s="3219">
        <v>101</v>
      </c>
      <c r="G24" s="3229">
        <v>45.95</v>
      </c>
      <c r="H24" s="3214">
        <v>1</v>
      </c>
      <c r="I24" s="3214" t="s">
        <v>3619</v>
      </c>
      <c r="J24" s="3219">
        <f ca="1">J4</f>
        <v>0.49</v>
      </c>
      <c r="K24" s="3234">
        <f t="shared" ca="1" si="0"/>
        <v>22.52</v>
      </c>
      <c r="L24" s="3059"/>
      <c r="M24" s="3059"/>
      <c r="N24" s="3059"/>
      <c r="O24" s="3059"/>
      <c r="P24" s="3059"/>
      <c r="Q24" s="3059"/>
      <c r="R24" s="3059"/>
      <c r="W24" s="3219">
        <v>101</v>
      </c>
      <c r="X24" s="3219">
        <v>51.47</v>
      </c>
      <c r="Y24" s="3219">
        <v>-105</v>
      </c>
      <c r="Z24" s="3219">
        <v>78.84</v>
      </c>
    </row>
    <row r="25" spans="1:26" ht="14.25">
      <c r="A25" s="3214">
        <v>22</v>
      </c>
      <c r="B25" s="3384"/>
      <c r="C25" s="3382"/>
      <c r="D25" s="3384"/>
      <c r="E25" s="3383"/>
      <c r="F25" s="3219">
        <v>102</v>
      </c>
      <c r="G25" s="3229">
        <v>68.989999999999995</v>
      </c>
      <c r="H25" s="3214">
        <v>1</v>
      </c>
      <c r="I25" s="3214" t="s">
        <v>3619</v>
      </c>
      <c r="J25" s="3219">
        <f ca="1">J4</f>
        <v>0.49</v>
      </c>
      <c r="K25" s="3234">
        <f t="shared" ca="1" si="0"/>
        <v>33.81</v>
      </c>
      <c r="L25" s="3059"/>
      <c r="M25" s="3059"/>
      <c r="N25" s="3059"/>
      <c r="O25" s="3059"/>
      <c r="P25" s="3059"/>
      <c r="Q25" s="3059"/>
      <c r="R25" s="3059"/>
      <c r="W25" s="3219">
        <v>102</v>
      </c>
      <c r="X25" s="3219">
        <v>68.25</v>
      </c>
      <c r="Y25" s="3214"/>
      <c r="Z25" s="3214">
        <f>SUM(Z4:Z24)</f>
        <v>1335.62</v>
      </c>
    </row>
    <row r="26" spans="1:26" ht="14.25" customHeight="1">
      <c r="A26" s="3214">
        <v>23</v>
      </c>
      <c r="B26" s="3384"/>
      <c r="C26" s="3382"/>
      <c r="D26" s="3384"/>
      <c r="E26" s="3383"/>
      <c r="F26" s="3219">
        <v>103</v>
      </c>
      <c r="G26" s="3229">
        <v>31.91</v>
      </c>
      <c r="H26" s="3214">
        <v>1</v>
      </c>
      <c r="I26" s="3214" t="s">
        <v>3619</v>
      </c>
      <c r="J26" s="3219">
        <f ca="1">J4</f>
        <v>0.49</v>
      </c>
      <c r="K26" s="3234">
        <f t="shared" ca="1" si="0"/>
        <v>15.64</v>
      </c>
      <c r="L26" s="3059"/>
      <c r="M26" s="3059"/>
      <c r="N26" s="3059"/>
      <c r="O26" s="3059"/>
      <c r="P26" s="3059"/>
      <c r="Q26" s="3059"/>
      <c r="R26" s="3059"/>
      <c r="W26" s="3219">
        <v>103</v>
      </c>
      <c r="X26" s="3219">
        <v>46.83</v>
      </c>
    </row>
    <row r="27" spans="1:26" ht="14.25">
      <c r="A27" s="3214">
        <v>24</v>
      </c>
      <c r="B27" s="3384"/>
      <c r="C27" s="3382"/>
      <c r="D27" s="3384"/>
      <c r="E27" s="3383"/>
      <c r="F27" s="3219">
        <v>104</v>
      </c>
      <c r="G27" s="3229">
        <v>68.989999999999995</v>
      </c>
      <c r="H27" s="3214">
        <v>1</v>
      </c>
      <c r="I27" s="3214" t="s">
        <v>3619</v>
      </c>
      <c r="J27" s="3219">
        <f ca="1">J4</f>
        <v>0.49</v>
      </c>
      <c r="K27" s="3234">
        <f t="shared" ca="1" si="0"/>
        <v>33.81</v>
      </c>
      <c r="L27" s="3059"/>
      <c r="M27" s="3059"/>
      <c r="N27" s="3059"/>
      <c r="O27" s="3059"/>
      <c r="P27" s="3059"/>
      <c r="Q27" s="3059"/>
      <c r="R27" s="3059"/>
      <c r="W27" s="3214"/>
      <c r="X27" s="3214">
        <f>SUM(X4:X26)</f>
        <v>1018.1400000000002</v>
      </c>
    </row>
    <row r="28" spans="1:26" ht="14.25">
      <c r="A28" s="3214">
        <v>25</v>
      </c>
      <c r="B28" s="3384"/>
      <c r="C28" s="3382"/>
      <c r="D28" s="3384"/>
      <c r="E28" s="3383"/>
      <c r="F28" s="3219">
        <v>105</v>
      </c>
      <c r="G28" s="3229">
        <v>45.95</v>
      </c>
      <c r="H28" s="3214">
        <v>1</v>
      </c>
      <c r="I28" s="3214" t="s">
        <v>3619</v>
      </c>
      <c r="J28" s="3219">
        <f ca="1">J4</f>
        <v>0.49</v>
      </c>
      <c r="K28" s="3234">
        <f t="shared" ca="1" si="0"/>
        <v>22.52</v>
      </c>
      <c r="L28" s="3059"/>
      <c r="M28" s="3059"/>
      <c r="N28" s="3059"/>
      <c r="O28" s="3059"/>
      <c r="P28" s="3059"/>
      <c r="Q28" s="3059"/>
      <c r="R28" s="3059"/>
      <c r="X28" s="3018">
        <f>X27+Z25</f>
        <v>2353.7600000000002</v>
      </c>
    </row>
    <row r="29" spans="1:26" ht="14.25">
      <c r="A29" s="3214">
        <v>26</v>
      </c>
      <c r="B29" s="3384"/>
      <c r="C29" s="3382"/>
      <c r="D29" s="3384"/>
      <c r="E29" s="3383"/>
      <c r="F29" s="3220">
        <v>-101</v>
      </c>
      <c r="G29" s="3229">
        <v>44.54</v>
      </c>
      <c r="H29" s="3214">
        <v>-1</v>
      </c>
      <c r="I29" s="3214" t="s">
        <v>3619</v>
      </c>
      <c r="J29" s="3219">
        <f ca="1">J10</f>
        <v>0.23</v>
      </c>
      <c r="K29" s="3234">
        <f t="shared" ca="1" si="0"/>
        <v>10.24</v>
      </c>
      <c r="L29" s="3059"/>
      <c r="M29" s="3059"/>
      <c r="N29" s="3059"/>
      <c r="O29" s="3059"/>
      <c r="P29" s="3059"/>
      <c r="Q29" s="3059"/>
      <c r="R29" s="3059"/>
    </row>
    <row r="30" spans="1:26" ht="14.25">
      <c r="A30" s="3214">
        <v>27</v>
      </c>
      <c r="B30" s="3384"/>
      <c r="C30" s="3382"/>
      <c r="D30" s="3384"/>
      <c r="E30" s="3383"/>
      <c r="F30" s="3220">
        <v>-102</v>
      </c>
      <c r="G30" s="3229">
        <v>66.31</v>
      </c>
      <c r="H30" s="3214">
        <v>-1</v>
      </c>
      <c r="I30" s="3214" t="s">
        <v>3619</v>
      </c>
      <c r="J30" s="3219">
        <f ca="1">J11</f>
        <v>0.23</v>
      </c>
      <c r="K30" s="3234">
        <f t="shared" ca="1" si="0"/>
        <v>15.25</v>
      </c>
      <c r="L30" s="3059"/>
      <c r="M30" s="3059"/>
      <c r="N30" s="3059"/>
      <c r="O30" s="3059"/>
      <c r="P30" s="3059"/>
      <c r="Q30" s="3059"/>
      <c r="R30" s="3059"/>
    </row>
    <row r="31" spans="1:26" ht="14.25">
      <c r="A31" s="3214">
        <v>28</v>
      </c>
      <c r="B31" s="3384"/>
      <c r="C31" s="3382"/>
      <c r="D31" s="3384"/>
      <c r="E31" s="3383"/>
      <c r="F31" s="3220">
        <v>-105</v>
      </c>
      <c r="G31" s="3229">
        <v>76.89</v>
      </c>
      <c r="H31" s="3214">
        <v>-1</v>
      </c>
      <c r="I31" s="3214" t="s">
        <v>3619</v>
      </c>
      <c r="J31" s="3219">
        <f ca="1">J10</f>
        <v>0.23</v>
      </c>
      <c r="K31" s="3234">
        <f t="shared" ca="1" si="0"/>
        <v>17.68</v>
      </c>
      <c r="L31" s="3059"/>
      <c r="M31" s="3059"/>
      <c r="N31" s="3059"/>
      <c r="O31" s="3059"/>
      <c r="P31" s="3059"/>
      <c r="Q31" s="3059"/>
      <c r="R31" s="3059"/>
    </row>
    <row r="32" spans="1:26" ht="14.25">
      <c r="A32" s="3214">
        <v>29</v>
      </c>
      <c r="B32" s="3384"/>
      <c r="C32" s="3382"/>
      <c r="D32" s="3384"/>
      <c r="E32" s="3383">
        <v>6</v>
      </c>
      <c r="F32" s="3219">
        <v>101</v>
      </c>
      <c r="G32" s="3229">
        <v>18.260000000000002</v>
      </c>
      <c r="H32" s="3214">
        <v>1</v>
      </c>
      <c r="I32" s="3214" t="s">
        <v>3619</v>
      </c>
      <c r="J32" s="3219">
        <f ca="1">J4</f>
        <v>0.49</v>
      </c>
      <c r="K32" s="3234">
        <f t="shared" ca="1" si="0"/>
        <v>8.9499999999999993</v>
      </c>
      <c r="L32" s="3059"/>
      <c r="M32" s="3059"/>
      <c r="N32" s="3059"/>
      <c r="O32" s="3059"/>
      <c r="P32" s="3059"/>
      <c r="Q32" s="3059"/>
      <c r="R32" s="3059"/>
    </row>
    <row r="33" spans="1:19" ht="14.25">
      <c r="A33" s="3214">
        <v>30</v>
      </c>
      <c r="B33" s="3384"/>
      <c r="C33" s="3382"/>
      <c r="D33" s="3384"/>
      <c r="E33" s="3383"/>
      <c r="F33" s="3219">
        <v>102</v>
      </c>
      <c r="G33" s="3229">
        <v>28.13</v>
      </c>
      <c r="H33" s="3214">
        <v>1</v>
      </c>
      <c r="I33" s="3214" t="s">
        <v>3619</v>
      </c>
      <c r="J33" s="3219">
        <f ca="1">J32</f>
        <v>0.49</v>
      </c>
      <c r="K33" s="3234">
        <f t="shared" ca="1" si="0"/>
        <v>13.78</v>
      </c>
      <c r="L33" s="3059"/>
      <c r="M33" s="3059"/>
      <c r="N33" s="3059"/>
      <c r="O33" s="3059"/>
      <c r="P33" s="3059"/>
      <c r="Q33" s="3059"/>
      <c r="R33" s="3059"/>
    </row>
    <row r="34" spans="1:19" ht="12" customHeight="1">
      <c r="A34" s="3214">
        <v>31</v>
      </c>
      <c r="B34" s="3384"/>
      <c r="C34" s="3382"/>
      <c r="D34" s="3384"/>
      <c r="E34" s="3383"/>
      <c r="F34" s="3219">
        <v>103</v>
      </c>
      <c r="G34" s="3229">
        <v>32.31</v>
      </c>
      <c r="H34" s="3214">
        <v>1</v>
      </c>
      <c r="I34" s="3214" t="s">
        <v>3619</v>
      </c>
      <c r="J34" s="3219">
        <f ca="1">J32</f>
        <v>0.49</v>
      </c>
      <c r="K34" s="3234">
        <f t="shared" ca="1" si="0"/>
        <v>15.83</v>
      </c>
      <c r="L34" s="3059"/>
      <c r="M34" s="3059"/>
      <c r="N34" s="3059"/>
      <c r="O34" s="3059"/>
      <c r="P34" s="3059"/>
      <c r="Q34" s="3059"/>
      <c r="R34" s="3059"/>
    </row>
    <row r="35" spans="1:19" ht="14.25">
      <c r="A35" s="3214">
        <v>32</v>
      </c>
      <c r="B35" s="3384"/>
      <c r="C35" s="3382"/>
      <c r="D35" s="3384"/>
      <c r="E35" s="3383"/>
      <c r="F35" s="3219">
        <v>104</v>
      </c>
      <c r="G35" s="3229">
        <v>29.65</v>
      </c>
      <c r="H35" s="3214">
        <v>1</v>
      </c>
      <c r="I35" s="3214" t="s">
        <v>3619</v>
      </c>
      <c r="J35" s="3219">
        <f ca="1">J32</f>
        <v>0.49</v>
      </c>
      <c r="K35" s="3234">
        <f t="shared" ca="1" si="0"/>
        <v>14.53</v>
      </c>
      <c r="L35" s="3059"/>
      <c r="M35" s="3059"/>
      <c r="N35" s="3059"/>
      <c r="O35" s="3059"/>
      <c r="P35" s="3059"/>
      <c r="Q35" s="3059"/>
      <c r="R35" s="3059"/>
    </row>
    <row r="36" spans="1:19" ht="14.25">
      <c r="A36" s="3214">
        <v>33</v>
      </c>
      <c r="B36" s="3384"/>
      <c r="C36" s="3382"/>
      <c r="D36" s="3384"/>
      <c r="E36" s="3383"/>
      <c r="F36" s="3219">
        <v>105</v>
      </c>
      <c r="G36" s="3229">
        <v>41.24</v>
      </c>
      <c r="H36" s="3214">
        <v>1</v>
      </c>
      <c r="I36" s="3214" t="s">
        <v>3619</v>
      </c>
      <c r="J36" s="3219">
        <f ca="1">J32</f>
        <v>0.49</v>
      </c>
      <c r="K36" s="3234">
        <f t="shared" ca="1" si="0"/>
        <v>20.21</v>
      </c>
      <c r="L36" s="3059"/>
      <c r="M36" s="3059"/>
      <c r="N36" s="3059"/>
      <c r="O36" s="3059"/>
      <c r="P36" s="3059"/>
      <c r="Q36" s="3059"/>
      <c r="R36" s="3059"/>
    </row>
    <row r="37" spans="1:19" ht="14.25">
      <c r="A37" s="3214">
        <v>34</v>
      </c>
      <c r="B37" s="3384"/>
      <c r="C37" s="3382"/>
      <c r="D37" s="3384"/>
      <c r="E37" s="3383"/>
      <c r="F37" s="3219">
        <v>106</v>
      </c>
      <c r="G37" s="3229">
        <v>46.87</v>
      </c>
      <c r="H37" s="3214">
        <v>1</v>
      </c>
      <c r="I37" s="3214" t="s">
        <v>3619</v>
      </c>
      <c r="J37" s="3219">
        <f ca="1">J32</f>
        <v>0.49</v>
      </c>
      <c r="K37" s="3234">
        <f t="shared" ca="1" si="0"/>
        <v>22.97</v>
      </c>
      <c r="L37" s="3059"/>
      <c r="M37" s="3059"/>
      <c r="N37" s="3059"/>
      <c r="O37" s="3059"/>
      <c r="P37" s="3059"/>
      <c r="Q37" s="3059"/>
      <c r="R37" s="3059"/>
    </row>
    <row r="38" spans="1:19" ht="14.25">
      <c r="A38" s="3214">
        <v>35</v>
      </c>
      <c r="B38" s="3384"/>
      <c r="C38" s="3382"/>
      <c r="D38" s="3384"/>
      <c r="E38" s="3383">
        <v>7</v>
      </c>
      <c r="F38" s="3219">
        <v>101</v>
      </c>
      <c r="G38" s="3229">
        <v>51.47</v>
      </c>
      <c r="H38" s="3214">
        <v>1</v>
      </c>
      <c r="I38" s="3214" t="s">
        <v>3619</v>
      </c>
      <c r="J38" s="3219">
        <f ca="1">J32</f>
        <v>0.49</v>
      </c>
      <c r="K38" s="3234">
        <f t="shared" ca="1" si="0"/>
        <v>25.22</v>
      </c>
      <c r="L38" s="3059"/>
      <c r="M38" s="3059"/>
      <c r="N38" s="3059"/>
      <c r="O38" s="3059"/>
      <c r="P38" s="3059"/>
      <c r="Q38" s="3059"/>
      <c r="R38" s="3059"/>
    </row>
    <row r="39" spans="1:19" ht="14.25">
      <c r="A39" s="3214">
        <v>36</v>
      </c>
      <c r="B39" s="3384"/>
      <c r="C39" s="3382"/>
      <c r="D39" s="3384"/>
      <c r="E39" s="3383"/>
      <c r="F39" s="3219">
        <v>102</v>
      </c>
      <c r="G39" s="3229">
        <v>68.25</v>
      </c>
      <c r="H39" s="3214">
        <v>1</v>
      </c>
      <c r="I39" s="3214" t="s">
        <v>3619</v>
      </c>
      <c r="J39" s="3219">
        <f ca="1">J32</f>
        <v>0.49</v>
      </c>
      <c r="K39" s="3234">
        <f t="shared" ca="1" si="0"/>
        <v>33.44</v>
      </c>
      <c r="L39" s="3059"/>
      <c r="M39" s="3059"/>
      <c r="N39" s="3059"/>
      <c r="O39" s="3059"/>
      <c r="P39" s="3059"/>
      <c r="Q39" s="3059"/>
      <c r="R39" s="3059"/>
    </row>
    <row r="40" spans="1:19" ht="14.25">
      <c r="A40" s="3214">
        <v>37</v>
      </c>
      <c r="B40" s="3384"/>
      <c r="C40" s="3382"/>
      <c r="D40" s="3384"/>
      <c r="E40" s="3383"/>
      <c r="F40" s="3219">
        <v>103</v>
      </c>
      <c r="G40" s="3229">
        <v>46.83</v>
      </c>
      <c r="H40" s="3214">
        <v>1</v>
      </c>
      <c r="I40" s="3214" t="s">
        <v>3619</v>
      </c>
      <c r="J40" s="3219">
        <f ca="1">J32</f>
        <v>0.49</v>
      </c>
      <c r="K40" s="3234">
        <f t="shared" ca="1" si="0"/>
        <v>22.95</v>
      </c>
      <c r="L40" s="3059"/>
      <c r="M40" s="3059"/>
      <c r="N40" s="3059"/>
      <c r="O40" s="3059"/>
      <c r="P40" s="3059"/>
      <c r="Q40" s="3059"/>
      <c r="R40" s="3059"/>
    </row>
    <row r="41" spans="1:19" ht="14.25">
      <c r="A41" s="3214">
        <v>38</v>
      </c>
      <c r="B41" s="3384"/>
      <c r="C41" s="3382"/>
      <c r="D41" s="3384"/>
      <c r="E41" s="3383"/>
      <c r="F41" s="3219">
        <v>-101</v>
      </c>
      <c r="G41" s="3229">
        <v>45.38</v>
      </c>
      <c r="H41" s="3214">
        <v>-1</v>
      </c>
      <c r="I41" s="3214" t="s">
        <v>3619</v>
      </c>
      <c r="J41" s="3219">
        <f ca="1">J31</f>
        <v>0.23</v>
      </c>
      <c r="K41" s="3234">
        <f t="shared" ca="1" si="0"/>
        <v>10.44</v>
      </c>
      <c r="L41" s="3059"/>
      <c r="M41" s="3059"/>
      <c r="N41" s="3059"/>
      <c r="O41" s="3059"/>
      <c r="P41" s="3059"/>
      <c r="Q41" s="3059"/>
      <c r="R41" s="3059"/>
    </row>
    <row r="42" spans="1:19" ht="14.25">
      <c r="A42" s="3214">
        <v>39</v>
      </c>
      <c r="B42" s="3384"/>
      <c r="C42" s="3382"/>
      <c r="D42" s="3384"/>
      <c r="E42" s="3383"/>
      <c r="F42" s="3219">
        <v>-102</v>
      </c>
      <c r="G42" s="3229">
        <v>67.63</v>
      </c>
      <c r="H42" s="3214">
        <v>-1</v>
      </c>
      <c r="I42" s="3214" t="s">
        <v>3619</v>
      </c>
      <c r="J42" s="3219">
        <f ca="1">J31</f>
        <v>0.23</v>
      </c>
      <c r="K42" s="3234">
        <f t="shared" ca="1" si="0"/>
        <v>15.55</v>
      </c>
      <c r="L42" s="3059"/>
      <c r="M42" s="3059"/>
      <c r="N42" s="3059"/>
      <c r="O42" s="3059"/>
      <c r="P42" s="3059"/>
      <c r="Q42" s="3059"/>
      <c r="R42" s="3059"/>
    </row>
    <row r="43" spans="1:19" ht="14.25">
      <c r="A43" s="3214">
        <v>40</v>
      </c>
      <c r="B43" s="3384"/>
      <c r="C43" s="3382"/>
      <c r="D43" s="3384"/>
      <c r="E43" s="3383"/>
      <c r="F43" s="3219">
        <v>-103</v>
      </c>
      <c r="G43" s="3229">
        <v>127.16</v>
      </c>
      <c r="H43" s="3214">
        <v>-1</v>
      </c>
      <c r="I43" s="3214" t="s">
        <v>3619</v>
      </c>
      <c r="J43" s="3219">
        <f ca="1">J31</f>
        <v>0.23</v>
      </c>
      <c r="K43" s="3234">
        <f t="shared" ca="1" si="0"/>
        <v>29.25</v>
      </c>
      <c r="L43" s="3059"/>
      <c r="M43" s="3059"/>
      <c r="N43" s="3059"/>
      <c r="O43" s="3059"/>
      <c r="P43" s="3059"/>
      <c r="Q43" s="3059"/>
      <c r="R43" s="3059"/>
    </row>
    <row r="44" spans="1:19" ht="14.25">
      <c r="A44" s="3214">
        <v>41</v>
      </c>
      <c r="B44" s="3384"/>
      <c r="C44" s="3382"/>
      <c r="D44" s="3384"/>
      <c r="E44" s="3383"/>
      <c r="F44" s="3219">
        <v>-104</v>
      </c>
      <c r="G44" s="3229">
        <v>68.45</v>
      </c>
      <c r="H44" s="3214">
        <v>-1</v>
      </c>
      <c r="I44" s="3214" t="s">
        <v>3619</v>
      </c>
      <c r="J44" s="3219">
        <f ca="1">J31</f>
        <v>0.23</v>
      </c>
      <c r="K44" s="3234">
        <f t="shared" ca="1" si="0"/>
        <v>15.74</v>
      </c>
      <c r="L44" s="3059"/>
      <c r="M44" s="3059"/>
      <c r="N44" s="3059"/>
      <c r="O44" s="3059"/>
      <c r="P44" s="3059"/>
      <c r="Q44" s="3059"/>
      <c r="R44" s="3059"/>
    </row>
    <row r="45" spans="1:19" ht="14.25">
      <c r="A45" s="3214">
        <v>42</v>
      </c>
      <c r="B45" s="3384"/>
      <c r="C45" s="3382"/>
      <c r="D45" s="3384"/>
      <c r="E45" s="3383">
        <v>8</v>
      </c>
      <c r="F45" s="3219">
        <v>-101</v>
      </c>
      <c r="G45" s="3229">
        <v>37.880000000000003</v>
      </c>
      <c r="H45" s="3214">
        <v>-1</v>
      </c>
      <c r="I45" s="3214" t="s">
        <v>3619</v>
      </c>
      <c r="J45" s="3219">
        <f ca="1">J31</f>
        <v>0.23</v>
      </c>
      <c r="K45" s="3234">
        <f t="shared" ca="1" si="0"/>
        <v>8.7100000000000009</v>
      </c>
      <c r="L45" s="3059"/>
      <c r="M45" s="3059"/>
      <c r="N45" s="3059"/>
      <c r="O45" s="3059"/>
      <c r="P45" s="3059"/>
      <c r="Q45" s="3059"/>
      <c r="R45" s="3059"/>
    </row>
    <row r="46" spans="1:19" ht="14.25">
      <c r="A46" s="3214">
        <v>43</v>
      </c>
      <c r="B46" s="3384"/>
      <c r="C46" s="3382"/>
      <c r="D46" s="3384"/>
      <c r="E46" s="3383"/>
      <c r="F46" s="3219">
        <v>-102</v>
      </c>
      <c r="G46" s="3229">
        <v>67.989999999999995</v>
      </c>
      <c r="H46" s="3214">
        <v>-1</v>
      </c>
      <c r="I46" s="3214" t="s">
        <v>3619</v>
      </c>
      <c r="J46" s="3219">
        <f ca="1">J31</f>
        <v>0.23</v>
      </c>
      <c r="K46" s="3234">
        <f t="shared" ca="1" si="0"/>
        <v>15.64</v>
      </c>
      <c r="L46" s="3059"/>
      <c r="M46" s="3059"/>
      <c r="N46" s="3059"/>
      <c r="O46" s="3059"/>
      <c r="P46" s="3059"/>
      <c r="Q46" s="3059"/>
      <c r="R46" s="3059"/>
    </row>
    <row r="47" spans="1:19" ht="14.25">
      <c r="A47" s="3214">
        <v>44</v>
      </c>
      <c r="B47" s="3384"/>
      <c r="C47" s="3382"/>
      <c r="D47" s="3384"/>
      <c r="E47" s="3383"/>
      <c r="F47" s="3219">
        <v>-105</v>
      </c>
      <c r="G47" s="3229">
        <v>78.84</v>
      </c>
      <c r="H47" s="3214">
        <v>-1</v>
      </c>
      <c r="I47" s="3214" t="s">
        <v>3619</v>
      </c>
      <c r="J47" s="3219">
        <f ca="1">J46</f>
        <v>0.23</v>
      </c>
      <c r="K47" s="3234">
        <f t="shared" ca="1" si="0"/>
        <v>18.13</v>
      </c>
      <c r="L47" s="3059"/>
      <c r="M47" s="3059"/>
      <c r="N47" s="3059"/>
      <c r="O47" s="3059"/>
      <c r="P47" s="3059"/>
      <c r="Q47" s="3059"/>
      <c r="R47" s="3059"/>
    </row>
    <row r="48" spans="1:19" ht="19.5" customHeight="1">
      <c r="A48" s="3214"/>
      <c r="B48" s="3384"/>
      <c r="C48" s="3227" t="s">
        <v>3633</v>
      </c>
      <c r="D48" s="3055"/>
      <c r="E48" s="3225"/>
      <c r="F48" s="3224"/>
      <c r="G48" s="3230">
        <f>SUM(G4:G47)</f>
        <v>2353.7599999999998</v>
      </c>
      <c r="H48" s="3055"/>
      <c r="I48" s="3055"/>
      <c r="J48" s="3224"/>
      <c r="K48" s="3055">
        <f ca="1">SUM(K4:K47)</f>
        <v>806.09000000000015</v>
      </c>
      <c r="L48" s="3059"/>
      <c r="M48" s="3059"/>
      <c r="N48" s="3059"/>
      <c r="O48" s="3059"/>
      <c r="P48" s="3059"/>
      <c r="Q48" s="3059"/>
      <c r="R48" s="3059"/>
      <c r="S48" s="3238"/>
    </row>
    <row r="49" spans="1:26" ht="14.25">
      <c r="A49" s="3214">
        <v>45</v>
      </c>
      <c r="B49" s="3384"/>
      <c r="C49" s="3382" t="s">
        <v>3603</v>
      </c>
      <c r="D49" s="3384" t="s">
        <v>3595</v>
      </c>
      <c r="E49" s="3383">
        <v>6</v>
      </c>
      <c r="F49" s="3219">
        <v>101</v>
      </c>
      <c r="G49" s="3229">
        <v>28</v>
      </c>
      <c r="H49" s="3214">
        <v>1</v>
      </c>
      <c r="I49" s="3214" t="s">
        <v>3619</v>
      </c>
      <c r="J49" s="3219">
        <f ca="1">'结果表-分业态'!G5</f>
        <v>0.52</v>
      </c>
      <c r="K49" s="3234">
        <f t="shared" ca="1" si="0"/>
        <v>14.56</v>
      </c>
      <c r="L49" s="3059"/>
      <c r="M49" s="3059"/>
      <c r="N49" s="3059"/>
      <c r="O49" s="3059"/>
      <c r="P49" s="3059"/>
      <c r="Q49" s="3059"/>
      <c r="R49" s="3059"/>
      <c r="W49" s="3389" t="s">
        <v>3635</v>
      </c>
      <c r="X49" s="3389"/>
      <c r="Y49" s="3389" t="s">
        <v>3637</v>
      </c>
      <c r="Z49" s="3389"/>
    </row>
    <row r="50" spans="1:26" ht="14.25">
      <c r="A50" s="3214">
        <v>46</v>
      </c>
      <c r="B50" s="3384"/>
      <c r="C50" s="3382"/>
      <c r="D50" s="3384"/>
      <c r="E50" s="3383"/>
      <c r="F50" s="3219">
        <v>102</v>
      </c>
      <c r="G50" s="3229">
        <v>27.52</v>
      </c>
      <c r="H50" s="3214">
        <v>1</v>
      </c>
      <c r="I50" s="3214" t="s">
        <v>3619</v>
      </c>
      <c r="J50" s="3219">
        <f ca="1">J49</f>
        <v>0.52</v>
      </c>
      <c r="K50" s="3234">
        <f t="shared" ca="1" si="0"/>
        <v>14.31</v>
      </c>
      <c r="L50" s="3059"/>
      <c r="M50" s="3059"/>
      <c r="N50" s="3059"/>
      <c r="O50" s="3059"/>
      <c r="P50" s="3059"/>
      <c r="Q50" s="3059"/>
      <c r="R50" s="3059"/>
      <c r="W50" s="3219">
        <v>101</v>
      </c>
      <c r="X50" s="3219">
        <v>28</v>
      </c>
      <c r="Y50" s="3239">
        <v>201</v>
      </c>
      <c r="Z50" s="3229">
        <v>1038.92</v>
      </c>
    </row>
    <row r="51" spans="1:26" ht="14.25">
      <c r="A51" s="3214">
        <v>47</v>
      </c>
      <c r="B51" s="3384"/>
      <c r="C51" s="3382"/>
      <c r="D51" s="3384"/>
      <c r="E51" s="3383"/>
      <c r="F51" s="3219">
        <v>201</v>
      </c>
      <c r="G51" s="3229">
        <v>1038.92</v>
      </c>
      <c r="H51" s="3214">
        <v>2</v>
      </c>
      <c r="I51" s="3214" t="s">
        <v>3619</v>
      </c>
      <c r="J51" s="3219">
        <f ca="1">'结果表-分业态'!G6</f>
        <v>0.34</v>
      </c>
      <c r="K51" s="3234">
        <f t="shared" ca="1" si="0"/>
        <v>353.23</v>
      </c>
      <c r="L51" s="3059"/>
      <c r="M51" s="3059"/>
      <c r="N51" s="3059"/>
      <c r="O51" s="3059"/>
      <c r="P51" s="3059"/>
      <c r="Q51" s="3059"/>
      <c r="R51" s="3059"/>
      <c r="W51" s="3219">
        <v>102</v>
      </c>
      <c r="X51" s="3219">
        <v>27.52</v>
      </c>
      <c r="Y51" s="3239">
        <v>201</v>
      </c>
      <c r="Z51" s="3229">
        <v>839.49</v>
      </c>
    </row>
    <row r="52" spans="1:26" ht="14.25">
      <c r="A52" s="3214">
        <v>48</v>
      </c>
      <c r="B52" s="3384"/>
      <c r="C52" s="3382"/>
      <c r="D52" s="3384"/>
      <c r="E52" s="3383">
        <v>7</v>
      </c>
      <c r="F52" s="3219">
        <v>101</v>
      </c>
      <c r="G52" s="3229">
        <v>5.31</v>
      </c>
      <c r="H52" s="3214">
        <v>1</v>
      </c>
      <c r="I52" s="3214" t="s">
        <v>3619</v>
      </c>
      <c r="J52" s="3219">
        <f ca="1">J49</f>
        <v>0.52</v>
      </c>
      <c r="K52" s="3234">
        <f t="shared" ca="1" si="0"/>
        <v>2.76</v>
      </c>
      <c r="L52" s="3059"/>
      <c r="M52" s="3059"/>
      <c r="N52" s="3059"/>
      <c r="O52" s="3059"/>
      <c r="P52" s="3059"/>
      <c r="Q52" s="3059"/>
      <c r="R52" s="3059"/>
      <c r="W52" s="3219">
        <v>101</v>
      </c>
      <c r="X52" s="3219">
        <v>5.31</v>
      </c>
      <c r="Y52" s="3239">
        <v>201</v>
      </c>
      <c r="Z52" s="3229">
        <v>935.36</v>
      </c>
    </row>
    <row r="53" spans="1:26" ht="14.25">
      <c r="A53" s="3214">
        <v>49</v>
      </c>
      <c r="B53" s="3384"/>
      <c r="C53" s="3382"/>
      <c r="D53" s="3384"/>
      <c r="E53" s="3383"/>
      <c r="F53" s="3219">
        <v>201</v>
      </c>
      <c r="G53" s="3229">
        <v>839.49</v>
      </c>
      <c r="H53" s="3214">
        <v>2</v>
      </c>
      <c r="I53" s="3214" t="s">
        <v>3619</v>
      </c>
      <c r="J53" s="3219">
        <f ca="1">J51</f>
        <v>0.34</v>
      </c>
      <c r="K53" s="3234">
        <f t="shared" ca="1" si="0"/>
        <v>285.43</v>
      </c>
      <c r="L53" s="3059"/>
      <c r="M53" s="3059"/>
      <c r="N53" s="3059"/>
      <c r="O53" s="3059"/>
      <c r="P53" s="3059"/>
      <c r="Q53" s="3059"/>
      <c r="R53" s="3059"/>
      <c r="W53" s="3219">
        <v>101</v>
      </c>
      <c r="X53" s="3219">
        <v>17.66</v>
      </c>
      <c r="Y53" s="3239">
        <v>202</v>
      </c>
      <c r="Z53" s="3229">
        <v>991.13</v>
      </c>
    </row>
    <row r="54" spans="1:26" ht="14.25">
      <c r="A54" s="3214">
        <v>50</v>
      </c>
      <c r="B54" s="3384"/>
      <c r="C54" s="3382"/>
      <c r="D54" s="3384" t="s">
        <v>3602</v>
      </c>
      <c r="E54" s="3383">
        <v>6</v>
      </c>
      <c r="F54" s="3219">
        <v>101</v>
      </c>
      <c r="G54" s="3229">
        <v>17.66</v>
      </c>
      <c r="H54" s="3214">
        <v>1</v>
      </c>
      <c r="I54" s="3214" t="s">
        <v>3619</v>
      </c>
      <c r="J54" s="3219">
        <f ca="1">J49</f>
        <v>0.52</v>
      </c>
      <c r="K54" s="3234">
        <f t="shared" ca="1" si="0"/>
        <v>9.18</v>
      </c>
      <c r="L54" s="3059"/>
      <c r="M54" s="3059"/>
      <c r="N54" s="3059"/>
      <c r="O54" s="3059"/>
      <c r="P54" s="3059"/>
      <c r="Q54" s="3059"/>
      <c r="R54" s="3059"/>
      <c r="W54" s="3219">
        <v>103</v>
      </c>
      <c r="X54" s="3219">
        <v>152.38</v>
      </c>
      <c r="Z54" s="3018">
        <f>SUM(Z50:Z53)</f>
        <v>3804.9</v>
      </c>
    </row>
    <row r="55" spans="1:26" ht="14.25">
      <c r="A55" s="3214">
        <v>51</v>
      </c>
      <c r="B55" s="3384"/>
      <c r="C55" s="3382"/>
      <c r="D55" s="3384"/>
      <c r="E55" s="3383"/>
      <c r="F55" s="3219">
        <v>103</v>
      </c>
      <c r="G55" s="3229">
        <v>152.38</v>
      </c>
      <c r="H55" s="3214">
        <v>1</v>
      </c>
      <c r="I55" s="3214" t="s">
        <v>3619</v>
      </c>
      <c r="J55" s="3219">
        <f ca="1">J49</f>
        <v>0.52</v>
      </c>
      <c r="K55" s="3234">
        <f t="shared" ca="1" si="0"/>
        <v>79.239999999999995</v>
      </c>
      <c r="L55" s="3059"/>
      <c r="M55" s="3059"/>
      <c r="N55" s="3059"/>
      <c r="O55" s="3059"/>
      <c r="P55" s="3059"/>
      <c r="Q55" s="3059"/>
      <c r="R55" s="3059"/>
      <c r="W55" s="3219">
        <v>106</v>
      </c>
      <c r="X55" s="3219">
        <v>16.29</v>
      </c>
    </row>
    <row r="56" spans="1:26" ht="14.25">
      <c r="A56" s="3214">
        <v>52</v>
      </c>
      <c r="B56" s="3384"/>
      <c r="C56" s="3382"/>
      <c r="D56" s="3384"/>
      <c r="E56" s="3383"/>
      <c r="F56" s="3219">
        <v>106</v>
      </c>
      <c r="G56" s="3229">
        <v>16.29</v>
      </c>
      <c r="H56" s="3214">
        <v>1</v>
      </c>
      <c r="I56" s="3214" t="s">
        <v>3619</v>
      </c>
      <c r="J56" s="3219">
        <f ca="1">J49</f>
        <v>0.52</v>
      </c>
      <c r="K56" s="3234">
        <f t="shared" ca="1" si="0"/>
        <v>8.4700000000000006</v>
      </c>
      <c r="L56" s="3059"/>
      <c r="M56" s="3059"/>
      <c r="N56" s="3059"/>
      <c r="O56" s="3059"/>
      <c r="P56" s="3059"/>
      <c r="Q56" s="3059"/>
      <c r="R56" s="3059"/>
      <c r="W56" s="3219">
        <v>107</v>
      </c>
      <c r="X56" s="3219">
        <v>34.81</v>
      </c>
    </row>
    <row r="57" spans="1:26" ht="14.25">
      <c r="A57" s="3214">
        <v>53</v>
      </c>
      <c r="B57" s="3384"/>
      <c r="C57" s="3382"/>
      <c r="D57" s="3384"/>
      <c r="E57" s="3383"/>
      <c r="F57" s="3219">
        <v>107</v>
      </c>
      <c r="G57" s="3229">
        <v>34.81</v>
      </c>
      <c r="H57" s="3214">
        <v>1</v>
      </c>
      <c r="I57" s="3214" t="s">
        <v>3619</v>
      </c>
      <c r="J57" s="3219">
        <f ca="1">J49</f>
        <v>0.52</v>
      </c>
      <c r="K57" s="3234">
        <f t="shared" ca="1" si="0"/>
        <v>18.100000000000001</v>
      </c>
      <c r="L57" s="3059"/>
      <c r="M57" s="3059"/>
      <c r="N57" s="3059"/>
      <c r="O57" s="3059"/>
      <c r="P57" s="3059"/>
      <c r="Q57" s="3059"/>
      <c r="R57" s="3059"/>
      <c r="W57" s="3219">
        <v>108</v>
      </c>
      <c r="X57" s="3219">
        <v>43.95</v>
      </c>
    </row>
    <row r="58" spans="1:26" ht="14.25">
      <c r="A58" s="3214">
        <v>54</v>
      </c>
      <c r="B58" s="3384"/>
      <c r="C58" s="3382"/>
      <c r="D58" s="3384"/>
      <c r="E58" s="3383"/>
      <c r="F58" s="3219">
        <v>108</v>
      </c>
      <c r="G58" s="3229">
        <v>43.95</v>
      </c>
      <c r="H58" s="3214">
        <v>1</v>
      </c>
      <c r="I58" s="3214" t="s">
        <v>3619</v>
      </c>
      <c r="J58" s="3219">
        <f ca="1">J49</f>
        <v>0.52</v>
      </c>
      <c r="K58" s="3234">
        <f t="shared" ca="1" si="0"/>
        <v>22.85</v>
      </c>
      <c r="L58" s="3059"/>
      <c r="M58" s="3059"/>
      <c r="N58" s="3059"/>
      <c r="O58" s="3059"/>
      <c r="P58" s="3059"/>
      <c r="Q58" s="3059"/>
      <c r="R58" s="3059"/>
      <c r="W58" s="3219">
        <v>109</v>
      </c>
      <c r="X58" s="3219">
        <v>10.89</v>
      </c>
    </row>
    <row r="59" spans="1:26" ht="14.25">
      <c r="A59" s="3214">
        <v>55</v>
      </c>
      <c r="B59" s="3384"/>
      <c r="C59" s="3382"/>
      <c r="D59" s="3384"/>
      <c r="E59" s="3383"/>
      <c r="F59" s="3219">
        <v>109</v>
      </c>
      <c r="G59" s="3229">
        <v>10.89</v>
      </c>
      <c r="H59" s="3214">
        <v>1</v>
      </c>
      <c r="I59" s="3214" t="s">
        <v>3619</v>
      </c>
      <c r="J59" s="3219">
        <f ca="1">J49</f>
        <v>0.52</v>
      </c>
      <c r="K59" s="3234">
        <f t="shared" ca="1" si="0"/>
        <v>5.66</v>
      </c>
      <c r="L59" s="3059"/>
      <c r="M59" s="3059"/>
      <c r="N59" s="3059"/>
      <c r="O59" s="3059"/>
      <c r="P59" s="3059"/>
      <c r="Q59" s="3059"/>
      <c r="R59" s="3059"/>
      <c r="W59" s="3219">
        <v>110</v>
      </c>
      <c r="X59" s="3219">
        <v>54.63</v>
      </c>
      <c r="Z59" s="3018">
        <f>Z54+X68</f>
        <v>4609.66</v>
      </c>
    </row>
    <row r="60" spans="1:26" ht="14.25">
      <c r="A60" s="3214">
        <v>56</v>
      </c>
      <c r="B60" s="3384"/>
      <c r="C60" s="3382"/>
      <c r="D60" s="3384"/>
      <c r="E60" s="3383"/>
      <c r="F60" s="3219">
        <v>110</v>
      </c>
      <c r="G60" s="3229">
        <v>54.63</v>
      </c>
      <c r="H60" s="3214">
        <v>1</v>
      </c>
      <c r="I60" s="3214" t="s">
        <v>3619</v>
      </c>
      <c r="J60" s="3219">
        <f ca="1">J49</f>
        <v>0.52</v>
      </c>
      <c r="K60" s="3234">
        <f t="shared" ca="1" si="0"/>
        <v>28.41</v>
      </c>
      <c r="L60" s="3059"/>
      <c r="M60" s="3059"/>
      <c r="N60" s="3059"/>
      <c r="O60" s="3059"/>
      <c r="P60" s="3059"/>
      <c r="Q60" s="3059"/>
      <c r="R60" s="3059"/>
      <c r="W60" s="3219">
        <v>111</v>
      </c>
      <c r="X60" s="3219">
        <v>39.67</v>
      </c>
    </row>
    <row r="61" spans="1:26" ht="14.25">
      <c r="A61" s="3214">
        <v>57</v>
      </c>
      <c r="B61" s="3384"/>
      <c r="C61" s="3382"/>
      <c r="D61" s="3384"/>
      <c r="E61" s="3383"/>
      <c r="F61" s="3219">
        <v>111</v>
      </c>
      <c r="G61" s="3229">
        <v>39.67</v>
      </c>
      <c r="H61" s="3214">
        <v>1</v>
      </c>
      <c r="I61" s="3214" t="s">
        <v>3619</v>
      </c>
      <c r="J61" s="3219">
        <f ca="1">J49</f>
        <v>0.52</v>
      </c>
      <c r="K61" s="3234">
        <f t="shared" ca="1" si="0"/>
        <v>20.63</v>
      </c>
      <c r="L61" s="3059"/>
      <c r="M61" s="3059"/>
      <c r="N61" s="3059"/>
      <c r="O61" s="3059"/>
      <c r="P61" s="3059"/>
      <c r="Q61" s="3059"/>
      <c r="R61" s="3059"/>
      <c r="W61" s="3219">
        <v>112</v>
      </c>
      <c r="X61" s="3219">
        <v>33.9</v>
      </c>
    </row>
    <row r="62" spans="1:26" ht="14.25">
      <c r="A62" s="3214">
        <v>58</v>
      </c>
      <c r="B62" s="3384"/>
      <c r="C62" s="3382"/>
      <c r="D62" s="3384"/>
      <c r="E62" s="3383"/>
      <c r="F62" s="3219">
        <v>112</v>
      </c>
      <c r="G62" s="3229">
        <v>33.9</v>
      </c>
      <c r="H62" s="3214">
        <v>1</v>
      </c>
      <c r="I62" s="3214" t="s">
        <v>3619</v>
      </c>
      <c r="J62" s="3219">
        <f ca="1">J49</f>
        <v>0.52</v>
      </c>
      <c r="K62" s="3234">
        <f t="shared" ca="1" si="0"/>
        <v>17.63</v>
      </c>
      <c r="L62" s="3059"/>
      <c r="M62" s="3059"/>
      <c r="N62" s="3059"/>
      <c r="O62" s="3059"/>
      <c r="P62" s="3059"/>
      <c r="Q62" s="3059"/>
      <c r="R62" s="3059"/>
      <c r="W62" s="3219">
        <v>113</v>
      </c>
      <c r="X62" s="3219">
        <v>10.86</v>
      </c>
    </row>
    <row r="63" spans="1:26" ht="14.25">
      <c r="A63" s="3214">
        <v>59</v>
      </c>
      <c r="B63" s="3384"/>
      <c r="C63" s="3382"/>
      <c r="D63" s="3384"/>
      <c r="E63" s="3383"/>
      <c r="F63" s="3219">
        <v>113</v>
      </c>
      <c r="G63" s="3229">
        <v>10.86</v>
      </c>
      <c r="H63" s="3214">
        <v>1</v>
      </c>
      <c r="I63" s="3214" t="s">
        <v>3619</v>
      </c>
      <c r="J63" s="3219">
        <f ca="1">J49</f>
        <v>0.52</v>
      </c>
      <c r="K63" s="3234">
        <f t="shared" ca="1" si="0"/>
        <v>5.65</v>
      </c>
      <c r="L63" s="3059"/>
      <c r="M63" s="3059"/>
      <c r="N63" s="3059"/>
      <c r="O63" s="3059"/>
      <c r="P63" s="3059"/>
      <c r="Q63" s="3059"/>
      <c r="R63" s="3059"/>
      <c r="W63" s="3219">
        <v>114</v>
      </c>
      <c r="X63" s="3219">
        <v>110.53</v>
      </c>
    </row>
    <row r="64" spans="1:26" ht="14.25">
      <c r="A64" s="3214">
        <v>60</v>
      </c>
      <c r="B64" s="3384"/>
      <c r="C64" s="3382"/>
      <c r="D64" s="3384"/>
      <c r="E64" s="3383"/>
      <c r="F64" s="3219">
        <v>114</v>
      </c>
      <c r="G64" s="3229">
        <v>110.53</v>
      </c>
      <c r="H64" s="3214">
        <v>1</v>
      </c>
      <c r="I64" s="3214" t="s">
        <v>3619</v>
      </c>
      <c r="J64" s="3219">
        <f ca="1">J49</f>
        <v>0.52</v>
      </c>
      <c r="K64" s="3234">
        <f t="shared" ca="1" si="0"/>
        <v>57.48</v>
      </c>
      <c r="L64" s="3059"/>
      <c r="M64" s="3059"/>
      <c r="N64" s="3059"/>
      <c r="O64" s="3059"/>
      <c r="P64" s="3059"/>
      <c r="Q64" s="3059"/>
      <c r="R64" s="3059"/>
      <c r="W64" s="3219">
        <v>115</v>
      </c>
      <c r="X64" s="3219">
        <v>7.01</v>
      </c>
    </row>
    <row r="65" spans="1:32" ht="14.25">
      <c r="A65" s="3214">
        <v>61</v>
      </c>
      <c r="B65" s="3384"/>
      <c r="C65" s="3382"/>
      <c r="D65" s="3384"/>
      <c r="E65" s="3383"/>
      <c r="F65" s="3219">
        <v>115</v>
      </c>
      <c r="G65" s="3229">
        <v>7.01</v>
      </c>
      <c r="H65" s="3214">
        <v>1</v>
      </c>
      <c r="I65" s="3214" t="s">
        <v>3619</v>
      </c>
      <c r="J65" s="3219">
        <f ca="1">J49</f>
        <v>0.52</v>
      </c>
      <c r="K65" s="3234">
        <f t="shared" ca="1" si="0"/>
        <v>3.65</v>
      </c>
      <c r="L65" s="3059"/>
      <c r="M65" s="3059"/>
      <c r="N65" s="3059"/>
      <c r="O65" s="3059"/>
      <c r="P65" s="3059"/>
      <c r="Q65" s="3059"/>
      <c r="R65" s="3059"/>
      <c r="W65" s="3219">
        <v>116</v>
      </c>
      <c r="X65" s="3219">
        <v>24.83</v>
      </c>
    </row>
    <row r="66" spans="1:32" ht="14.25">
      <c r="A66" s="3214">
        <v>62</v>
      </c>
      <c r="B66" s="3384"/>
      <c r="C66" s="3382"/>
      <c r="D66" s="3384"/>
      <c r="E66" s="3383"/>
      <c r="F66" s="3219">
        <v>116</v>
      </c>
      <c r="G66" s="3229">
        <v>24.83</v>
      </c>
      <c r="H66" s="3214">
        <v>1</v>
      </c>
      <c r="I66" s="3214" t="s">
        <v>3619</v>
      </c>
      <c r="J66" s="3219">
        <f ca="1">J49</f>
        <v>0.52</v>
      </c>
      <c r="K66" s="3234">
        <f t="shared" ca="1" si="0"/>
        <v>12.91</v>
      </c>
      <c r="L66" s="3059"/>
      <c r="M66" s="3059"/>
      <c r="N66" s="3059"/>
      <c r="O66" s="3059"/>
      <c r="P66" s="3059"/>
      <c r="Q66" s="3059"/>
      <c r="R66" s="3059"/>
      <c r="W66" s="3219">
        <v>117</v>
      </c>
      <c r="X66" s="3219">
        <v>32.14</v>
      </c>
    </row>
    <row r="67" spans="1:32" ht="14.25">
      <c r="A67" s="3214">
        <v>63</v>
      </c>
      <c r="B67" s="3384"/>
      <c r="C67" s="3382"/>
      <c r="D67" s="3384"/>
      <c r="E67" s="3383"/>
      <c r="F67" s="3219">
        <v>117</v>
      </c>
      <c r="G67" s="3229">
        <v>32.14</v>
      </c>
      <c r="H67" s="3214">
        <v>1</v>
      </c>
      <c r="I67" s="3214" t="s">
        <v>3619</v>
      </c>
      <c r="J67" s="3219">
        <f ca="1">J49</f>
        <v>0.52</v>
      </c>
      <c r="K67" s="3234">
        <f t="shared" ca="1" si="0"/>
        <v>16.71</v>
      </c>
      <c r="L67" s="3059"/>
      <c r="M67" s="3059"/>
      <c r="N67" s="3059"/>
      <c r="O67" s="3059"/>
      <c r="P67" s="3059"/>
      <c r="Q67" s="3059"/>
      <c r="R67" s="3059"/>
      <c r="W67" s="3219">
        <v>118</v>
      </c>
      <c r="X67" s="3219">
        <v>154.38</v>
      </c>
    </row>
    <row r="68" spans="1:32" ht="14.25">
      <c r="A68" s="3214">
        <v>64</v>
      </c>
      <c r="B68" s="3384"/>
      <c r="C68" s="3382"/>
      <c r="D68" s="3384"/>
      <c r="E68" s="3383"/>
      <c r="F68" s="3219">
        <v>118</v>
      </c>
      <c r="G68" s="3229">
        <v>154.38</v>
      </c>
      <c r="H68" s="3214">
        <v>1</v>
      </c>
      <c r="I68" s="3214" t="s">
        <v>3619</v>
      </c>
      <c r="J68" s="3219">
        <f ca="1">J49</f>
        <v>0.52</v>
      </c>
      <c r="K68" s="3234">
        <f t="shared" ca="1" si="0"/>
        <v>80.28</v>
      </c>
      <c r="L68" s="3059"/>
      <c r="M68" s="3059"/>
      <c r="N68" s="3059"/>
      <c r="O68" s="3059"/>
      <c r="P68" s="3059"/>
      <c r="Q68" s="3059"/>
      <c r="R68" s="3059"/>
      <c r="X68" s="3018">
        <f>SUM(X50:X67)</f>
        <v>804.76</v>
      </c>
    </row>
    <row r="69" spans="1:32" ht="14.25">
      <c r="A69" s="3214">
        <v>65</v>
      </c>
      <c r="B69" s="3384"/>
      <c r="C69" s="3382"/>
      <c r="D69" s="3384"/>
      <c r="E69" s="3383"/>
      <c r="F69" s="3219">
        <v>201</v>
      </c>
      <c r="G69" s="3229">
        <v>935.36</v>
      </c>
      <c r="H69" s="3214">
        <v>2</v>
      </c>
      <c r="I69" s="3214" t="s">
        <v>3619</v>
      </c>
      <c r="J69" s="3219">
        <f ca="1">J51</f>
        <v>0.34</v>
      </c>
      <c r="K69" s="3234">
        <f t="shared" ref="K69:K132" ca="1" si="1">ROUND(G69*J69,2)</f>
        <v>318.02</v>
      </c>
      <c r="L69" s="3059"/>
      <c r="M69" s="3059"/>
      <c r="N69" s="3059"/>
      <c r="O69" s="3059"/>
      <c r="P69" s="3059"/>
      <c r="Q69" s="3059"/>
      <c r="R69" s="3059"/>
    </row>
    <row r="70" spans="1:32" ht="14.25">
      <c r="A70" s="3214">
        <v>66</v>
      </c>
      <c r="B70" s="3384"/>
      <c r="C70" s="3382"/>
      <c r="D70" s="3384"/>
      <c r="E70" s="3383"/>
      <c r="F70" s="3219">
        <v>202</v>
      </c>
      <c r="G70" s="3229">
        <v>991.13</v>
      </c>
      <c r="H70" s="3214">
        <v>2</v>
      </c>
      <c r="I70" s="3214" t="s">
        <v>3619</v>
      </c>
      <c r="J70" s="3219">
        <f ca="1">J51</f>
        <v>0.34</v>
      </c>
      <c r="K70" s="3234">
        <f t="shared" ca="1" si="1"/>
        <v>336.98</v>
      </c>
      <c r="L70" s="3059"/>
      <c r="M70" s="3059"/>
      <c r="N70" s="3059"/>
      <c r="O70" s="3059"/>
      <c r="P70" s="3059"/>
      <c r="Q70" s="3059"/>
      <c r="R70" s="3059"/>
    </row>
    <row r="71" spans="1:32" ht="22.5" customHeight="1">
      <c r="A71" s="3214"/>
      <c r="B71" s="3384"/>
      <c r="C71" s="3227" t="s">
        <v>3633</v>
      </c>
      <c r="D71" s="3055"/>
      <c r="E71" s="3225"/>
      <c r="F71" s="3224"/>
      <c r="G71" s="3230">
        <f>SUM(G49:G70)</f>
        <v>4609.6600000000008</v>
      </c>
      <c r="H71" s="3055"/>
      <c r="I71" s="3055"/>
      <c r="J71" s="3224"/>
      <c r="K71" s="3055">
        <f ca="1">SUM(K49:K70)</f>
        <v>1712.1399999999999</v>
      </c>
      <c r="L71" s="3059"/>
      <c r="M71" s="3059"/>
      <c r="N71" s="3059"/>
      <c r="O71" s="3059"/>
      <c r="P71" s="3059"/>
      <c r="Q71" s="3059"/>
      <c r="R71" s="3059"/>
      <c r="S71" s="3238"/>
    </row>
    <row r="72" spans="1:32" ht="14.25">
      <c r="A72" s="3214">
        <v>67</v>
      </c>
      <c r="B72" s="3384"/>
      <c r="C72" s="3382" t="s">
        <v>3649</v>
      </c>
      <c r="D72" s="3384" t="s">
        <v>3604</v>
      </c>
      <c r="E72" s="3383">
        <v>9</v>
      </c>
      <c r="F72" s="3219">
        <v>101</v>
      </c>
      <c r="G72" s="3229">
        <v>109.36</v>
      </c>
      <c r="H72" s="3214">
        <v>1</v>
      </c>
      <c r="I72" s="3214" t="s">
        <v>3619</v>
      </c>
      <c r="J72" s="3219">
        <f ca="1">'结果表-分业态'!G8</f>
        <v>0.52</v>
      </c>
      <c r="K72" s="3234">
        <f t="shared" ca="1" si="1"/>
        <v>56.87</v>
      </c>
      <c r="L72" s="3059"/>
      <c r="M72" s="3059"/>
      <c r="N72" s="3059"/>
      <c r="O72" s="3059"/>
      <c r="P72" s="3059"/>
      <c r="Q72" s="3059"/>
      <c r="R72" s="3059"/>
      <c r="S72" s="3238"/>
      <c r="W72" s="3389" t="s">
        <v>3635</v>
      </c>
      <c r="X72" s="3389"/>
      <c r="Y72" s="3389" t="s">
        <v>3638</v>
      </c>
      <c r="Z72" s="3389"/>
      <c r="AA72" s="3389" t="s">
        <v>3639</v>
      </c>
      <c r="AB72" s="3389"/>
      <c r="AC72" s="3389" t="s">
        <v>3640</v>
      </c>
      <c r="AD72" s="3389"/>
      <c r="AE72" s="3389" t="s">
        <v>3641</v>
      </c>
      <c r="AF72" s="3389"/>
    </row>
    <row r="73" spans="1:32" ht="14.25">
      <c r="A73" s="3214">
        <v>68</v>
      </c>
      <c r="B73" s="3384"/>
      <c r="C73" s="3382"/>
      <c r="D73" s="3384"/>
      <c r="E73" s="3383"/>
      <c r="F73" s="3219">
        <v>103</v>
      </c>
      <c r="G73" s="3229">
        <v>48.49</v>
      </c>
      <c r="H73" s="3214">
        <v>1</v>
      </c>
      <c r="I73" s="3214" t="s">
        <v>3619</v>
      </c>
      <c r="J73" s="3219">
        <f ca="1">J72</f>
        <v>0.52</v>
      </c>
      <c r="K73" s="3234">
        <f t="shared" ca="1" si="1"/>
        <v>25.21</v>
      </c>
      <c r="L73" s="3059"/>
      <c r="M73" s="3059"/>
      <c r="N73" s="3059"/>
      <c r="O73" s="3059"/>
      <c r="P73" s="3059"/>
      <c r="Q73" s="3059"/>
      <c r="R73" s="3059"/>
      <c r="W73" s="3219">
        <v>101</v>
      </c>
      <c r="X73" s="3229">
        <v>109.36</v>
      </c>
      <c r="Y73" s="3219">
        <v>201</v>
      </c>
      <c r="Z73" s="3229">
        <v>284.56</v>
      </c>
      <c r="AA73" s="3219">
        <v>301</v>
      </c>
      <c r="AB73" s="3229">
        <v>289.57</v>
      </c>
      <c r="AC73" s="3219">
        <v>401</v>
      </c>
      <c r="AD73" s="3229">
        <v>288.62</v>
      </c>
      <c r="AE73" s="3219">
        <v>501</v>
      </c>
      <c r="AF73" s="3229">
        <v>729.81</v>
      </c>
    </row>
    <row r="74" spans="1:32" ht="14.25">
      <c r="A74" s="3214">
        <v>69</v>
      </c>
      <c r="B74" s="3384"/>
      <c r="C74" s="3382"/>
      <c r="D74" s="3384"/>
      <c r="E74" s="3383"/>
      <c r="F74" s="3219">
        <v>201</v>
      </c>
      <c r="G74" s="3229">
        <v>284.56</v>
      </c>
      <c r="H74" s="3214">
        <v>2</v>
      </c>
      <c r="I74" s="3214" t="s">
        <v>3619</v>
      </c>
      <c r="J74" s="3219">
        <f ca="1">'结果表-分业态'!G9</f>
        <v>0.34</v>
      </c>
      <c r="K74" s="3234">
        <f t="shared" ca="1" si="1"/>
        <v>96.75</v>
      </c>
      <c r="L74" s="3059"/>
      <c r="M74" s="3059"/>
      <c r="N74" s="3059"/>
      <c r="O74" s="3059"/>
      <c r="P74" s="3059"/>
      <c r="Q74" s="3059"/>
      <c r="R74" s="3059"/>
      <c r="W74" s="3219">
        <v>103</v>
      </c>
      <c r="X74" s="3229">
        <v>48.49</v>
      </c>
      <c r="Y74" s="3219">
        <v>201</v>
      </c>
      <c r="Z74" s="3229">
        <v>380.65</v>
      </c>
      <c r="AA74" s="3219">
        <v>301</v>
      </c>
      <c r="AB74" s="3229">
        <v>364.65</v>
      </c>
      <c r="AC74" s="3219">
        <v>401</v>
      </c>
      <c r="AD74" s="3229">
        <v>323.95999999999998</v>
      </c>
      <c r="AE74" s="3219">
        <v>501</v>
      </c>
      <c r="AF74" s="3229">
        <v>443.62</v>
      </c>
    </row>
    <row r="75" spans="1:32" ht="14.25">
      <c r="A75" s="3214">
        <v>70</v>
      </c>
      <c r="B75" s="3384"/>
      <c r="C75" s="3382"/>
      <c r="D75" s="3384"/>
      <c r="E75" s="3383"/>
      <c r="F75" s="3219">
        <v>301</v>
      </c>
      <c r="G75" s="3229">
        <v>289.57</v>
      </c>
      <c r="H75" s="3214">
        <v>3</v>
      </c>
      <c r="I75" s="3214" t="s">
        <v>3619</v>
      </c>
      <c r="J75" s="3219">
        <f ca="1">'结果表-分业态'!G10</f>
        <v>0.31</v>
      </c>
      <c r="K75" s="3234">
        <f t="shared" ca="1" si="1"/>
        <v>89.77</v>
      </c>
      <c r="L75" s="3059"/>
      <c r="M75" s="3059"/>
      <c r="N75" s="3059"/>
      <c r="O75" s="3059"/>
      <c r="P75" s="3059"/>
      <c r="Q75" s="3059"/>
      <c r="R75" s="3059"/>
      <c r="W75" s="3219">
        <v>101</v>
      </c>
      <c r="X75" s="3229">
        <v>103.15</v>
      </c>
      <c r="Y75" s="3219">
        <v>201</v>
      </c>
      <c r="Z75" s="3229">
        <v>456.71</v>
      </c>
      <c r="AA75" s="3219">
        <v>301</v>
      </c>
      <c r="AB75" s="3229">
        <v>445.43</v>
      </c>
      <c r="AC75" s="3219">
        <v>401</v>
      </c>
      <c r="AD75" s="3229">
        <v>401.14</v>
      </c>
      <c r="AF75" s="3018">
        <f>SUM(AF73:AF74)</f>
        <v>1173.4299999999998</v>
      </c>
    </row>
    <row r="76" spans="1:32" ht="14.25">
      <c r="A76" s="3214">
        <v>71</v>
      </c>
      <c r="B76" s="3384"/>
      <c r="C76" s="3382"/>
      <c r="D76" s="3384"/>
      <c r="E76" s="3383"/>
      <c r="F76" s="3219">
        <v>401</v>
      </c>
      <c r="G76" s="3229">
        <v>288.62</v>
      </c>
      <c r="H76" s="3214">
        <v>4</v>
      </c>
      <c r="I76" s="3214" t="s">
        <v>3619</v>
      </c>
      <c r="J76" s="3219">
        <f ca="1">'结果表-分业态'!G11</f>
        <v>0.26</v>
      </c>
      <c r="K76" s="3234">
        <f t="shared" ca="1" si="1"/>
        <v>75.040000000000006</v>
      </c>
      <c r="L76" s="3059"/>
      <c r="M76" s="3059"/>
      <c r="N76" s="3059"/>
      <c r="O76" s="3059"/>
      <c r="P76" s="3059"/>
      <c r="Q76" s="3059"/>
      <c r="R76" s="3059"/>
      <c r="W76" s="3219">
        <v>103</v>
      </c>
      <c r="X76" s="3229">
        <v>38.21</v>
      </c>
      <c r="Y76" s="3219">
        <v>201</v>
      </c>
      <c r="Z76" s="3229">
        <v>478.18</v>
      </c>
      <c r="AA76" s="3219">
        <v>301</v>
      </c>
      <c r="AB76" s="3229">
        <v>478.6</v>
      </c>
      <c r="AC76" s="3219">
        <v>401</v>
      </c>
      <c r="AD76" s="3229">
        <v>478.52</v>
      </c>
    </row>
    <row r="77" spans="1:32" ht="14.25">
      <c r="A77" s="3214">
        <v>72</v>
      </c>
      <c r="B77" s="3384"/>
      <c r="C77" s="3382"/>
      <c r="D77" s="3384"/>
      <c r="E77" s="3383">
        <v>10</v>
      </c>
      <c r="F77" s="3219">
        <v>101</v>
      </c>
      <c r="G77" s="3229">
        <v>103.15</v>
      </c>
      <c r="H77" s="3214">
        <v>1</v>
      </c>
      <c r="I77" s="3214" t="s">
        <v>3619</v>
      </c>
      <c r="J77" s="3219">
        <f ca="1">J72</f>
        <v>0.52</v>
      </c>
      <c r="K77" s="3234">
        <f t="shared" ca="1" si="1"/>
        <v>53.64</v>
      </c>
      <c r="L77" s="3059"/>
      <c r="M77" s="3059"/>
      <c r="N77" s="3059"/>
      <c r="O77" s="3059"/>
      <c r="P77" s="3059"/>
      <c r="Q77" s="3059"/>
      <c r="R77" s="3059"/>
      <c r="W77" s="3219">
        <v>104</v>
      </c>
      <c r="X77" s="3229">
        <v>45.04</v>
      </c>
      <c r="Y77" s="3219">
        <v>201</v>
      </c>
      <c r="Z77" s="3229">
        <v>748.67</v>
      </c>
      <c r="AA77" s="3219">
        <v>301</v>
      </c>
      <c r="AB77" s="3229">
        <v>765.57</v>
      </c>
      <c r="AC77" s="3219">
        <v>401</v>
      </c>
      <c r="AD77" s="3229">
        <v>680.75</v>
      </c>
    </row>
    <row r="78" spans="1:32" ht="14.25">
      <c r="A78" s="3214">
        <v>73</v>
      </c>
      <c r="B78" s="3384"/>
      <c r="C78" s="3382"/>
      <c r="D78" s="3384"/>
      <c r="E78" s="3383"/>
      <c r="F78" s="3219">
        <v>103</v>
      </c>
      <c r="G78" s="3229">
        <v>38.21</v>
      </c>
      <c r="H78" s="3214">
        <v>1</v>
      </c>
      <c r="I78" s="3214" t="s">
        <v>3619</v>
      </c>
      <c r="J78" s="3219">
        <f ca="1">J72</f>
        <v>0.52</v>
      </c>
      <c r="K78" s="3234">
        <f t="shared" ca="1" si="1"/>
        <v>19.87</v>
      </c>
      <c r="L78" s="3059"/>
      <c r="M78" s="3059"/>
      <c r="N78" s="3059"/>
      <c r="O78" s="3059"/>
      <c r="P78" s="3059"/>
      <c r="Q78" s="3059"/>
      <c r="R78" s="3059"/>
      <c r="W78" s="3219">
        <v>101</v>
      </c>
      <c r="X78" s="3229">
        <v>77</v>
      </c>
      <c r="Y78" s="3219">
        <v>201</v>
      </c>
      <c r="Z78" s="3229">
        <v>523.98</v>
      </c>
      <c r="AA78" s="3219">
        <v>301</v>
      </c>
      <c r="AB78" s="3229">
        <v>523.36</v>
      </c>
      <c r="AC78" s="3219">
        <v>401</v>
      </c>
      <c r="AD78" s="3229">
        <v>465.77</v>
      </c>
    </row>
    <row r="79" spans="1:32" ht="14.25">
      <c r="A79" s="3214">
        <v>74</v>
      </c>
      <c r="B79" s="3384"/>
      <c r="C79" s="3382"/>
      <c r="D79" s="3384"/>
      <c r="E79" s="3383"/>
      <c r="F79" s="3219">
        <v>104</v>
      </c>
      <c r="G79" s="3229">
        <v>45.04</v>
      </c>
      <c r="H79" s="3214">
        <v>1</v>
      </c>
      <c r="I79" s="3214" t="s">
        <v>3619</v>
      </c>
      <c r="J79" s="3219">
        <f ca="1">J72</f>
        <v>0.52</v>
      </c>
      <c r="K79" s="3234">
        <f t="shared" ca="1" si="1"/>
        <v>23.42</v>
      </c>
      <c r="L79" s="3059"/>
      <c r="M79" s="3059"/>
      <c r="N79" s="3059"/>
      <c r="O79" s="3059"/>
      <c r="P79" s="3059"/>
      <c r="Q79" s="3059"/>
      <c r="R79" s="3059"/>
      <c r="W79" s="3219">
        <v>102</v>
      </c>
      <c r="X79" s="3229">
        <v>65.319999999999993</v>
      </c>
      <c r="Y79" s="3219">
        <v>202</v>
      </c>
      <c r="Z79" s="3229">
        <v>354.56</v>
      </c>
      <c r="AA79" s="3219">
        <v>302</v>
      </c>
      <c r="AB79" s="3229">
        <v>385.18</v>
      </c>
      <c r="AC79" s="3219">
        <v>402</v>
      </c>
      <c r="AD79" s="3229">
        <v>354.56</v>
      </c>
    </row>
    <row r="80" spans="1:32" ht="14.25">
      <c r="A80" s="3214">
        <v>75</v>
      </c>
      <c r="B80" s="3384"/>
      <c r="C80" s="3382"/>
      <c r="D80" s="3384"/>
      <c r="E80" s="3383"/>
      <c r="F80" s="3219">
        <v>201</v>
      </c>
      <c r="G80" s="3229">
        <v>380.65</v>
      </c>
      <c r="H80" s="3214">
        <v>2</v>
      </c>
      <c r="I80" s="3214" t="s">
        <v>3619</v>
      </c>
      <c r="J80" s="3219">
        <f ca="1">J74</f>
        <v>0.34</v>
      </c>
      <c r="K80" s="3234">
        <f t="shared" ca="1" si="1"/>
        <v>129.41999999999999</v>
      </c>
      <c r="L80" s="3059"/>
      <c r="M80" s="3059"/>
      <c r="N80" s="3059"/>
      <c r="O80" s="3059"/>
      <c r="P80" s="3059"/>
      <c r="Q80" s="3059"/>
      <c r="R80" s="3059"/>
      <c r="W80" s="3219">
        <v>101</v>
      </c>
      <c r="X80" s="3229">
        <v>22.08</v>
      </c>
      <c r="Y80" s="3219">
        <v>203</v>
      </c>
      <c r="Z80" s="3229">
        <v>485.92</v>
      </c>
      <c r="AA80" s="3219">
        <v>303</v>
      </c>
      <c r="AB80" s="3229">
        <v>500.94</v>
      </c>
      <c r="AC80" s="3219">
        <v>403</v>
      </c>
      <c r="AD80" s="3229">
        <v>444.85</v>
      </c>
    </row>
    <row r="81" spans="1:30" ht="14.25">
      <c r="A81" s="3214">
        <v>76</v>
      </c>
      <c r="B81" s="3384"/>
      <c r="C81" s="3382"/>
      <c r="D81" s="3384"/>
      <c r="E81" s="3383"/>
      <c r="F81" s="3219">
        <v>301</v>
      </c>
      <c r="G81" s="3229">
        <v>364.65</v>
      </c>
      <c r="H81" s="3214">
        <v>3</v>
      </c>
      <c r="I81" s="3214" t="s">
        <v>3619</v>
      </c>
      <c r="J81" s="3219">
        <f ca="1">J75</f>
        <v>0.31</v>
      </c>
      <c r="K81" s="3234">
        <f t="shared" ca="1" si="1"/>
        <v>113.04</v>
      </c>
      <c r="L81" s="3059"/>
      <c r="M81" s="3059"/>
      <c r="N81" s="3059"/>
      <c r="O81" s="3059"/>
      <c r="P81" s="3059"/>
      <c r="Q81" s="3059"/>
      <c r="R81" s="3059"/>
      <c r="W81" s="3219">
        <v>102</v>
      </c>
      <c r="X81" s="3229">
        <v>128.94999999999999</v>
      </c>
      <c r="Y81" s="3219">
        <v>201</v>
      </c>
      <c r="Z81" s="3229">
        <v>562.57000000000005</v>
      </c>
      <c r="AA81" s="3219">
        <v>301</v>
      </c>
      <c r="AB81" s="3229">
        <v>624.51</v>
      </c>
      <c r="AC81" s="3219">
        <v>401</v>
      </c>
      <c r="AD81" s="3229">
        <v>746.56</v>
      </c>
    </row>
    <row r="82" spans="1:30" ht="14.25">
      <c r="A82" s="3214">
        <v>77</v>
      </c>
      <c r="B82" s="3384"/>
      <c r="C82" s="3382"/>
      <c r="D82" s="3384"/>
      <c r="E82" s="3383"/>
      <c r="F82" s="3219">
        <v>401</v>
      </c>
      <c r="G82" s="3229">
        <v>323.95999999999998</v>
      </c>
      <c r="H82" s="3214">
        <v>4</v>
      </c>
      <c r="I82" s="3214" t="s">
        <v>3619</v>
      </c>
      <c r="J82" s="3219">
        <f ca="1">J76</f>
        <v>0.26</v>
      </c>
      <c r="K82" s="3234">
        <f t="shared" ca="1" si="1"/>
        <v>84.23</v>
      </c>
      <c r="L82" s="3059"/>
      <c r="M82" s="3059"/>
      <c r="N82" s="3059"/>
      <c r="O82" s="3059"/>
      <c r="P82" s="3059"/>
      <c r="Q82" s="3059"/>
      <c r="R82" s="3059"/>
      <c r="W82" s="3219">
        <v>104</v>
      </c>
      <c r="X82" s="3229">
        <v>135.4</v>
      </c>
      <c r="Y82" s="3219">
        <v>201</v>
      </c>
      <c r="Z82" s="3229">
        <v>592.95000000000005</v>
      </c>
      <c r="AA82" s="3219">
        <v>301</v>
      </c>
      <c r="AB82" s="3229">
        <v>580.24</v>
      </c>
      <c r="AC82" s="3219">
        <v>401</v>
      </c>
      <c r="AD82" s="3229">
        <v>415.21</v>
      </c>
    </row>
    <row r="83" spans="1:30" ht="14.25">
      <c r="A83" s="3214">
        <v>78</v>
      </c>
      <c r="B83" s="3384"/>
      <c r="C83" s="3382"/>
      <c r="D83" s="3384"/>
      <c r="E83" s="3383">
        <v>11</v>
      </c>
      <c r="F83" s="3219">
        <v>101</v>
      </c>
      <c r="G83" s="3229">
        <v>77</v>
      </c>
      <c r="H83" s="3214">
        <v>1</v>
      </c>
      <c r="I83" s="3214" t="s">
        <v>3619</v>
      </c>
      <c r="J83" s="3219">
        <f ca="1">J72</f>
        <v>0.52</v>
      </c>
      <c r="K83" s="3234">
        <f t="shared" ca="1" si="1"/>
        <v>40.04</v>
      </c>
      <c r="L83" s="3059"/>
      <c r="M83" s="3059"/>
      <c r="N83" s="3059"/>
      <c r="O83" s="3059"/>
      <c r="P83" s="3059"/>
      <c r="Q83" s="3059"/>
      <c r="R83" s="3059"/>
      <c r="W83" s="3219">
        <v>105</v>
      </c>
      <c r="X83" s="3229">
        <v>61.94</v>
      </c>
      <c r="Z83" s="3018">
        <f>SUM(Z73:Z82)</f>
        <v>4868.75</v>
      </c>
      <c r="AB83" s="3018">
        <f>SUM(AB73:AB82)</f>
        <v>4958.05</v>
      </c>
      <c r="AD83" s="3018">
        <f>SUM(AD73:AD82)</f>
        <v>4599.9399999999996</v>
      </c>
    </row>
    <row r="84" spans="1:30" ht="14.25">
      <c r="A84" s="3214">
        <v>79</v>
      </c>
      <c r="B84" s="3384"/>
      <c r="C84" s="3382"/>
      <c r="D84" s="3384"/>
      <c r="E84" s="3383"/>
      <c r="F84" s="3219">
        <v>102</v>
      </c>
      <c r="G84" s="3229">
        <v>65.319999999999993</v>
      </c>
      <c r="H84" s="3214">
        <v>1</v>
      </c>
      <c r="I84" s="3214" t="s">
        <v>3619</v>
      </c>
      <c r="J84" s="3219">
        <f ca="1">J72</f>
        <v>0.52</v>
      </c>
      <c r="K84" s="3234">
        <f t="shared" ca="1" si="1"/>
        <v>33.97</v>
      </c>
      <c r="L84" s="3059"/>
      <c r="M84" s="3059"/>
      <c r="N84" s="3059"/>
      <c r="O84" s="3059"/>
      <c r="P84" s="3059"/>
      <c r="Q84" s="3059"/>
      <c r="R84" s="3059"/>
      <c r="W84" s="3219">
        <v>102</v>
      </c>
      <c r="X84" s="3229">
        <v>62.98</v>
      </c>
    </row>
    <row r="85" spans="1:30" ht="14.25">
      <c r="A85" s="3214">
        <v>80</v>
      </c>
      <c r="B85" s="3384"/>
      <c r="C85" s="3382"/>
      <c r="D85" s="3384"/>
      <c r="E85" s="3383"/>
      <c r="F85" s="3219">
        <v>201</v>
      </c>
      <c r="G85" s="3229">
        <v>456.71</v>
      </c>
      <c r="H85" s="3214">
        <v>2</v>
      </c>
      <c r="I85" s="3214" t="s">
        <v>3619</v>
      </c>
      <c r="J85" s="3219">
        <f ca="1">J74</f>
        <v>0.34</v>
      </c>
      <c r="K85" s="3234">
        <f t="shared" ca="1" si="1"/>
        <v>155.28</v>
      </c>
      <c r="L85" s="3059"/>
      <c r="M85" s="3059"/>
      <c r="N85" s="3059"/>
      <c r="O85" s="3059"/>
      <c r="P85" s="3059"/>
      <c r="Q85" s="3059"/>
      <c r="R85" s="3059"/>
      <c r="W85" s="3219">
        <v>104</v>
      </c>
      <c r="X85" s="3229">
        <v>44.73</v>
      </c>
    </row>
    <row r="86" spans="1:30" ht="14.25">
      <c r="A86" s="3214">
        <v>81</v>
      </c>
      <c r="B86" s="3384"/>
      <c r="C86" s="3382"/>
      <c r="D86" s="3384"/>
      <c r="E86" s="3383"/>
      <c r="F86" s="3219">
        <v>301</v>
      </c>
      <c r="G86" s="3229">
        <v>445.43</v>
      </c>
      <c r="H86" s="3214">
        <v>3</v>
      </c>
      <c r="I86" s="3214" t="s">
        <v>3619</v>
      </c>
      <c r="J86" s="3219">
        <f ca="1">J75</f>
        <v>0.31</v>
      </c>
      <c r="K86" s="3234">
        <f t="shared" ca="1" si="1"/>
        <v>138.08000000000001</v>
      </c>
      <c r="L86" s="3059"/>
      <c r="M86" s="3059"/>
      <c r="N86" s="3059"/>
      <c r="O86" s="3059"/>
      <c r="P86" s="3059"/>
      <c r="Q86" s="3059"/>
      <c r="R86" s="3059"/>
      <c r="W86" s="3219">
        <v>105</v>
      </c>
      <c r="X86" s="3229">
        <v>63.12</v>
      </c>
    </row>
    <row r="87" spans="1:30" ht="14.25">
      <c r="A87" s="3214">
        <v>82</v>
      </c>
      <c r="B87" s="3384"/>
      <c r="C87" s="3382"/>
      <c r="D87" s="3384"/>
      <c r="E87" s="3383"/>
      <c r="F87" s="3219">
        <v>401</v>
      </c>
      <c r="G87" s="3229">
        <v>401.14</v>
      </c>
      <c r="H87" s="3214">
        <v>4</v>
      </c>
      <c r="I87" s="3214" t="s">
        <v>3619</v>
      </c>
      <c r="J87" s="3219">
        <f ca="1">J76</f>
        <v>0.26</v>
      </c>
      <c r="K87" s="3234">
        <f t="shared" ca="1" si="1"/>
        <v>104.3</v>
      </c>
      <c r="L87" s="3059"/>
      <c r="M87" s="3059"/>
      <c r="N87" s="3059"/>
      <c r="O87" s="3059"/>
      <c r="P87" s="3059"/>
      <c r="Q87" s="3059"/>
      <c r="R87" s="3059"/>
      <c r="W87" s="3219">
        <v>106</v>
      </c>
      <c r="X87" s="3229">
        <v>64.400000000000006</v>
      </c>
    </row>
    <row r="88" spans="1:30" ht="14.25">
      <c r="A88" s="3214">
        <v>83</v>
      </c>
      <c r="B88" s="3384"/>
      <c r="C88" s="3382"/>
      <c r="D88" s="3384" t="s">
        <v>3596</v>
      </c>
      <c r="E88" s="3383">
        <v>5</v>
      </c>
      <c r="F88" s="3219">
        <v>101</v>
      </c>
      <c r="G88" s="3229">
        <v>22.08</v>
      </c>
      <c r="H88" s="3214">
        <v>1</v>
      </c>
      <c r="I88" s="3214" t="s">
        <v>3619</v>
      </c>
      <c r="J88" s="3219">
        <f ca="1">J72</f>
        <v>0.52</v>
      </c>
      <c r="K88" s="3234">
        <f t="shared" ca="1" si="1"/>
        <v>11.48</v>
      </c>
      <c r="L88" s="3059"/>
      <c r="M88" s="3059"/>
      <c r="N88" s="3059"/>
      <c r="O88" s="3059"/>
      <c r="P88" s="3059"/>
      <c r="Q88" s="3059"/>
      <c r="R88" s="3059"/>
      <c r="W88" s="3219">
        <v>107</v>
      </c>
      <c r="X88" s="3229">
        <v>15.85</v>
      </c>
    </row>
    <row r="89" spans="1:30" ht="14.25">
      <c r="A89" s="3214">
        <v>84</v>
      </c>
      <c r="B89" s="3384"/>
      <c r="C89" s="3382"/>
      <c r="D89" s="3384"/>
      <c r="E89" s="3383"/>
      <c r="F89" s="3219">
        <v>102</v>
      </c>
      <c r="G89" s="3229">
        <v>128.94999999999999</v>
      </c>
      <c r="H89" s="3214">
        <v>1</v>
      </c>
      <c r="I89" s="3214" t="s">
        <v>3619</v>
      </c>
      <c r="J89" s="3219">
        <f ca="1">J72</f>
        <v>0.52</v>
      </c>
      <c r="K89" s="3234">
        <f t="shared" ca="1" si="1"/>
        <v>67.05</v>
      </c>
      <c r="L89" s="3059"/>
      <c r="M89" s="3059"/>
      <c r="N89" s="3059"/>
      <c r="O89" s="3059"/>
      <c r="P89" s="3059"/>
      <c r="Q89" s="3059"/>
      <c r="R89" s="3059"/>
      <c r="W89" s="3219">
        <v>101</v>
      </c>
      <c r="X89" s="3229">
        <v>8.8800000000000008</v>
      </c>
    </row>
    <row r="90" spans="1:30" ht="14.25">
      <c r="A90" s="3214">
        <v>85</v>
      </c>
      <c r="B90" s="3384"/>
      <c r="C90" s="3382"/>
      <c r="D90" s="3384"/>
      <c r="E90" s="3383"/>
      <c r="F90" s="3219">
        <v>104</v>
      </c>
      <c r="G90" s="3229">
        <v>135.4</v>
      </c>
      <c r="H90" s="3214">
        <v>1</v>
      </c>
      <c r="I90" s="3214" t="s">
        <v>3619</v>
      </c>
      <c r="J90" s="3219">
        <f ca="1">J72</f>
        <v>0.52</v>
      </c>
      <c r="K90" s="3234">
        <f t="shared" ca="1" si="1"/>
        <v>70.41</v>
      </c>
      <c r="L90" s="3059"/>
      <c r="M90" s="3059"/>
      <c r="N90" s="3059"/>
      <c r="O90" s="3059"/>
      <c r="P90" s="3059"/>
      <c r="Q90" s="3059"/>
      <c r="R90" s="3059"/>
      <c r="W90" s="3219">
        <v>102</v>
      </c>
      <c r="X90" s="3229">
        <v>46.33</v>
      </c>
    </row>
    <row r="91" spans="1:30" ht="14.25">
      <c r="A91" s="3214">
        <v>86</v>
      </c>
      <c r="B91" s="3384"/>
      <c r="C91" s="3382"/>
      <c r="D91" s="3384"/>
      <c r="E91" s="3383"/>
      <c r="F91" s="3219">
        <v>105</v>
      </c>
      <c r="G91" s="3229">
        <v>61.94</v>
      </c>
      <c r="H91" s="3214">
        <v>1</v>
      </c>
      <c r="I91" s="3214" t="s">
        <v>3619</v>
      </c>
      <c r="J91" s="3219">
        <f ca="1">J72</f>
        <v>0.52</v>
      </c>
      <c r="K91" s="3234">
        <f t="shared" ca="1" si="1"/>
        <v>32.21</v>
      </c>
      <c r="L91" s="3059"/>
      <c r="M91" s="3059"/>
      <c r="N91" s="3059"/>
      <c r="O91" s="3059"/>
      <c r="P91" s="3059"/>
      <c r="Q91" s="3059"/>
      <c r="R91" s="3059"/>
      <c r="W91" s="3219">
        <v>104</v>
      </c>
      <c r="X91" s="3229">
        <v>46.64</v>
      </c>
    </row>
    <row r="92" spans="1:30" ht="14.25">
      <c r="A92" s="3214">
        <v>87</v>
      </c>
      <c r="B92" s="3384"/>
      <c r="C92" s="3382"/>
      <c r="D92" s="3384"/>
      <c r="E92" s="3383"/>
      <c r="F92" s="3219">
        <v>201</v>
      </c>
      <c r="G92" s="3229">
        <v>478.18</v>
      </c>
      <c r="H92" s="3214">
        <v>2</v>
      </c>
      <c r="I92" s="3214" t="s">
        <v>3619</v>
      </c>
      <c r="J92" s="3219">
        <f ca="1">J74</f>
        <v>0.34</v>
      </c>
      <c r="K92" s="3234">
        <f t="shared" ca="1" si="1"/>
        <v>162.58000000000001</v>
      </c>
      <c r="L92" s="3059"/>
      <c r="M92" s="3059"/>
      <c r="N92" s="3059"/>
      <c r="O92" s="3059"/>
      <c r="P92" s="3059"/>
      <c r="Q92" s="3059"/>
      <c r="R92" s="3059"/>
      <c r="W92" s="3219">
        <v>105</v>
      </c>
      <c r="X92" s="3229">
        <v>61.66</v>
      </c>
    </row>
    <row r="93" spans="1:30" ht="14.25">
      <c r="A93" s="3214">
        <v>88</v>
      </c>
      <c r="B93" s="3384"/>
      <c r="C93" s="3382"/>
      <c r="D93" s="3384"/>
      <c r="E93" s="3383"/>
      <c r="F93" s="3219">
        <v>301</v>
      </c>
      <c r="G93" s="3229">
        <v>478.6</v>
      </c>
      <c r="H93" s="3214">
        <v>3</v>
      </c>
      <c r="I93" s="3214" t="s">
        <v>3619</v>
      </c>
      <c r="J93" s="3219">
        <f ca="1">J75</f>
        <v>0.31</v>
      </c>
      <c r="K93" s="3234">
        <f t="shared" ca="1" si="1"/>
        <v>148.37</v>
      </c>
      <c r="L93" s="3059"/>
      <c r="M93" s="3059"/>
      <c r="N93" s="3059"/>
      <c r="O93" s="3059"/>
      <c r="P93" s="3059"/>
      <c r="Q93" s="3059"/>
      <c r="R93" s="3059"/>
      <c r="W93" s="3219">
        <v>107</v>
      </c>
      <c r="X93" s="3229">
        <v>63.63</v>
      </c>
    </row>
    <row r="94" spans="1:30" ht="14.25">
      <c r="A94" s="3214">
        <v>89</v>
      </c>
      <c r="B94" s="3384"/>
      <c r="C94" s="3382"/>
      <c r="D94" s="3384"/>
      <c r="E94" s="3383"/>
      <c r="F94" s="3219">
        <v>401</v>
      </c>
      <c r="G94" s="3229">
        <v>478.52</v>
      </c>
      <c r="H94" s="3214">
        <v>4</v>
      </c>
      <c r="I94" s="3214" t="s">
        <v>3619</v>
      </c>
      <c r="J94" s="3219">
        <f ca="1">J76</f>
        <v>0.26</v>
      </c>
      <c r="K94" s="3234">
        <f t="shared" ca="1" si="1"/>
        <v>124.42</v>
      </c>
      <c r="L94" s="3059"/>
      <c r="M94" s="3059"/>
      <c r="N94" s="3059"/>
      <c r="O94" s="3059"/>
      <c r="P94" s="3059"/>
      <c r="Q94" s="3059"/>
      <c r="R94" s="3059"/>
      <c r="W94" s="3219">
        <v>108</v>
      </c>
      <c r="X94" s="3229">
        <v>8.3000000000000007</v>
      </c>
    </row>
    <row r="95" spans="1:30" ht="14.25">
      <c r="A95" s="3214">
        <v>90</v>
      </c>
      <c r="B95" s="3384"/>
      <c r="C95" s="3382"/>
      <c r="D95" s="3384"/>
      <c r="E95" s="3383">
        <v>6</v>
      </c>
      <c r="F95" s="3219">
        <v>102</v>
      </c>
      <c r="G95" s="3229">
        <v>62.98</v>
      </c>
      <c r="H95" s="3214">
        <v>1</v>
      </c>
      <c r="I95" s="3214" t="s">
        <v>3619</v>
      </c>
      <c r="J95" s="3219">
        <f ca="1">J72</f>
        <v>0.52</v>
      </c>
      <c r="K95" s="3234">
        <f t="shared" ca="1" si="1"/>
        <v>32.75</v>
      </c>
      <c r="L95" s="3059"/>
      <c r="M95" s="3059"/>
      <c r="N95" s="3059"/>
      <c r="O95" s="3059"/>
      <c r="P95" s="3059"/>
      <c r="Q95" s="3059"/>
      <c r="R95" s="3059"/>
      <c r="W95" s="3219">
        <v>109</v>
      </c>
      <c r="X95" s="3229">
        <v>22.91</v>
      </c>
      <c r="AC95" s="3018">
        <f>X106+Z83+AB83+AD83+AF75</f>
        <v>17383.189999999999</v>
      </c>
    </row>
    <row r="96" spans="1:30" ht="14.25">
      <c r="A96" s="3214">
        <v>91</v>
      </c>
      <c r="B96" s="3384"/>
      <c r="C96" s="3382"/>
      <c r="D96" s="3384"/>
      <c r="E96" s="3383"/>
      <c r="F96" s="3219">
        <v>104</v>
      </c>
      <c r="G96" s="3229">
        <v>44.73</v>
      </c>
      <c r="H96" s="3214">
        <v>1</v>
      </c>
      <c r="I96" s="3214" t="s">
        <v>3619</v>
      </c>
      <c r="J96" s="3219">
        <f ca="1">J72</f>
        <v>0.52</v>
      </c>
      <c r="K96" s="3234">
        <f t="shared" ca="1" si="1"/>
        <v>23.26</v>
      </c>
      <c r="L96" s="3059"/>
      <c r="M96" s="3059"/>
      <c r="N96" s="3059"/>
      <c r="O96" s="3059"/>
      <c r="P96" s="3059"/>
      <c r="Q96" s="3059"/>
      <c r="R96" s="3059"/>
      <c r="W96" s="3219">
        <v>110</v>
      </c>
      <c r="X96" s="3229">
        <v>16.07</v>
      </c>
    </row>
    <row r="97" spans="1:24" ht="14.25">
      <c r="A97" s="3214">
        <v>92</v>
      </c>
      <c r="B97" s="3384"/>
      <c r="C97" s="3382"/>
      <c r="D97" s="3384"/>
      <c r="E97" s="3383"/>
      <c r="F97" s="3219">
        <v>105</v>
      </c>
      <c r="G97" s="3229">
        <v>63.12</v>
      </c>
      <c r="H97" s="3214">
        <v>1</v>
      </c>
      <c r="I97" s="3214" t="s">
        <v>3619</v>
      </c>
      <c r="J97" s="3219">
        <f ca="1">J72</f>
        <v>0.52</v>
      </c>
      <c r="K97" s="3234">
        <f t="shared" ca="1" si="1"/>
        <v>32.82</v>
      </c>
      <c r="L97" s="3059"/>
      <c r="M97" s="3059"/>
      <c r="N97" s="3059"/>
      <c r="O97" s="3059"/>
      <c r="P97" s="3059"/>
      <c r="Q97" s="3059"/>
      <c r="R97" s="3059"/>
      <c r="W97" s="3219">
        <v>112</v>
      </c>
      <c r="X97" s="3229">
        <v>49.13</v>
      </c>
    </row>
    <row r="98" spans="1:24" ht="14.25">
      <c r="A98" s="3214">
        <v>93</v>
      </c>
      <c r="B98" s="3384"/>
      <c r="C98" s="3382"/>
      <c r="D98" s="3384"/>
      <c r="E98" s="3383"/>
      <c r="F98" s="3219">
        <v>106</v>
      </c>
      <c r="G98" s="3229">
        <v>64.400000000000006</v>
      </c>
      <c r="H98" s="3214">
        <v>1</v>
      </c>
      <c r="I98" s="3214" t="s">
        <v>3619</v>
      </c>
      <c r="J98" s="3219">
        <f ca="1">J72</f>
        <v>0.52</v>
      </c>
      <c r="K98" s="3234">
        <f t="shared" ca="1" si="1"/>
        <v>33.49</v>
      </c>
      <c r="L98" s="3059"/>
      <c r="M98" s="3059"/>
      <c r="N98" s="3059"/>
      <c r="O98" s="3059"/>
      <c r="P98" s="3059"/>
      <c r="Q98" s="3059"/>
      <c r="R98" s="3059"/>
      <c r="W98" s="3219">
        <v>113</v>
      </c>
      <c r="X98" s="3229">
        <v>126.59</v>
      </c>
    </row>
    <row r="99" spans="1:24" ht="14.25">
      <c r="A99" s="3214">
        <v>94</v>
      </c>
      <c r="B99" s="3384"/>
      <c r="C99" s="3382"/>
      <c r="D99" s="3384"/>
      <c r="E99" s="3383"/>
      <c r="F99" s="3219">
        <v>107</v>
      </c>
      <c r="G99" s="3229">
        <v>15.85</v>
      </c>
      <c r="H99" s="3214">
        <v>1</v>
      </c>
      <c r="I99" s="3214" t="s">
        <v>3619</v>
      </c>
      <c r="J99" s="3219">
        <f ca="1">J72</f>
        <v>0.52</v>
      </c>
      <c r="K99" s="3234">
        <f t="shared" ca="1" si="1"/>
        <v>8.24</v>
      </c>
      <c r="L99" s="3059"/>
      <c r="M99" s="3059"/>
      <c r="N99" s="3059"/>
      <c r="O99" s="3059"/>
      <c r="P99" s="3059"/>
      <c r="Q99" s="3059"/>
      <c r="R99" s="3059"/>
      <c r="W99" s="3219">
        <v>114</v>
      </c>
      <c r="X99" s="3229">
        <v>8.56</v>
      </c>
    </row>
    <row r="100" spans="1:24" ht="14.25">
      <c r="A100" s="3214">
        <v>95</v>
      </c>
      <c r="B100" s="3384"/>
      <c r="C100" s="3382"/>
      <c r="D100" s="3384"/>
      <c r="E100" s="3383"/>
      <c r="F100" s="3219">
        <v>201</v>
      </c>
      <c r="G100" s="3229">
        <v>748.67</v>
      </c>
      <c r="H100" s="3214">
        <v>2</v>
      </c>
      <c r="I100" s="3214" t="s">
        <v>3619</v>
      </c>
      <c r="J100" s="3219">
        <f ca="1">J74</f>
        <v>0.34</v>
      </c>
      <c r="K100" s="3234">
        <f t="shared" ca="1" si="1"/>
        <v>254.55</v>
      </c>
      <c r="L100" s="3059"/>
      <c r="M100" s="3059"/>
      <c r="N100" s="3059"/>
      <c r="O100" s="3059"/>
      <c r="P100" s="3059"/>
      <c r="Q100" s="3059"/>
      <c r="R100" s="3059"/>
      <c r="W100" s="3219">
        <v>115</v>
      </c>
      <c r="X100" s="3229">
        <v>28.54</v>
      </c>
    </row>
    <row r="101" spans="1:24" ht="14.25">
      <c r="A101" s="3214">
        <v>96</v>
      </c>
      <c r="B101" s="3384"/>
      <c r="C101" s="3382"/>
      <c r="D101" s="3384"/>
      <c r="E101" s="3383"/>
      <c r="F101" s="3219">
        <v>301</v>
      </c>
      <c r="G101" s="3229">
        <v>765.57</v>
      </c>
      <c r="H101" s="3214">
        <v>3</v>
      </c>
      <c r="I101" s="3214" t="s">
        <v>3619</v>
      </c>
      <c r="J101" s="3219">
        <f ca="1">J93</f>
        <v>0.31</v>
      </c>
      <c r="K101" s="3234">
        <f t="shared" ca="1" si="1"/>
        <v>237.33</v>
      </c>
      <c r="L101" s="3059"/>
      <c r="M101" s="3059"/>
      <c r="N101" s="3059"/>
      <c r="O101" s="3059"/>
      <c r="P101" s="3059"/>
      <c r="Q101" s="3059"/>
      <c r="R101" s="3059"/>
      <c r="W101" s="3219">
        <v>101</v>
      </c>
      <c r="X101" s="3229">
        <v>34.56</v>
      </c>
    </row>
    <row r="102" spans="1:24" ht="14.25">
      <c r="A102" s="3214">
        <v>97</v>
      </c>
      <c r="B102" s="3384"/>
      <c r="C102" s="3382"/>
      <c r="D102" s="3384"/>
      <c r="E102" s="3383"/>
      <c r="F102" s="3219">
        <v>401</v>
      </c>
      <c r="G102" s="3229">
        <v>680.75</v>
      </c>
      <c r="H102" s="3214">
        <v>4</v>
      </c>
      <c r="I102" s="3214" t="s">
        <v>3619</v>
      </c>
      <c r="J102" s="3219">
        <f ca="1">J94</f>
        <v>0.26</v>
      </c>
      <c r="K102" s="3234">
        <f t="shared" ca="1" si="1"/>
        <v>177</v>
      </c>
      <c r="L102" s="3059"/>
      <c r="M102" s="3059"/>
      <c r="N102" s="3059"/>
      <c r="O102" s="3059"/>
      <c r="P102" s="3059"/>
      <c r="Q102" s="3059"/>
      <c r="R102" s="3059"/>
      <c r="W102" s="3219">
        <v>102</v>
      </c>
      <c r="X102" s="3229">
        <v>41.69</v>
      </c>
    </row>
    <row r="103" spans="1:24" ht="14.25">
      <c r="A103" s="3214">
        <v>98</v>
      </c>
      <c r="B103" s="3384"/>
      <c r="C103" s="3382"/>
      <c r="D103" s="3384"/>
      <c r="E103" s="3383">
        <v>8</v>
      </c>
      <c r="F103" s="3219">
        <v>101</v>
      </c>
      <c r="G103" s="3229">
        <v>8.8800000000000008</v>
      </c>
      <c r="H103" s="3214">
        <v>1</v>
      </c>
      <c r="I103" s="3214" t="s">
        <v>3619</v>
      </c>
      <c r="J103" s="3219">
        <f ca="1">J95</f>
        <v>0.52</v>
      </c>
      <c r="K103" s="3234">
        <f t="shared" ca="1" si="1"/>
        <v>4.62</v>
      </c>
      <c r="L103" s="3059"/>
      <c r="M103" s="3059"/>
      <c r="N103" s="3059"/>
      <c r="O103" s="3059"/>
      <c r="P103" s="3059"/>
      <c r="Q103" s="3059"/>
      <c r="R103" s="3059"/>
      <c r="W103" s="3219">
        <v>101</v>
      </c>
      <c r="X103" s="3229">
        <v>76.33</v>
      </c>
    </row>
    <row r="104" spans="1:24" ht="14.25">
      <c r="A104" s="3214">
        <v>99</v>
      </c>
      <c r="B104" s="3384"/>
      <c r="C104" s="3382"/>
      <c r="D104" s="3384"/>
      <c r="E104" s="3383"/>
      <c r="F104" s="3219">
        <v>102</v>
      </c>
      <c r="G104" s="3229">
        <v>46.33</v>
      </c>
      <c r="H104" s="3214">
        <v>1</v>
      </c>
      <c r="I104" s="3214" t="s">
        <v>3619</v>
      </c>
      <c r="J104" s="3219">
        <f ca="1">J95</f>
        <v>0.52</v>
      </c>
      <c r="K104" s="3234">
        <f t="shared" ca="1" si="1"/>
        <v>24.09</v>
      </c>
      <c r="L104" s="3059"/>
      <c r="M104" s="3059"/>
      <c r="N104" s="3059"/>
      <c r="O104" s="3059"/>
      <c r="P104" s="3059"/>
      <c r="Q104" s="3059"/>
      <c r="R104" s="3059"/>
      <c r="W104" s="3219">
        <v>102</v>
      </c>
      <c r="X104" s="3229">
        <v>35.58</v>
      </c>
    </row>
    <row r="105" spans="1:24" ht="14.25">
      <c r="A105" s="3214">
        <v>100</v>
      </c>
      <c r="B105" s="3384"/>
      <c r="C105" s="3382"/>
      <c r="D105" s="3384"/>
      <c r="E105" s="3383"/>
      <c r="F105" s="3219">
        <v>104</v>
      </c>
      <c r="G105" s="3229">
        <v>46.64</v>
      </c>
      <c r="H105" s="3214">
        <v>1</v>
      </c>
      <c r="I105" s="3214" t="s">
        <v>3619</v>
      </c>
      <c r="J105" s="3219">
        <f ca="1">J95</f>
        <v>0.52</v>
      </c>
      <c r="K105" s="3234">
        <f t="shared" ca="1" si="1"/>
        <v>24.25</v>
      </c>
      <c r="L105" s="3059"/>
      <c r="M105" s="3059"/>
      <c r="N105" s="3059"/>
      <c r="O105" s="3059"/>
      <c r="P105" s="3059"/>
      <c r="Q105" s="3059"/>
      <c r="R105" s="3059"/>
      <c r="W105" s="3219">
        <v>103</v>
      </c>
      <c r="X105" s="3229">
        <v>21.6</v>
      </c>
    </row>
    <row r="106" spans="1:24" ht="14.25">
      <c r="A106" s="3214">
        <v>101</v>
      </c>
      <c r="B106" s="3384"/>
      <c r="C106" s="3382"/>
      <c r="D106" s="3384"/>
      <c r="E106" s="3383"/>
      <c r="F106" s="3219">
        <v>105</v>
      </c>
      <c r="G106" s="3229">
        <v>61.66</v>
      </c>
      <c r="H106" s="3214">
        <v>1</v>
      </c>
      <c r="I106" s="3214" t="s">
        <v>3619</v>
      </c>
      <c r="J106" s="3219">
        <f ca="1">J95</f>
        <v>0.52</v>
      </c>
      <c r="K106" s="3234">
        <f t="shared" ca="1" si="1"/>
        <v>32.06</v>
      </c>
      <c r="L106" s="3059"/>
      <c r="M106" s="3059"/>
      <c r="N106" s="3059"/>
      <c r="O106" s="3059"/>
      <c r="P106" s="3059"/>
      <c r="Q106" s="3059"/>
      <c r="R106" s="3059"/>
      <c r="X106" s="3018">
        <f>SUM(X73:X105)</f>
        <v>1783.0199999999998</v>
      </c>
    </row>
    <row r="107" spans="1:24" ht="14.25">
      <c r="A107" s="3214">
        <v>102</v>
      </c>
      <c r="B107" s="3384"/>
      <c r="C107" s="3382"/>
      <c r="D107" s="3384"/>
      <c r="E107" s="3383"/>
      <c r="F107" s="3219">
        <v>201</v>
      </c>
      <c r="G107" s="3229">
        <v>523.98</v>
      </c>
      <c r="H107" s="3214">
        <v>2</v>
      </c>
      <c r="I107" s="3214" t="s">
        <v>3619</v>
      </c>
      <c r="J107" s="3219">
        <f ca="1">J100</f>
        <v>0.34</v>
      </c>
      <c r="K107" s="3234">
        <f t="shared" ca="1" si="1"/>
        <v>178.15</v>
      </c>
      <c r="L107" s="3059"/>
      <c r="M107" s="3059"/>
      <c r="N107" s="3059"/>
      <c r="O107" s="3059"/>
      <c r="P107" s="3059"/>
      <c r="Q107" s="3059"/>
      <c r="R107" s="3059"/>
    </row>
    <row r="108" spans="1:24" ht="14.25">
      <c r="A108" s="3214">
        <v>103</v>
      </c>
      <c r="B108" s="3384"/>
      <c r="C108" s="3382"/>
      <c r="D108" s="3384"/>
      <c r="E108" s="3383"/>
      <c r="F108" s="3219">
        <v>301</v>
      </c>
      <c r="G108" s="3229">
        <v>523.36</v>
      </c>
      <c r="H108" s="3214">
        <v>3</v>
      </c>
      <c r="I108" s="3214" t="s">
        <v>3619</v>
      </c>
      <c r="J108" s="3219">
        <f ca="1">J101</f>
        <v>0.31</v>
      </c>
      <c r="K108" s="3234">
        <f t="shared" ca="1" si="1"/>
        <v>162.24</v>
      </c>
      <c r="L108" s="3059"/>
      <c r="M108" s="3059"/>
      <c r="N108" s="3059"/>
      <c r="O108" s="3059"/>
      <c r="P108" s="3059"/>
      <c r="Q108" s="3059"/>
      <c r="R108" s="3059"/>
    </row>
    <row r="109" spans="1:24" ht="14.25">
      <c r="A109" s="3214">
        <v>104</v>
      </c>
      <c r="B109" s="3384"/>
      <c r="C109" s="3382"/>
      <c r="D109" s="3384"/>
      <c r="E109" s="3383"/>
      <c r="F109" s="3219">
        <v>401</v>
      </c>
      <c r="G109" s="3229">
        <v>465.77</v>
      </c>
      <c r="H109" s="3214">
        <v>4</v>
      </c>
      <c r="I109" s="3214" t="s">
        <v>3619</v>
      </c>
      <c r="J109" s="3219">
        <f ca="1">J102</f>
        <v>0.26</v>
      </c>
      <c r="K109" s="3234">
        <f t="shared" ca="1" si="1"/>
        <v>121.1</v>
      </c>
      <c r="L109" s="3059"/>
      <c r="M109" s="3059"/>
      <c r="N109" s="3059"/>
      <c r="O109" s="3059"/>
      <c r="P109" s="3059"/>
      <c r="Q109" s="3059"/>
      <c r="R109" s="3059"/>
    </row>
    <row r="110" spans="1:24" ht="14.25">
      <c r="A110" s="3214">
        <v>105</v>
      </c>
      <c r="B110" s="3384"/>
      <c r="C110" s="3382"/>
      <c r="D110" s="3384"/>
      <c r="E110" s="3383">
        <v>9</v>
      </c>
      <c r="F110" s="3219">
        <v>107</v>
      </c>
      <c r="G110" s="3229">
        <v>63.63</v>
      </c>
      <c r="H110" s="3214">
        <v>1</v>
      </c>
      <c r="I110" s="3214" t="s">
        <v>3619</v>
      </c>
      <c r="J110" s="3219">
        <f ca="1">J103</f>
        <v>0.52</v>
      </c>
      <c r="K110" s="3234">
        <f t="shared" ca="1" si="1"/>
        <v>33.090000000000003</v>
      </c>
      <c r="L110" s="3059"/>
      <c r="M110" s="3059"/>
      <c r="N110" s="3059"/>
      <c r="O110" s="3059"/>
      <c r="P110" s="3059"/>
      <c r="Q110" s="3059"/>
      <c r="R110" s="3059"/>
    </row>
    <row r="111" spans="1:24" ht="14.25">
      <c r="A111" s="3214">
        <v>106</v>
      </c>
      <c r="B111" s="3384"/>
      <c r="C111" s="3382"/>
      <c r="D111" s="3384"/>
      <c r="E111" s="3383"/>
      <c r="F111" s="3219">
        <v>108</v>
      </c>
      <c r="G111" s="3229">
        <v>8.3000000000000007</v>
      </c>
      <c r="H111" s="3214">
        <v>1</v>
      </c>
      <c r="I111" s="3214" t="s">
        <v>3619</v>
      </c>
      <c r="J111" s="3219">
        <f ca="1">J103</f>
        <v>0.52</v>
      </c>
      <c r="K111" s="3234">
        <f t="shared" ca="1" si="1"/>
        <v>4.32</v>
      </c>
      <c r="L111" s="3059"/>
      <c r="M111" s="3059"/>
      <c r="N111" s="3059"/>
      <c r="O111" s="3059"/>
      <c r="P111" s="3059"/>
      <c r="Q111" s="3059"/>
      <c r="R111" s="3059"/>
    </row>
    <row r="112" spans="1:24" ht="14.25">
      <c r="A112" s="3214">
        <v>107</v>
      </c>
      <c r="B112" s="3384"/>
      <c r="C112" s="3382"/>
      <c r="D112" s="3384"/>
      <c r="E112" s="3383"/>
      <c r="F112" s="3219">
        <v>109</v>
      </c>
      <c r="G112" s="3229">
        <v>22.91</v>
      </c>
      <c r="H112" s="3214">
        <v>1</v>
      </c>
      <c r="I112" s="3214" t="s">
        <v>3619</v>
      </c>
      <c r="J112" s="3219">
        <f ca="1">J103</f>
        <v>0.52</v>
      </c>
      <c r="K112" s="3234">
        <f t="shared" ca="1" si="1"/>
        <v>11.91</v>
      </c>
      <c r="L112" s="3059"/>
      <c r="M112" s="3059"/>
      <c r="N112" s="3059"/>
      <c r="O112" s="3059"/>
      <c r="P112" s="3059"/>
      <c r="Q112" s="3059"/>
      <c r="R112" s="3059"/>
    </row>
    <row r="113" spans="1:18" ht="14.25">
      <c r="A113" s="3214">
        <v>108</v>
      </c>
      <c r="B113" s="3384"/>
      <c r="C113" s="3382"/>
      <c r="D113" s="3384"/>
      <c r="E113" s="3383"/>
      <c r="F113" s="3219">
        <v>110</v>
      </c>
      <c r="G113" s="3229">
        <v>16.07</v>
      </c>
      <c r="H113" s="3214">
        <v>1</v>
      </c>
      <c r="I113" s="3214" t="s">
        <v>3619</v>
      </c>
      <c r="J113" s="3219">
        <f ca="1">J103</f>
        <v>0.52</v>
      </c>
      <c r="K113" s="3234">
        <f t="shared" ca="1" si="1"/>
        <v>8.36</v>
      </c>
      <c r="L113" s="3059"/>
      <c r="M113" s="3059"/>
      <c r="N113" s="3059"/>
      <c r="O113" s="3059"/>
      <c r="P113" s="3059"/>
      <c r="Q113" s="3059"/>
      <c r="R113" s="3059"/>
    </row>
    <row r="114" spans="1:18" ht="14.25">
      <c r="A114" s="3214">
        <v>109</v>
      </c>
      <c r="B114" s="3384"/>
      <c r="C114" s="3382"/>
      <c r="D114" s="3384"/>
      <c r="E114" s="3383"/>
      <c r="F114" s="3219">
        <v>202</v>
      </c>
      <c r="G114" s="3229">
        <v>354.56</v>
      </c>
      <c r="H114" s="3214">
        <v>2</v>
      </c>
      <c r="I114" s="3214" t="s">
        <v>3619</v>
      </c>
      <c r="J114" s="3219">
        <f ca="1">J107</f>
        <v>0.34</v>
      </c>
      <c r="K114" s="3234">
        <f t="shared" ca="1" si="1"/>
        <v>120.55</v>
      </c>
      <c r="L114" s="3059"/>
      <c r="M114" s="3059"/>
      <c r="N114" s="3059"/>
      <c r="O114" s="3059"/>
      <c r="P114" s="3059"/>
      <c r="Q114" s="3059"/>
      <c r="R114" s="3059"/>
    </row>
    <row r="115" spans="1:18" ht="14.25">
      <c r="A115" s="3214">
        <v>110</v>
      </c>
      <c r="B115" s="3384"/>
      <c r="C115" s="3382"/>
      <c r="D115" s="3384"/>
      <c r="E115" s="3383"/>
      <c r="F115" s="3219">
        <v>302</v>
      </c>
      <c r="G115" s="3229">
        <v>385.18</v>
      </c>
      <c r="H115" s="3214">
        <v>3</v>
      </c>
      <c r="I115" s="3214" t="s">
        <v>3619</v>
      </c>
      <c r="J115" s="3219">
        <f ca="1">J108</f>
        <v>0.31</v>
      </c>
      <c r="K115" s="3234">
        <f t="shared" ca="1" si="1"/>
        <v>119.41</v>
      </c>
      <c r="L115" s="3059"/>
      <c r="M115" s="3059"/>
      <c r="N115" s="3059"/>
      <c r="O115" s="3059"/>
      <c r="P115" s="3059"/>
      <c r="Q115" s="3059"/>
      <c r="R115" s="3059"/>
    </row>
    <row r="116" spans="1:18" ht="14.25">
      <c r="A116" s="3214">
        <v>111</v>
      </c>
      <c r="B116" s="3384"/>
      <c r="C116" s="3382"/>
      <c r="D116" s="3384"/>
      <c r="E116" s="3383"/>
      <c r="F116" s="3219">
        <v>402</v>
      </c>
      <c r="G116" s="3229">
        <v>354.56</v>
      </c>
      <c r="H116" s="3214">
        <v>4</v>
      </c>
      <c r="I116" s="3214" t="s">
        <v>3619</v>
      </c>
      <c r="J116" s="3219">
        <f ca="1">J109</f>
        <v>0.26</v>
      </c>
      <c r="K116" s="3234">
        <f t="shared" ca="1" si="1"/>
        <v>92.19</v>
      </c>
      <c r="L116" s="3059"/>
      <c r="M116" s="3059"/>
      <c r="N116" s="3059"/>
      <c r="O116" s="3059"/>
      <c r="P116" s="3059"/>
      <c r="Q116" s="3059"/>
      <c r="R116" s="3059"/>
    </row>
    <row r="117" spans="1:18" ht="14.25">
      <c r="A117" s="3214">
        <v>112</v>
      </c>
      <c r="B117" s="3384"/>
      <c r="C117" s="3382"/>
      <c r="D117" s="3384"/>
      <c r="E117" s="3383">
        <v>10</v>
      </c>
      <c r="F117" s="3219">
        <v>112</v>
      </c>
      <c r="G117" s="3229">
        <v>49.13</v>
      </c>
      <c r="H117" s="3214">
        <v>1</v>
      </c>
      <c r="I117" s="3214" t="s">
        <v>3619</v>
      </c>
      <c r="J117" s="3219">
        <f ca="1">J110</f>
        <v>0.52</v>
      </c>
      <c r="K117" s="3234">
        <f t="shared" ca="1" si="1"/>
        <v>25.55</v>
      </c>
      <c r="L117" s="3059"/>
      <c r="M117" s="3059"/>
      <c r="N117" s="3059"/>
      <c r="O117" s="3059"/>
      <c r="P117" s="3059"/>
      <c r="Q117" s="3059"/>
      <c r="R117" s="3059"/>
    </row>
    <row r="118" spans="1:18" ht="14.25">
      <c r="A118" s="3214">
        <v>113</v>
      </c>
      <c r="B118" s="3384"/>
      <c r="C118" s="3382"/>
      <c r="D118" s="3384"/>
      <c r="E118" s="3383"/>
      <c r="F118" s="3219">
        <v>113</v>
      </c>
      <c r="G118" s="3229">
        <v>126.59</v>
      </c>
      <c r="H118" s="3214">
        <v>1</v>
      </c>
      <c r="I118" s="3214" t="s">
        <v>3619</v>
      </c>
      <c r="J118" s="3219">
        <f ca="1">J110</f>
        <v>0.52</v>
      </c>
      <c r="K118" s="3234">
        <f t="shared" ca="1" si="1"/>
        <v>65.83</v>
      </c>
      <c r="L118" s="3059"/>
      <c r="M118" s="3059"/>
      <c r="N118" s="3059"/>
      <c r="O118" s="3059"/>
      <c r="P118" s="3059"/>
      <c r="Q118" s="3059"/>
      <c r="R118" s="3059"/>
    </row>
    <row r="119" spans="1:18" ht="14.25">
      <c r="A119" s="3214">
        <v>114</v>
      </c>
      <c r="B119" s="3384"/>
      <c r="C119" s="3382"/>
      <c r="D119" s="3384"/>
      <c r="E119" s="3383"/>
      <c r="F119" s="3219">
        <v>114</v>
      </c>
      <c r="G119" s="3229">
        <v>8.56</v>
      </c>
      <c r="H119" s="3214">
        <v>1</v>
      </c>
      <c r="I119" s="3214" t="s">
        <v>3619</v>
      </c>
      <c r="J119" s="3219">
        <f ca="1">J110</f>
        <v>0.52</v>
      </c>
      <c r="K119" s="3234">
        <f t="shared" ca="1" si="1"/>
        <v>4.45</v>
      </c>
      <c r="L119" s="3059"/>
      <c r="M119" s="3059"/>
      <c r="N119" s="3059"/>
      <c r="O119" s="3059"/>
      <c r="P119" s="3059"/>
      <c r="Q119" s="3059"/>
      <c r="R119" s="3059"/>
    </row>
    <row r="120" spans="1:18" ht="14.25">
      <c r="A120" s="3214">
        <v>115</v>
      </c>
      <c r="B120" s="3384"/>
      <c r="C120" s="3382"/>
      <c r="D120" s="3384"/>
      <c r="E120" s="3383"/>
      <c r="F120" s="3219">
        <v>115</v>
      </c>
      <c r="G120" s="3229">
        <v>28.54</v>
      </c>
      <c r="H120" s="3214">
        <v>1</v>
      </c>
      <c r="I120" s="3214" t="s">
        <v>3619</v>
      </c>
      <c r="J120" s="3219">
        <f ca="1">J110</f>
        <v>0.52</v>
      </c>
      <c r="K120" s="3234">
        <f t="shared" ca="1" si="1"/>
        <v>14.84</v>
      </c>
      <c r="L120" s="3059"/>
      <c r="M120" s="3059"/>
      <c r="N120" s="3059"/>
      <c r="O120" s="3059"/>
      <c r="P120" s="3059"/>
      <c r="Q120" s="3059"/>
      <c r="R120" s="3059"/>
    </row>
    <row r="121" spans="1:18" ht="14.25">
      <c r="A121" s="3214">
        <v>116</v>
      </c>
      <c r="B121" s="3384"/>
      <c r="C121" s="3382"/>
      <c r="D121" s="3384"/>
      <c r="E121" s="3383"/>
      <c r="F121" s="3219">
        <v>203</v>
      </c>
      <c r="G121" s="3229">
        <v>485.92</v>
      </c>
      <c r="H121" s="3214">
        <v>2</v>
      </c>
      <c r="I121" s="3214" t="s">
        <v>3619</v>
      </c>
      <c r="J121" s="3219">
        <f ca="1">J114</f>
        <v>0.34</v>
      </c>
      <c r="K121" s="3234">
        <f t="shared" ca="1" si="1"/>
        <v>165.21</v>
      </c>
      <c r="L121" s="3059"/>
      <c r="M121" s="3059"/>
      <c r="N121" s="3059"/>
      <c r="O121" s="3059"/>
      <c r="P121" s="3059"/>
      <c r="Q121" s="3059"/>
      <c r="R121" s="3059"/>
    </row>
    <row r="122" spans="1:18" ht="14.25">
      <c r="A122" s="3214">
        <v>117</v>
      </c>
      <c r="B122" s="3384"/>
      <c r="C122" s="3382"/>
      <c r="D122" s="3384"/>
      <c r="E122" s="3383"/>
      <c r="F122" s="3219">
        <v>303</v>
      </c>
      <c r="G122" s="3229">
        <v>500.94</v>
      </c>
      <c r="H122" s="3214">
        <v>3</v>
      </c>
      <c r="I122" s="3214" t="s">
        <v>3619</v>
      </c>
      <c r="J122" s="3219">
        <f ca="1">J115</f>
        <v>0.31</v>
      </c>
      <c r="K122" s="3234">
        <f t="shared" ca="1" si="1"/>
        <v>155.29</v>
      </c>
      <c r="L122" s="3059"/>
      <c r="M122" s="3059"/>
      <c r="N122" s="3059"/>
      <c r="O122" s="3059"/>
      <c r="P122" s="3059"/>
      <c r="Q122" s="3059"/>
      <c r="R122" s="3059"/>
    </row>
    <row r="123" spans="1:18" ht="14.25">
      <c r="A123" s="3214">
        <v>118</v>
      </c>
      <c r="B123" s="3384"/>
      <c r="C123" s="3382"/>
      <c r="D123" s="3384"/>
      <c r="E123" s="3383"/>
      <c r="F123" s="3219">
        <v>403</v>
      </c>
      <c r="G123" s="3229">
        <v>444.85</v>
      </c>
      <c r="H123" s="3214">
        <v>4</v>
      </c>
      <c r="I123" s="3214" t="s">
        <v>3619</v>
      </c>
      <c r="J123" s="3219">
        <f ca="1">J116</f>
        <v>0.26</v>
      </c>
      <c r="K123" s="3234">
        <f t="shared" ca="1" si="1"/>
        <v>115.66</v>
      </c>
      <c r="L123" s="3059"/>
      <c r="M123" s="3059"/>
      <c r="N123" s="3059"/>
      <c r="O123" s="3059"/>
      <c r="P123" s="3059"/>
      <c r="Q123" s="3059"/>
      <c r="R123" s="3059"/>
    </row>
    <row r="124" spans="1:18" ht="14.25">
      <c r="A124" s="3214">
        <v>119</v>
      </c>
      <c r="B124" s="3384"/>
      <c r="C124" s="3382"/>
      <c r="D124" s="3384" t="s">
        <v>3605</v>
      </c>
      <c r="E124" s="3383">
        <v>7</v>
      </c>
      <c r="F124" s="3219">
        <v>101</v>
      </c>
      <c r="G124" s="3229">
        <v>34.56</v>
      </c>
      <c r="H124" s="3214">
        <v>1</v>
      </c>
      <c r="I124" s="3214" t="s">
        <v>3619</v>
      </c>
      <c r="J124" s="3219">
        <f ca="1">J117</f>
        <v>0.52</v>
      </c>
      <c r="K124" s="3234">
        <f t="shared" ca="1" si="1"/>
        <v>17.97</v>
      </c>
      <c r="L124" s="3059"/>
      <c r="M124" s="3059"/>
      <c r="N124" s="3059"/>
      <c r="O124" s="3059"/>
      <c r="P124" s="3059"/>
      <c r="Q124" s="3059"/>
      <c r="R124" s="3059"/>
    </row>
    <row r="125" spans="1:18" ht="14.25">
      <c r="A125" s="3214">
        <v>120</v>
      </c>
      <c r="B125" s="3384"/>
      <c r="C125" s="3382"/>
      <c r="D125" s="3384"/>
      <c r="E125" s="3383"/>
      <c r="F125" s="3219">
        <v>102</v>
      </c>
      <c r="G125" s="3229">
        <v>41.69</v>
      </c>
      <c r="H125" s="3214">
        <v>1</v>
      </c>
      <c r="I125" s="3214" t="s">
        <v>3619</v>
      </c>
      <c r="J125" s="3219">
        <f ca="1">J117</f>
        <v>0.52</v>
      </c>
      <c r="K125" s="3234">
        <f t="shared" ca="1" si="1"/>
        <v>21.68</v>
      </c>
      <c r="L125" s="3059"/>
      <c r="M125" s="3059"/>
      <c r="N125" s="3059"/>
      <c r="O125" s="3059"/>
      <c r="P125" s="3059"/>
      <c r="Q125" s="3059"/>
      <c r="R125" s="3059"/>
    </row>
    <row r="126" spans="1:18" ht="14.25">
      <c r="A126" s="3214">
        <v>121</v>
      </c>
      <c r="B126" s="3384"/>
      <c r="C126" s="3382"/>
      <c r="D126" s="3384"/>
      <c r="E126" s="3383"/>
      <c r="F126" s="3219">
        <v>201</v>
      </c>
      <c r="G126" s="3229">
        <v>562.57000000000005</v>
      </c>
      <c r="H126" s="3214">
        <v>2</v>
      </c>
      <c r="I126" s="3214" t="s">
        <v>3619</v>
      </c>
      <c r="J126" s="3219">
        <f ca="1">J121</f>
        <v>0.34</v>
      </c>
      <c r="K126" s="3234">
        <f t="shared" ca="1" si="1"/>
        <v>191.27</v>
      </c>
      <c r="L126" s="3059"/>
      <c r="M126" s="3059"/>
      <c r="N126" s="3059"/>
      <c r="O126" s="3059"/>
      <c r="P126" s="3059"/>
      <c r="Q126" s="3059"/>
      <c r="R126" s="3059"/>
    </row>
    <row r="127" spans="1:18" ht="14.25">
      <c r="A127" s="3214">
        <v>122</v>
      </c>
      <c r="B127" s="3384"/>
      <c r="C127" s="3382"/>
      <c r="D127" s="3384"/>
      <c r="E127" s="3383"/>
      <c r="F127" s="3219">
        <v>301</v>
      </c>
      <c r="G127" s="3229">
        <v>624.51</v>
      </c>
      <c r="H127" s="3214">
        <v>3</v>
      </c>
      <c r="I127" s="3214" t="s">
        <v>3619</v>
      </c>
      <c r="J127" s="3219">
        <f ca="1">J122</f>
        <v>0.31</v>
      </c>
      <c r="K127" s="3234">
        <f t="shared" ca="1" si="1"/>
        <v>193.6</v>
      </c>
      <c r="L127" s="3059"/>
      <c r="M127" s="3059"/>
      <c r="N127" s="3059"/>
      <c r="O127" s="3059"/>
      <c r="P127" s="3059"/>
      <c r="Q127" s="3059"/>
      <c r="R127" s="3059"/>
    </row>
    <row r="128" spans="1:18" ht="14.25">
      <c r="A128" s="3214">
        <v>123</v>
      </c>
      <c r="B128" s="3384"/>
      <c r="C128" s="3382"/>
      <c r="D128" s="3384"/>
      <c r="E128" s="3383"/>
      <c r="F128" s="3219">
        <v>401</v>
      </c>
      <c r="G128" s="3229">
        <v>746.56</v>
      </c>
      <c r="H128" s="3214">
        <v>4</v>
      </c>
      <c r="I128" s="3214" t="s">
        <v>3619</v>
      </c>
      <c r="J128" s="3219">
        <f ca="1">J123</f>
        <v>0.26</v>
      </c>
      <c r="K128" s="3234">
        <f t="shared" ca="1" si="1"/>
        <v>194.11</v>
      </c>
      <c r="L128" s="3059"/>
      <c r="M128" s="3059"/>
      <c r="N128" s="3059"/>
      <c r="O128" s="3059"/>
      <c r="P128" s="3059"/>
      <c r="Q128" s="3059"/>
      <c r="R128" s="3059"/>
    </row>
    <row r="129" spans="1:27" ht="14.25">
      <c r="A129" s="3214">
        <v>124</v>
      </c>
      <c r="B129" s="3384"/>
      <c r="C129" s="3382"/>
      <c r="D129" s="3384"/>
      <c r="E129" s="3383"/>
      <c r="F129" s="3219">
        <v>501</v>
      </c>
      <c r="G129" s="3229">
        <v>729.81</v>
      </c>
      <c r="H129" s="3214">
        <v>5</v>
      </c>
      <c r="I129" s="3214" t="s">
        <v>3619</v>
      </c>
      <c r="J129" s="3219">
        <f ca="1">'结果表-分业态'!G12</f>
        <v>0.26</v>
      </c>
      <c r="K129" s="3234">
        <f t="shared" ca="1" si="1"/>
        <v>189.75</v>
      </c>
      <c r="L129" s="3059"/>
      <c r="M129" s="3059"/>
      <c r="N129" s="3059"/>
      <c r="O129" s="3059"/>
      <c r="P129" s="3059"/>
      <c r="Q129" s="3059"/>
      <c r="R129" s="3059"/>
    </row>
    <row r="130" spans="1:27" ht="14.25">
      <c r="A130" s="3214">
        <v>125</v>
      </c>
      <c r="B130" s="3384"/>
      <c r="C130" s="3382"/>
      <c r="D130" s="3384"/>
      <c r="E130" s="3383">
        <v>8</v>
      </c>
      <c r="F130" s="3219">
        <v>101</v>
      </c>
      <c r="G130" s="3229">
        <v>76.33</v>
      </c>
      <c r="H130" s="3214">
        <v>1</v>
      </c>
      <c r="I130" s="3214" t="s">
        <v>3619</v>
      </c>
      <c r="J130" s="3219">
        <f ca="1">J124</f>
        <v>0.52</v>
      </c>
      <c r="K130" s="3234">
        <f t="shared" ca="1" si="1"/>
        <v>39.69</v>
      </c>
      <c r="L130" s="3059"/>
      <c r="M130" s="3059"/>
      <c r="N130" s="3059"/>
      <c r="O130" s="3059"/>
      <c r="P130" s="3059"/>
      <c r="Q130" s="3059"/>
      <c r="R130" s="3059"/>
    </row>
    <row r="131" spans="1:27" ht="14.25">
      <c r="A131" s="3214">
        <v>126</v>
      </c>
      <c r="B131" s="3384"/>
      <c r="C131" s="3382"/>
      <c r="D131" s="3384"/>
      <c r="E131" s="3383"/>
      <c r="F131" s="3219">
        <v>102</v>
      </c>
      <c r="G131" s="3229">
        <v>35.58</v>
      </c>
      <c r="H131" s="3214">
        <v>1</v>
      </c>
      <c r="I131" s="3214" t="s">
        <v>3619</v>
      </c>
      <c r="J131" s="3219">
        <f ca="1">J124</f>
        <v>0.52</v>
      </c>
      <c r="K131" s="3234">
        <f t="shared" ca="1" si="1"/>
        <v>18.5</v>
      </c>
      <c r="L131" s="3059"/>
      <c r="M131" s="3059"/>
      <c r="N131" s="3059"/>
      <c r="O131" s="3059"/>
      <c r="P131" s="3059"/>
      <c r="Q131" s="3059"/>
      <c r="R131" s="3059"/>
    </row>
    <row r="132" spans="1:27" ht="14.25">
      <c r="A132" s="3214">
        <v>127</v>
      </c>
      <c r="B132" s="3384"/>
      <c r="C132" s="3382"/>
      <c r="D132" s="3384"/>
      <c r="E132" s="3383"/>
      <c r="F132" s="3219">
        <v>103</v>
      </c>
      <c r="G132" s="3229">
        <v>21.6</v>
      </c>
      <c r="H132" s="3214">
        <v>1</v>
      </c>
      <c r="I132" s="3214" t="s">
        <v>3619</v>
      </c>
      <c r="J132" s="3219">
        <f ca="1">J124</f>
        <v>0.52</v>
      </c>
      <c r="K132" s="3234">
        <f t="shared" ca="1" si="1"/>
        <v>11.23</v>
      </c>
      <c r="L132" s="3059"/>
      <c r="M132" s="3059"/>
      <c r="N132" s="3059"/>
      <c r="O132" s="3059"/>
      <c r="P132" s="3059"/>
      <c r="Q132" s="3059"/>
      <c r="R132" s="3059"/>
    </row>
    <row r="133" spans="1:27" ht="14.25">
      <c r="A133" s="3214">
        <v>128</v>
      </c>
      <c r="B133" s="3384"/>
      <c r="C133" s="3382"/>
      <c r="D133" s="3384"/>
      <c r="E133" s="3383"/>
      <c r="F133" s="3219">
        <v>201</v>
      </c>
      <c r="G133" s="3229">
        <v>592.95000000000005</v>
      </c>
      <c r="H133" s="3214">
        <v>2</v>
      </c>
      <c r="I133" s="3214" t="s">
        <v>3619</v>
      </c>
      <c r="J133" s="3219">
        <f ca="1">J126</f>
        <v>0.34</v>
      </c>
      <c r="K133" s="3234">
        <f t="shared" ref="K133:K192" ca="1" si="2">ROUND(G133*J133,2)</f>
        <v>201.6</v>
      </c>
      <c r="L133" s="3059"/>
      <c r="M133" s="3059"/>
      <c r="N133" s="3059"/>
      <c r="O133" s="3059"/>
      <c r="P133" s="3059"/>
      <c r="Q133" s="3059"/>
      <c r="R133" s="3059"/>
    </row>
    <row r="134" spans="1:27" ht="14.25">
      <c r="A134" s="3214">
        <v>129</v>
      </c>
      <c r="B134" s="3384"/>
      <c r="C134" s="3382"/>
      <c r="D134" s="3384"/>
      <c r="E134" s="3383"/>
      <c r="F134" s="3219">
        <v>301</v>
      </c>
      <c r="G134" s="3229">
        <v>580.24</v>
      </c>
      <c r="H134" s="3214">
        <v>3</v>
      </c>
      <c r="I134" s="3214" t="s">
        <v>3619</v>
      </c>
      <c r="J134" s="3219">
        <f ca="1">J127</f>
        <v>0.31</v>
      </c>
      <c r="K134" s="3234">
        <f t="shared" ca="1" si="2"/>
        <v>179.87</v>
      </c>
      <c r="L134" s="3059"/>
      <c r="M134" s="3059"/>
      <c r="N134" s="3059"/>
      <c r="O134" s="3059"/>
      <c r="P134" s="3059"/>
      <c r="Q134" s="3059"/>
      <c r="R134" s="3059"/>
    </row>
    <row r="135" spans="1:27" ht="14.25">
      <c r="A135" s="3214">
        <v>130</v>
      </c>
      <c r="B135" s="3384"/>
      <c r="C135" s="3382"/>
      <c r="D135" s="3384"/>
      <c r="E135" s="3383"/>
      <c r="F135" s="3219">
        <v>401</v>
      </c>
      <c r="G135" s="3229">
        <v>415.21</v>
      </c>
      <c r="H135" s="3214">
        <v>4</v>
      </c>
      <c r="I135" s="3214" t="s">
        <v>3619</v>
      </c>
      <c r="J135" s="3219">
        <f ca="1">J128</f>
        <v>0.26</v>
      </c>
      <c r="K135" s="3234">
        <f t="shared" ca="1" si="2"/>
        <v>107.95</v>
      </c>
      <c r="L135" s="3059"/>
      <c r="M135" s="3059"/>
      <c r="N135" s="3059"/>
      <c r="O135" s="3059"/>
      <c r="P135" s="3059"/>
      <c r="Q135" s="3059"/>
      <c r="R135" s="3059"/>
    </row>
    <row r="136" spans="1:27" ht="14.25">
      <c r="A136" s="3214">
        <v>131</v>
      </c>
      <c r="B136" s="3384"/>
      <c r="C136" s="3382"/>
      <c r="D136" s="3384"/>
      <c r="E136" s="3383"/>
      <c r="F136" s="3219">
        <v>501</v>
      </c>
      <c r="G136" s="3229">
        <v>443.62</v>
      </c>
      <c r="H136" s="3214">
        <v>5</v>
      </c>
      <c r="I136" s="3214" t="s">
        <v>3619</v>
      </c>
      <c r="J136" s="3219">
        <f ca="1">J129</f>
        <v>0.26</v>
      </c>
      <c r="K136" s="3234">
        <f t="shared" ca="1" si="2"/>
        <v>115.34</v>
      </c>
      <c r="L136" s="3059"/>
      <c r="M136" s="3059"/>
      <c r="N136" s="3059"/>
      <c r="O136" s="3059"/>
      <c r="P136" s="3059"/>
      <c r="Q136" s="3059"/>
      <c r="R136" s="3059"/>
    </row>
    <row r="137" spans="1:27" ht="28.5" customHeight="1">
      <c r="A137" s="3214"/>
      <c r="B137" s="3384"/>
      <c r="C137" s="3227" t="s">
        <v>3633</v>
      </c>
      <c r="D137" s="3055"/>
      <c r="E137" s="3225"/>
      <c r="F137" s="3224"/>
      <c r="G137" s="3230">
        <f>SUM(G72:G136)</f>
        <v>17383.189999999999</v>
      </c>
      <c r="H137" s="3055"/>
      <c r="I137" s="3055"/>
      <c r="J137" s="3224"/>
      <c r="K137" s="3055">
        <f ca="1">SUM(K72:K136)</f>
        <v>5620.6200000000008</v>
      </c>
      <c r="L137" s="3059"/>
      <c r="M137" s="3059"/>
      <c r="N137" s="3059"/>
      <c r="O137" s="3059"/>
      <c r="P137" s="3059"/>
      <c r="Q137" s="3059"/>
      <c r="R137" s="3059"/>
      <c r="S137" s="3238"/>
    </row>
    <row r="138" spans="1:27" ht="14.25">
      <c r="A138" s="3214">
        <v>132</v>
      </c>
      <c r="B138" s="3384"/>
      <c r="C138" s="3382" t="s">
        <v>3606</v>
      </c>
      <c r="D138" s="3384" t="s">
        <v>3607</v>
      </c>
      <c r="E138" s="3383" t="s">
        <v>3294</v>
      </c>
      <c r="F138" s="3219">
        <v>-216</v>
      </c>
      <c r="G138" s="3229">
        <v>10097.549999999999</v>
      </c>
      <c r="H138" s="3214">
        <v>-2</v>
      </c>
      <c r="I138" s="3214" t="s">
        <v>3619</v>
      </c>
      <c r="J138" s="3219">
        <f ca="1">'结果表-分业态'!G19</f>
        <v>0.17</v>
      </c>
      <c r="K138" s="3234">
        <f t="shared" ca="1" si="2"/>
        <v>1716.58</v>
      </c>
      <c r="L138" s="3059"/>
      <c r="M138" s="3059"/>
      <c r="N138" s="3059"/>
      <c r="O138" s="3059"/>
      <c r="P138" s="3059"/>
      <c r="Q138" s="3059"/>
      <c r="R138" s="3059"/>
      <c r="X138" s="3389" t="s">
        <v>3642</v>
      </c>
      <c r="Y138" s="3389"/>
      <c r="Z138" s="3389" t="s">
        <v>3643</v>
      </c>
      <c r="AA138" s="3389"/>
    </row>
    <row r="139" spans="1:27" ht="14.25">
      <c r="A139" s="3214">
        <v>133</v>
      </c>
      <c r="B139" s="3384"/>
      <c r="C139" s="3382"/>
      <c r="D139" s="3384"/>
      <c r="E139" s="3383"/>
      <c r="F139" s="3219">
        <v>-247</v>
      </c>
      <c r="G139" s="3229">
        <v>9572.77</v>
      </c>
      <c r="H139" s="3214">
        <v>-2</v>
      </c>
      <c r="I139" s="3214" t="s">
        <v>3619</v>
      </c>
      <c r="J139" s="3219">
        <f ca="1">J138</f>
        <v>0.17</v>
      </c>
      <c r="K139" s="3234">
        <f t="shared" ca="1" si="2"/>
        <v>1627.37</v>
      </c>
      <c r="L139" s="3059"/>
      <c r="M139" s="3059"/>
      <c r="N139" s="3059"/>
      <c r="O139" s="3059"/>
      <c r="P139" s="3059"/>
      <c r="Q139" s="3059"/>
      <c r="R139" s="3059"/>
      <c r="X139" s="3219">
        <v>-109</v>
      </c>
      <c r="Y139" s="3229">
        <v>10478.68</v>
      </c>
      <c r="Z139" s="3219">
        <v>-216</v>
      </c>
      <c r="AA139" s="3229">
        <v>10097.549999999999</v>
      </c>
    </row>
    <row r="140" spans="1:27" ht="14.25">
      <c r="A140" s="3214">
        <v>134</v>
      </c>
      <c r="B140" s="3384"/>
      <c r="C140" s="3382"/>
      <c r="D140" s="3384"/>
      <c r="E140" s="3383"/>
      <c r="F140" s="3219">
        <v>-259</v>
      </c>
      <c r="G140" s="3229">
        <v>1676.73</v>
      </c>
      <c r="H140" s="3214">
        <v>-2</v>
      </c>
      <c r="I140" s="3214" t="s">
        <v>3619</v>
      </c>
      <c r="J140" s="3219">
        <f ca="1">J138</f>
        <v>0.17</v>
      </c>
      <c r="K140" s="3234">
        <f t="shared" ca="1" si="2"/>
        <v>285.04000000000002</v>
      </c>
      <c r="L140" s="3059"/>
      <c r="M140" s="3059"/>
      <c r="N140" s="3059"/>
      <c r="O140" s="3059"/>
      <c r="P140" s="3059"/>
      <c r="Q140" s="3059"/>
      <c r="R140" s="3059"/>
      <c r="X140" s="3219">
        <v>-134</v>
      </c>
      <c r="Y140" s="3229">
        <v>8899.18</v>
      </c>
      <c r="Z140" s="3219">
        <v>-247</v>
      </c>
      <c r="AA140" s="3229">
        <v>9572.77</v>
      </c>
    </row>
    <row r="141" spans="1:27" ht="14.25">
      <c r="A141" s="3214">
        <v>135</v>
      </c>
      <c r="B141" s="3384"/>
      <c r="C141" s="3382"/>
      <c r="D141" s="3384"/>
      <c r="E141" s="3383"/>
      <c r="F141" s="3219">
        <v>-275</v>
      </c>
      <c r="G141" s="3229">
        <v>10833.53</v>
      </c>
      <c r="H141" s="3214">
        <v>-2</v>
      </c>
      <c r="I141" s="3214" t="s">
        <v>3619</v>
      </c>
      <c r="J141" s="3219">
        <f ca="1">J138</f>
        <v>0.17</v>
      </c>
      <c r="K141" s="3234">
        <f t="shared" ca="1" si="2"/>
        <v>1841.7</v>
      </c>
      <c r="L141" s="3059"/>
      <c r="M141" s="3059"/>
      <c r="N141" s="3059"/>
      <c r="O141" s="3059"/>
      <c r="P141" s="3059"/>
      <c r="Q141" s="3059"/>
      <c r="R141" s="3059"/>
      <c r="X141" s="3219">
        <v>-142</v>
      </c>
      <c r="Y141" s="3229">
        <v>1599.34</v>
      </c>
      <c r="Z141" s="3219">
        <v>-259</v>
      </c>
      <c r="AA141" s="3229">
        <v>1676.73</v>
      </c>
    </row>
    <row r="142" spans="1:27" ht="14.25">
      <c r="A142" s="3214">
        <v>136</v>
      </c>
      <c r="B142" s="3384"/>
      <c r="C142" s="3382"/>
      <c r="D142" s="3384"/>
      <c r="E142" s="3383"/>
      <c r="F142" s="3219">
        <v>-109</v>
      </c>
      <c r="G142" s="3229">
        <v>10478.68</v>
      </c>
      <c r="H142" s="3214">
        <v>-1</v>
      </c>
      <c r="I142" s="3214" t="s">
        <v>3619</v>
      </c>
      <c r="J142" s="3219">
        <f ca="1">'结果表-分业态'!G18</f>
        <v>0.21</v>
      </c>
      <c r="K142" s="3234">
        <f t="shared" ca="1" si="2"/>
        <v>2200.52</v>
      </c>
      <c r="L142" s="3059"/>
      <c r="M142" s="3059"/>
      <c r="N142" s="3059"/>
      <c r="O142" s="3059"/>
      <c r="P142" s="3059"/>
      <c r="Q142" s="3059"/>
      <c r="R142" s="3059"/>
      <c r="X142" s="3219">
        <v>-157</v>
      </c>
      <c r="Y142" s="3229">
        <v>9438.6</v>
      </c>
      <c r="Z142" s="3219">
        <v>-275</v>
      </c>
      <c r="AA142" s="3229">
        <v>10833.53</v>
      </c>
    </row>
    <row r="143" spans="1:27" ht="14.25">
      <c r="A143" s="3214">
        <v>137</v>
      </c>
      <c r="B143" s="3384"/>
      <c r="C143" s="3382"/>
      <c r="D143" s="3384"/>
      <c r="E143" s="3383"/>
      <c r="F143" s="3219">
        <v>-134</v>
      </c>
      <c r="G143" s="3229">
        <v>8899.18</v>
      </c>
      <c r="H143" s="3214">
        <v>-1</v>
      </c>
      <c r="I143" s="3214" t="s">
        <v>3619</v>
      </c>
      <c r="J143" s="3219">
        <f ca="1">J142</f>
        <v>0.21</v>
      </c>
      <c r="K143" s="3234">
        <f t="shared" ca="1" si="2"/>
        <v>1868.83</v>
      </c>
      <c r="L143" s="3059"/>
      <c r="M143" s="3059"/>
      <c r="N143" s="3059"/>
      <c r="O143" s="3059"/>
      <c r="P143" s="3059"/>
      <c r="Q143" s="3059"/>
      <c r="R143" s="3059"/>
      <c r="Y143" s="3018">
        <f>SUM(Y139:Y142)</f>
        <v>30415.800000000003</v>
      </c>
      <c r="AA143" s="3018">
        <f>SUM(AA139:AA142)</f>
        <v>32180.58</v>
      </c>
    </row>
    <row r="144" spans="1:27" ht="14.25">
      <c r="A144" s="3214">
        <v>138</v>
      </c>
      <c r="B144" s="3384"/>
      <c r="C144" s="3382"/>
      <c r="D144" s="3384"/>
      <c r="E144" s="3383"/>
      <c r="F144" s="3219">
        <v>-142</v>
      </c>
      <c r="G144" s="3229">
        <v>1599.34</v>
      </c>
      <c r="H144" s="3214">
        <v>-1</v>
      </c>
      <c r="I144" s="3214" t="s">
        <v>3619</v>
      </c>
      <c r="J144" s="3219">
        <f ca="1">J142</f>
        <v>0.21</v>
      </c>
      <c r="K144" s="3234">
        <f t="shared" ca="1" si="2"/>
        <v>335.86</v>
      </c>
      <c r="L144" s="3059"/>
      <c r="M144" s="3059"/>
      <c r="N144" s="3059"/>
      <c r="O144" s="3059"/>
      <c r="P144" s="3059"/>
      <c r="Q144" s="3059"/>
      <c r="R144" s="3059"/>
    </row>
    <row r="145" spans="1:19" ht="14.25">
      <c r="A145" s="3214">
        <v>139</v>
      </c>
      <c r="B145" s="3384"/>
      <c r="C145" s="3382"/>
      <c r="D145" s="3384"/>
      <c r="E145" s="3383"/>
      <c r="F145" s="3219">
        <v>-157</v>
      </c>
      <c r="G145" s="3229">
        <v>9438.6</v>
      </c>
      <c r="H145" s="3214">
        <v>-1</v>
      </c>
      <c r="I145" s="3214" t="s">
        <v>3619</v>
      </c>
      <c r="J145" s="3219">
        <f ca="1">J142</f>
        <v>0.21</v>
      </c>
      <c r="K145" s="3234">
        <f t="shared" ca="1" si="2"/>
        <v>1982.11</v>
      </c>
      <c r="L145" s="3059"/>
      <c r="M145" s="3059"/>
      <c r="N145" s="3059"/>
      <c r="O145" s="3059"/>
      <c r="P145" s="3059"/>
      <c r="Q145" s="3059"/>
      <c r="R145" s="3059"/>
    </row>
    <row r="146" spans="1:19" ht="32.25" customHeight="1">
      <c r="A146" s="3214"/>
      <c r="B146" s="3384"/>
      <c r="C146" s="3227" t="s">
        <v>3633</v>
      </c>
      <c r="D146" s="3055"/>
      <c r="E146" s="3225"/>
      <c r="F146" s="3224"/>
      <c r="G146" s="3230">
        <f>SUM(G138:G145)</f>
        <v>62596.38</v>
      </c>
      <c r="H146" s="3055"/>
      <c r="I146" s="3055"/>
      <c r="J146" s="3224"/>
      <c r="K146" s="3055">
        <f ca="1">SUM(K138:K145)</f>
        <v>11858.01</v>
      </c>
      <c r="L146" s="3059"/>
      <c r="M146" s="3059"/>
      <c r="N146" s="3059"/>
      <c r="O146" s="3059"/>
      <c r="P146" s="3059"/>
      <c r="Q146" s="3059"/>
      <c r="R146" s="3059"/>
      <c r="S146" s="3238"/>
    </row>
    <row r="147" spans="1:19" ht="14.25">
      <c r="A147" s="3214">
        <v>140</v>
      </c>
      <c r="B147" s="3384"/>
      <c r="C147" s="3382" t="s">
        <v>3608</v>
      </c>
      <c r="D147" s="3384" t="s">
        <v>3596</v>
      </c>
      <c r="E147" s="3383" t="s">
        <v>3551</v>
      </c>
      <c r="F147" s="3219">
        <v>201</v>
      </c>
      <c r="G147" s="3229">
        <v>1175.9000000000001</v>
      </c>
      <c r="H147" s="3214">
        <v>2</v>
      </c>
      <c r="I147" s="3214" t="s">
        <v>3619</v>
      </c>
      <c r="J147" s="3219">
        <f ca="1">'结果表-分业态'!G14</f>
        <v>0.51</v>
      </c>
      <c r="K147" s="3234">
        <f t="shared" ca="1" si="2"/>
        <v>599.71</v>
      </c>
      <c r="L147" s="3059"/>
      <c r="M147" s="3059"/>
      <c r="N147" s="3059"/>
      <c r="O147" s="3059"/>
      <c r="P147" s="3059"/>
      <c r="Q147" s="3059"/>
      <c r="R147" s="3059"/>
      <c r="S147" s="3238"/>
    </row>
    <row r="148" spans="1:19" ht="28.5" customHeight="1">
      <c r="A148" s="3214">
        <v>141</v>
      </c>
      <c r="B148" s="3384"/>
      <c r="C148" s="3382"/>
      <c r="D148" s="3384"/>
      <c r="E148" s="3383"/>
      <c r="F148" s="3219">
        <v>301</v>
      </c>
      <c r="G148" s="3229">
        <v>2065.16</v>
      </c>
      <c r="H148" s="3214">
        <v>3</v>
      </c>
      <c r="I148" s="3214" t="s">
        <v>3619</v>
      </c>
      <c r="J148" s="3219">
        <f ca="1">'结果表-分业态'!G15</f>
        <v>0.47</v>
      </c>
      <c r="K148" s="3234">
        <f t="shared" ca="1" si="2"/>
        <v>970.63</v>
      </c>
      <c r="L148" s="3059"/>
      <c r="M148" s="3059"/>
      <c r="N148" s="3059"/>
      <c r="O148" s="3059"/>
      <c r="P148" s="3059"/>
      <c r="Q148" s="3059"/>
      <c r="R148" s="3059"/>
      <c r="S148" s="3238"/>
    </row>
    <row r="149" spans="1:19" ht="79.5" customHeight="1">
      <c r="A149" s="3214">
        <v>142</v>
      </c>
      <c r="B149" s="3384"/>
      <c r="C149" s="3382"/>
      <c r="D149" s="3384"/>
      <c r="E149" s="3383"/>
      <c r="F149" s="3219">
        <v>401</v>
      </c>
      <c r="G149" s="3229">
        <v>3363.01</v>
      </c>
      <c r="H149" s="3214">
        <v>4</v>
      </c>
      <c r="I149" s="3214" t="s">
        <v>3619</v>
      </c>
      <c r="J149" s="3219">
        <f ca="1">'结果表-分业态'!G16</f>
        <v>0.39</v>
      </c>
      <c r="K149" s="3234">
        <f t="shared" ca="1" si="2"/>
        <v>1311.57</v>
      </c>
      <c r="L149" s="3059"/>
      <c r="M149" s="3059"/>
      <c r="N149" s="3059"/>
      <c r="O149" s="3059"/>
      <c r="P149" s="3059"/>
      <c r="Q149" s="3059"/>
      <c r="R149" s="3059"/>
      <c r="S149" s="3238"/>
    </row>
    <row r="150" spans="1:19" ht="35.25" customHeight="1">
      <c r="A150" s="3214"/>
      <c r="B150" s="3384"/>
      <c r="C150" s="3227" t="s">
        <v>3633</v>
      </c>
      <c r="D150" s="3055"/>
      <c r="E150" s="3055"/>
      <c r="F150" s="3055"/>
      <c r="G150" s="3231">
        <f>SUM(G147:G149)</f>
        <v>6604.07</v>
      </c>
      <c r="H150" s="3055"/>
      <c r="I150" s="3055"/>
      <c r="J150" s="3224"/>
      <c r="K150" s="3055">
        <f ca="1">SUM(K147:K149)</f>
        <v>2881.91</v>
      </c>
      <c r="L150" s="3059"/>
      <c r="M150" s="3059"/>
      <c r="N150" s="3059"/>
      <c r="O150" s="3059"/>
      <c r="P150" s="3059"/>
      <c r="Q150" s="3059"/>
      <c r="R150" s="3059"/>
      <c r="S150" s="3238"/>
    </row>
    <row r="151" spans="1:19" ht="29.25" customHeight="1">
      <c r="A151" s="3214"/>
      <c r="B151" s="3384"/>
      <c r="C151" s="3228" t="s">
        <v>3614</v>
      </c>
      <c r="D151" s="3386">
        <f>G48+G71+G137+G146+G150</f>
        <v>93547.06</v>
      </c>
      <c r="E151" s="3387"/>
      <c r="F151" s="3387"/>
      <c r="G151" s="3387"/>
      <c r="H151" s="3387"/>
      <c r="I151" s="3388"/>
      <c r="J151" s="3240"/>
      <c r="K151" s="3228">
        <f ca="1">K48+K71+K137+K146+K150</f>
        <v>22878.77</v>
      </c>
      <c r="L151" s="3059"/>
      <c r="M151" s="3059"/>
      <c r="N151" s="3059"/>
      <c r="O151" s="3059"/>
      <c r="P151" s="3059"/>
      <c r="Q151" s="3059"/>
      <c r="R151" s="3059"/>
      <c r="S151" s="3238"/>
    </row>
    <row r="152" spans="1:19" ht="36.75" customHeight="1">
      <c r="A152" s="3214"/>
      <c r="B152" s="3214" t="s">
        <v>3631</v>
      </c>
      <c r="C152" s="3214" t="s">
        <v>3632</v>
      </c>
      <c r="D152" s="3214" t="s">
        <v>3577</v>
      </c>
      <c r="E152" s="3214" t="s">
        <v>3582</v>
      </c>
      <c r="F152" s="3214" t="s">
        <v>3583</v>
      </c>
      <c r="G152" s="3215" t="s">
        <v>3584</v>
      </c>
      <c r="H152" s="3234" t="s">
        <v>3616</v>
      </c>
      <c r="I152" s="3234" t="s">
        <v>3618</v>
      </c>
      <c r="J152" s="3234" t="s">
        <v>3644</v>
      </c>
      <c r="K152" s="3234" t="s">
        <v>3645</v>
      </c>
      <c r="L152" s="3059"/>
      <c r="M152" s="3059"/>
      <c r="N152" s="3059"/>
      <c r="O152" s="3059"/>
      <c r="P152" s="3059"/>
      <c r="Q152" s="3059"/>
      <c r="R152" s="3059"/>
      <c r="S152" s="3238"/>
    </row>
    <row r="153" spans="1:19" ht="14.25" customHeight="1">
      <c r="A153" s="3214">
        <v>143</v>
      </c>
      <c r="B153" s="3384" t="s">
        <v>3626</v>
      </c>
      <c r="C153" s="3382" t="s">
        <v>3576</v>
      </c>
      <c r="D153" s="3384" t="s">
        <v>3601</v>
      </c>
      <c r="E153" s="3385">
        <v>2</v>
      </c>
      <c r="F153" s="3219">
        <v>101</v>
      </c>
      <c r="G153" s="3229">
        <v>45.78</v>
      </c>
      <c r="H153" s="3214">
        <v>1</v>
      </c>
      <c r="I153" s="3214" t="s">
        <v>3619</v>
      </c>
      <c r="J153" s="3219">
        <f ca="1">'结果表-分业态'!G22</f>
        <v>0.47</v>
      </c>
      <c r="K153" s="3234">
        <f t="shared" ca="1" si="2"/>
        <v>21.52</v>
      </c>
      <c r="L153" s="3059"/>
      <c r="M153" s="3059"/>
      <c r="N153" s="3059"/>
      <c r="O153" s="3059"/>
      <c r="P153" s="3059"/>
      <c r="Q153" s="3059"/>
      <c r="R153" s="3059"/>
    </row>
    <row r="154" spans="1:19" ht="14.25">
      <c r="A154" s="3214">
        <v>144</v>
      </c>
      <c r="B154" s="3384"/>
      <c r="C154" s="3382"/>
      <c r="D154" s="3384"/>
      <c r="E154" s="3385"/>
      <c r="F154" s="3219">
        <v>102</v>
      </c>
      <c r="G154" s="3229">
        <v>68.84</v>
      </c>
      <c r="H154" s="3214">
        <v>1</v>
      </c>
      <c r="I154" s="3214" t="s">
        <v>3619</v>
      </c>
      <c r="J154" s="3219">
        <f ca="1">J153</f>
        <v>0.47</v>
      </c>
      <c r="K154" s="3234">
        <f t="shared" ca="1" si="2"/>
        <v>32.35</v>
      </c>
      <c r="L154" s="3059"/>
      <c r="M154" s="3059"/>
      <c r="N154" s="3059"/>
      <c r="O154" s="3059"/>
      <c r="P154" s="3059"/>
      <c r="Q154" s="3059"/>
      <c r="R154" s="3059"/>
    </row>
    <row r="155" spans="1:19" ht="14.25">
      <c r="A155" s="3214">
        <v>145</v>
      </c>
      <c r="B155" s="3384"/>
      <c r="C155" s="3382"/>
      <c r="D155" s="3384"/>
      <c r="E155" s="3385"/>
      <c r="F155" s="3219">
        <v>103</v>
      </c>
      <c r="G155" s="3229">
        <v>31.77</v>
      </c>
      <c r="H155" s="3214">
        <v>1</v>
      </c>
      <c r="I155" s="3214" t="s">
        <v>3619</v>
      </c>
      <c r="J155" s="3219">
        <f ca="1">J153</f>
        <v>0.47</v>
      </c>
      <c r="K155" s="3234">
        <f t="shared" ca="1" si="2"/>
        <v>14.93</v>
      </c>
      <c r="L155" s="3059"/>
      <c r="M155" s="3059"/>
      <c r="N155" s="3059"/>
      <c r="O155" s="3059"/>
      <c r="P155" s="3059"/>
      <c r="Q155" s="3059"/>
      <c r="R155" s="3059"/>
    </row>
    <row r="156" spans="1:19" ht="14.25">
      <c r="A156" s="3214">
        <v>146</v>
      </c>
      <c r="B156" s="3384"/>
      <c r="C156" s="3382"/>
      <c r="D156" s="3384"/>
      <c r="E156" s="3385"/>
      <c r="F156" s="3219">
        <v>104</v>
      </c>
      <c r="G156" s="3229">
        <v>68.84</v>
      </c>
      <c r="H156" s="3214">
        <v>1</v>
      </c>
      <c r="I156" s="3214" t="s">
        <v>3619</v>
      </c>
      <c r="J156" s="3219">
        <f ca="1">J153</f>
        <v>0.47</v>
      </c>
      <c r="K156" s="3234">
        <f t="shared" ca="1" si="2"/>
        <v>32.35</v>
      </c>
      <c r="L156" s="3059"/>
      <c r="M156" s="3059"/>
      <c r="N156" s="3059"/>
      <c r="O156" s="3059"/>
      <c r="P156" s="3059"/>
      <c r="Q156" s="3059"/>
      <c r="R156" s="3059"/>
    </row>
    <row r="157" spans="1:19" ht="14.25">
      <c r="A157" s="3214">
        <v>147</v>
      </c>
      <c r="B157" s="3384"/>
      <c r="C157" s="3382"/>
      <c r="D157" s="3384"/>
      <c r="E157" s="3385"/>
      <c r="F157" s="3219">
        <v>105</v>
      </c>
      <c r="G157" s="3229">
        <v>45.78</v>
      </c>
      <c r="H157" s="3214">
        <v>1</v>
      </c>
      <c r="I157" s="3214" t="s">
        <v>3619</v>
      </c>
      <c r="J157" s="3219">
        <f ca="1">J153</f>
        <v>0.47</v>
      </c>
      <c r="K157" s="3234">
        <f t="shared" ca="1" si="2"/>
        <v>21.52</v>
      </c>
      <c r="L157" s="3059"/>
      <c r="M157" s="3059"/>
      <c r="N157" s="3059"/>
      <c r="O157" s="3059"/>
      <c r="P157" s="3059"/>
      <c r="Q157" s="3059"/>
      <c r="R157" s="3059"/>
    </row>
    <row r="158" spans="1:19" ht="14.25">
      <c r="A158" s="3214">
        <v>148</v>
      </c>
      <c r="B158" s="3384"/>
      <c r="C158" s="3382"/>
      <c r="D158" s="3384"/>
      <c r="E158" s="3385">
        <v>3</v>
      </c>
      <c r="F158" s="3219">
        <v>101</v>
      </c>
      <c r="G158" s="3229">
        <v>45.78</v>
      </c>
      <c r="H158" s="3214">
        <v>1</v>
      </c>
      <c r="I158" s="3214" t="s">
        <v>3619</v>
      </c>
      <c r="J158" s="3219">
        <f ca="1">J153</f>
        <v>0.47</v>
      </c>
      <c r="K158" s="3234">
        <f t="shared" ca="1" si="2"/>
        <v>21.52</v>
      </c>
      <c r="L158" s="3059"/>
      <c r="M158" s="3059"/>
      <c r="N158" s="3059"/>
      <c r="O158" s="3059"/>
      <c r="P158" s="3059"/>
      <c r="Q158" s="3059"/>
      <c r="R158" s="3059"/>
    </row>
    <row r="159" spans="1:19" ht="14.25">
      <c r="A159" s="3214">
        <v>149</v>
      </c>
      <c r="B159" s="3384"/>
      <c r="C159" s="3382"/>
      <c r="D159" s="3384"/>
      <c r="E159" s="3385"/>
      <c r="F159" s="3219">
        <v>102</v>
      </c>
      <c r="G159" s="3229">
        <v>68.84</v>
      </c>
      <c r="H159" s="3214">
        <v>1</v>
      </c>
      <c r="I159" s="3214" t="s">
        <v>3619</v>
      </c>
      <c r="J159" s="3219">
        <f ca="1">J153</f>
        <v>0.47</v>
      </c>
      <c r="K159" s="3234">
        <f t="shared" ca="1" si="2"/>
        <v>32.35</v>
      </c>
      <c r="L159" s="3059"/>
      <c r="M159" s="3059"/>
      <c r="N159" s="3059"/>
      <c r="O159" s="3059"/>
      <c r="P159" s="3059"/>
      <c r="Q159" s="3059"/>
      <c r="R159" s="3059"/>
    </row>
    <row r="160" spans="1:19" ht="14.25">
      <c r="A160" s="3214">
        <v>150</v>
      </c>
      <c r="B160" s="3384"/>
      <c r="C160" s="3382"/>
      <c r="D160" s="3384"/>
      <c r="E160" s="3385"/>
      <c r="F160" s="3219">
        <v>103</v>
      </c>
      <c r="G160" s="3229">
        <v>31.77</v>
      </c>
      <c r="H160" s="3214">
        <v>1</v>
      </c>
      <c r="I160" s="3214" t="s">
        <v>3619</v>
      </c>
      <c r="J160" s="3219">
        <f ca="1">J153</f>
        <v>0.47</v>
      </c>
      <c r="K160" s="3234">
        <f t="shared" ca="1" si="2"/>
        <v>14.93</v>
      </c>
      <c r="L160" s="3059"/>
      <c r="M160" s="3059"/>
      <c r="N160" s="3059"/>
      <c r="O160" s="3059"/>
      <c r="P160" s="3059"/>
      <c r="Q160" s="3059"/>
      <c r="R160" s="3059"/>
    </row>
    <row r="161" spans="1:18" ht="14.25">
      <c r="A161" s="3214">
        <v>151</v>
      </c>
      <c r="B161" s="3384"/>
      <c r="C161" s="3382"/>
      <c r="D161" s="3384"/>
      <c r="E161" s="3385"/>
      <c r="F161" s="3219">
        <v>104</v>
      </c>
      <c r="G161" s="3229">
        <v>68.84</v>
      </c>
      <c r="H161" s="3214">
        <v>1</v>
      </c>
      <c r="I161" s="3214" t="s">
        <v>3619</v>
      </c>
      <c r="J161" s="3219">
        <f ca="1">J153</f>
        <v>0.47</v>
      </c>
      <c r="K161" s="3234">
        <f t="shared" ca="1" si="2"/>
        <v>32.35</v>
      </c>
      <c r="L161" s="3059"/>
      <c r="M161" s="3059"/>
      <c r="N161" s="3059"/>
      <c r="O161" s="3059"/>
      <c r="P161" s="3059"/>
      <c r="Q161" s="3059"/>
      <c r="R161" s="3059"/>
    </row>
    <row r="162" spans="1:18" ht="14.25">
      <c r="A162" s="3214">
        <v>152</v>
      </c>
      <c r="B162" s="3384"/>
      <c r="C162" s="3382"/>
      <c r="D162" s="3384"/>
      <c r="E162" s="3385"/>
      <c r="F162" s="3219">
        <v>105</v>
      </c>
      <c r="G162" s="3229">
        <v>45.78</v>
      </c>
      <c r="H162" s="3214">
        <v>1</v>
      </c>
      <c r="I162" s="3214" t="s">
        <v>3619</v>
      </c>
      <c r="J162" s="3219">
        <f t="shared" ref="J162" ca="1" si="3">J156</f>
        <v>0.47</v>
      </c>
      <c r="K162" s="3234">
        <f t="shared" ca="1" si="2"/>
        <v>21.52</v>
      </c>
      <c r="L162" s="3059"/>
      <c r="M162" s="3059"/>
      <c r="N162" s="3059"/>
      <c r="O162" s="3059"/>
      <c r="P162" s="3059"/>
      <c r="Q162" s="3059"/>
      <c r="R162" s="3059"/>
    </row>
    <row r="163" spans="1:18" ht="14.25">
      <c r="A163" s="3214">
        <v>153</v>
      </c>
      <c r="B163" s="3384"/>
      <c r="C163" s="3382"/>
      <c r="D163" s="3384"/>
      <c r="E163" s="3385">
        <v>8</v>
      </c>
      <c r="F163" s="3219">
        <v>101</v>
      </c>
      <c r="G163" s="3229">
        <v>45.95</v>
      </c>
      <c r="H163" s="3214">
        <v>1</v>
      </c>
      <c r="I163" s="3214" t="s">
        <v>3619</v>
      </c>
      <c r="J163" s="3219">
        <f t="shared" ref="J163" ca="1" si="4">J156</f>
        <v>0.47</v>
      </c>
      <c r="K163" s="3234">
        <f t="shared" ca="1" si="2"/>
        <v>21.6</v>
      </c>
      <c r="L163" s="3059"/>
      <c r="M163" s="3059"/>
      <c r="N163" s="3059"/>
      <c r="O163" s="3059"/>
      <c r="P163" s="3059"/>
      <c r="Q163" s="3059"/>
      <c r="R163" s="3059"/>
    </row>
    <row r="164" spans="1:18" ht="14.25">
      <c r="A164" s="3214">
        <v>154</v>
      </c>
      <c r="B164" s="3384"/>
      <c r="C164" s="3382"/>
      <c r="D164" s="3384"/>
      <c r="E164" s="3385"/>
      <c r="F164" s="3219">
        <v>102</v>
      </c>
      <c r="G164" s="3229">
        <v>68.989999999999995</v>
      </c>
      <c r="H164" s="3214">
        <v>1</v>
      </c>
      <c r="I164" s="3214" t="s">
        <v>3619</v>
      </c>
      <c r="J164" s="3219">
        <f t="shared" ref="J164" ca="1" si="5">J156</f>
        <v>0.47</v>
      </c>
      <c r="K164" s="3234">
        <f t="shared" ca="1" si="2"/>
        <v>32.43</v>
      </c>
      <c r="L164" s="3059"/>
      <c r="M164" s="3059"/>
      <c r="N164" s="3059"/>
      <c r="O164" s="3059"/>
      <c r="P164" s="3059"/>
      <c r="Q164" s="3059"/>
      <c r="R164" s="3059"/>
    </row>
    <row r="165" spans="1:18" ht="14.25">
      <c r="A165" s="3214">
        <v>155</v>
      </c>
      <c r="B165" s="3384"/>
      <c r="C165" s="3382"/>
      <c r="D165" s="3384"/>
      <c r="E165" s="3385"/>
      <c r="F165" s="3219">
        <v>103</v>
      </c>
      <c r="G165" s="3229">
        <v>31.91</v>
      </c>
      <c r="H165" s="3214">
        <v>1</v>
      </c>
      <c r="I165" s="3214" t="s">
        <v>3619</v>
      </c>
      <c r="J165" s="3219">
        <f t="shared" ref="J165" ca="1" si="6">J159</f>
        <v>0.47</v>
      </c>
      <c r="K165" s="3234">
        <f t="shared" ca="1" si="2"/>
        <v>15</v>
      </c>
      <c r="L165" s="3059"/>
      <c r="M165" s="3059"/>
      <c r="N165" s="3059"/>
      <c r="O165" s="3059"/>
      <c r="P165" s="3059"/>
      <c r="Q165" s="3059"/>
      <c r="R165" s="3059"/>
    </row>
    <row r="166" spans="1:18" ht="14.25">
      <c r="A166" s="3214">
        <v>156</v>
      </c>
      <c r="B166" s="3384"/>
      <c r="C166" s="3382"/>
      <c r="D166" s="3384"/>
      <c r="E166" s="3385"/>
      <c r="F166" s="3219">
        <v>104</v>
      </c>
      <c r="G166" s="3229">
        <v>68.989999999999995</v>
      </c>
      <c r="H166" s="3214">
        <v>1</v>
      </c>
      <c r="I166" s="3214" t="s">
        <v>3619</v>
      </c>
      <c r="J166" s="3219">
        <f t="shared" ref="J166" ca="1" si="7">J159</f>
        <v>0.47</v>
      </c>
      <c r="K166" s="3234">
        <f t="shared" ca="1" si="2"/>
        <v>32.43</v>
      </c>
      <c r="L166" s="3059"/>
      <c r="M166" s="3059"/>
      <c r="N166" s="3059"/>
      <c r="O166" s="3059"/>
      <c r="P166" s="3059"/>
      <c r="Q166" s="3059"/>
      <c r="R166" s="3059"/>
    </row>
    <row r="167" spans="1:18" ht="14.25">
      <c r="A167" s="3214">
        <v>157</v>
      </c>
      <c r="B167" s="3384"/>
      <c r="C167" s="3382"/>
      <c r="D167" s="3384"/>
      <c r="E167" s="3385"/>
      <c r="F167" s="3219">
        <v>105</v>
      </c>
      <c r="G167" s="3229">
        <v>45.95</v>
      </c>
      <c r="H167" s="3214">
        <v>1</v>
      </c>
      <c r="I167" s="3214" t="s">
        <v>3619</v>
      </c>
      <c r="J167" s="3219">
        <f t="shared" ref="J167" ca="1" si="8">J159</f>
        <v>0.47</v>
      </c>
      <c r="K167" s="3234">
        <f t="shared" ca="1" si="2"/>
        <v>21.6</v>
      </c>
      <c r="L167" s="3059"/>
      <c r="M167" s="3059"/>
      <c r="N167" s="3059"/>
      <c r="O167" s="3059"/>
      <c r="P167" s="3059"/>
      <c r="Q167" s="3059"/>
      <c r="R167" s="3059"/>
    </row>
    <row r="168" spans="1:18" ht="14.25">
      <c r="A168" s="3214">
        <v>158</v>
      </c>
      <c r="B168" s="3384"/>
      <c r="C168" s="3382"/>
      <c r="D168" s="3384" t="s">
        <v>3610</v>
      </c>
      <c r="E168" s="3385">
        <v>5</v>
      </c>
      <c r="F168" s="3219">
        <v>101</v>
      </c>
      <c r="G168" s="3229">
        <v>152.96</v>
      </c>
      <c r="H168" s="3214">
        <v>1</v>
      </c>
      <c r="I168" s="3214" t="s">
        <v>3619</v>
      </c>
      <c r="J168" s="3219">
        <f t="shared" ref="J168" ca="1" si="9">J162</f>
        <v>0.47</v>
      </c>
      <c r="K168" s="3234">
        <f t="shared" ca="1" si="2"/>
        <v>71.89</v>
      </c>
      <c r="L168" s="3059"/>
      <c r="M168" s="3059"/>
      <c r="N168" s="3059"/>
      <c r="O168" s="3059"/>
      <c r="P168" s="3059"/>
      <c r="Q168" s="3059"/>
      <c r="R168" s="3059"/>
    </row>
    <row r="169" spans="1:18" ht="14.25">
      <c r="A169" s="3214">
        <v>159</v>
      </c>
      <c r="B169" s="3384"/>
      <c r="C169" s="3382"/>
      <c r="D169" s="3384"/>
      <c r="E169" s="3385"/>
      <c r="F169" s="3219">
        <v>102</v>
      </c>
      <c r="G169" s="3229">
        <v>93.09</v>
      </c>
      <c r="H169" s="3214">
        <v>1</v>
      </c>
      <c r="I169" s="3214" t="s">
        <v>3619</v>
      </c>
      <c r="J169" s="3219">
        <f t="shared" ref="J169" ca="1" si="10">J162</f>
        <v>0.47</v>
      </c>
      <c r="K169" s="3234">
        <f t="shared" ca="1" si="2"/>
        <v>43.75</v>
      </c>
      <c r="L169" s="3059"/>
      <c r="M169" s="3059"/>
      <c r="N169" s="3059"/>
      <c r="O169" s="3059"/>
      <c r="P169" s="3059"/>
      <c r="Q169" s="3059"/>
      <c r="R169" s="3059"/>
    </row>
    <row r="170" spans="1:18" ht="14.25">
      <c r="A170" s="3214">
        <v>160</v>
      </c>
      <c r="B170" s="3384"/>
      <c r="C170" s="3382"/>
      <c r="D170" s="3384"/>
      <c r="E170" s="3385"/>
      <c r="F170" s="3219">
        <v>103</v>
      </c>
      <c r="G170" s="3229">
        <v>93.09</v>
      </c>
      <c r="H170" s="3214">
        <v>1</v>
      </c>
      <c r="I170" s="3214" t="s">
        <v>3619</v>
      </c>
      <c r="J170" s="3219">
        <f t="shared" ref="J170" ca="1" si="11">J162</f>
        <v>0.47</v>
      </c>
      <c r="K170" s="3234">
        <f t="shared" ca="1" si="2"/>
        <v>43.75</v>
      </c>
      <c r="L170" s="3059"/>
      <c r="M170" s="3059"/>
      <c r="N170" s="3059"/>
      <c r="O170" s="3059"/>
      <c r="P170" s="3059"/>
      <c r="Q170" s="3059"/>
      <c r="R170" s="3059"/>
    </row>
    <row r="171" spans="1:18" ht="14.25">
      <c r="A171" s="3214">
        <v>161</v>
      </c>
      <c r="B171" s="3384"/>
      <c r="C171" s="3382"/>
      <c r="D171" s="3384"/>
      <c r="E171" s="3385"/>
      <c r="F171" s="3219">
        <v>104</v>
      </c>
      <c r="G171" s="3229">
        <v>31.03</v>
      </c>
      <c r="H171" s="3214">
        <v>1</v>
      </c>
      <c r="I171" s="3214" t="s">
        <v>3619</v>
      </c>
      <c r="J171" s="3219">
        <f t="shared" ref="J171" ca="1" si="12">J165</f>
        <v>0.47</v>
      </c>
      <c r="K171" s="3234">
        <f t="shared" ca="1" si="2"/>
        <v>14.58</v>
      </c>
      <c r="L171" s="3059"/>
      <c r="M171" s="3059"/>
      <c r="N171" s="3059"/>
      <c r="O171" s="3059"/>
      <c r="P171" s="3059"/>
      <c r="Q171" s="3059"/>
      <c r="R171" s="3059"/>
    </row>
    <row r="172" spans="1:18" ht="14.25">
      <c r="A172" s="3214">
        <v>162</v>
      </c>
      <c r="B172" s="3384"/>
      <c r="C172" s="3382"/>
      <c r="D172" s="3384"/>
      <c r="E172" s="3385"/>
      <c r="F172" s="3219">
        <v>105</v>
      </c>
      <c r="G172" s="3229">
        <v>31.03</v>
      </c>
      <c r="H172" s="3214">
        <v>1</v>
      </c>
      <c r="I172" s="3214" t="s">
        <v>3619</v>
      </c>
      <c r="J172" s="3219">
        <f t="shared" ref="J172" ca="1" si="13">J165</f>
        <v>0.47</v>
      </c>
      <c r="K172" s="3234">
        <f t="shared" ca="1" si="2"/>
        <v>14.58</v>
      </c>
      <c r="L172" s="3059"/>
      <c r="M172" s="3059"/>
      <c r="N172" s="3059"/>
      <c r="O172" s="3059"/>
      <c r="P172" s="3059"/>
      <c r="Q172" s="3059"/>
      <c r="R172" s="3059"/>
    </row>
    <row r="173" spans="1:18" ht="14.25">
      <c r="A173" s="3214">
        <v>163</v>
      </c>
      <c r="B173" s="3384"/>
      <c r="C173" s="3382"/>
      <c r="D173" s="3384"/>
      <c r="E173" s="3385"/>
      <c r="F173" s="3219">
        <v>106</v>
      </c>
      <c r="G173" s="3229">
        <v>158.32</v>
      </c>
      <c r="H173" s="3214">
        <v>1</v>
      </c>
      <c r="I173" s="3214" t="s">
        <v>3619</v>
      </c>
      <c r="J173" s="3219">
        <f t="shared" ref="J173" ca="1" si="14">J165</f>
        <v>0.47</v>
      </c>
      <c r="K173" s="3234">
        <f t="shared" ca="1" si="2"/>
        <v>74.41</v>
      </c>
      <c r="L173" s="3059"/>
      <c r="M173" s="3059"/>
      <c r="N173" s="3059"/>
      <c r="O173" s="3059"/>
      <c r="P173" s="3059"/>
      <c r="Q173" s="3059"/>
      <c r="R173" s="3059"/>
    </row>
    <row r="174" spans="1:18" ht="14.25">
      <c r="A174" s="3214">
        <v>164</v>
      </c>
      <c r="B174" s="3384"/>
      <c r="C174" s="3382"/>
      <c r="D174" s="3384"/>
      <c r="E174" s="3385"/>
      <c r="F174" s="3219">
        <v>107</v>
      </c>
      <c r="G174" s="3229">
        <v>41.43</v>
      </c>
      <c r="H174" s="3214">
        <v>1</v>
      </c>
      <c r="I174" s="3214" t="s">
        <v>3619</v>
      </c>
      <c r="J174" s="3219">
        <f t="shared" ref="J174" ca="1" si="15">J168</f>
        <v>0.47</v>
      </c>
      <c r="K174" s="3234">
        <f t="shared" ca="1" si="2"/>
        <v>19.47</v>
      </c>
      <c r="L174" s="3059"/>
      <c r="M174" s="3059"/>
      <c r="N174" s="3059"/>
      <c r="O174" s="3059"/>
      <c r="P174" s="3059"/>
      <c r="Q174" s="3059"/>
      <c r="R174" s="3059"/>
    </row>
    <row r="175" spans="1:18" ht="14.25">
      <c r="A175" s="3214">
        <v>165</v>
      </c>
      <c r="B175" s="3384"/>
      <c r="C175" s="3382"/>
      <c r="D175" s="3384" t="s">
        <v>3602</v>
      </c>
      <c r="E175" s="3385">
        <v>5</v>
      </c>
      <c r="F175" s="3219">
        <v>101</v>
      </c>
      <c r="G175" s="3229">
        <v>41.43</v>
      </c>
      <c r="H175" s="3214">
        <v>1</v>
      </c>
      <c r="I175" s="3214" t="s">
        <v>3619</v>
      </c>
      <c r="J175" s="3219">
        <f t="shared" ref="J175" ca="1" si="16">J168</f>
        <v>0.47</v>
      </c>
      <c r="K175" s="3234">
        <f t="shared" ca="1" si="2"/>
        <v>19.47</v>
      </c>
      <c r="L175" s="3059"/>
      <c r="M175" s="3059"/>
      <c r="N175" s="3059"/>
      <c r="O175" s="3059"/>
      <c r="P175" s="3059"/>
      <c r="Q175" s="3059"/>
      <c r="R175" s="3059"/>
    </row>
    <row r="176" spans="1:18" ht="14.25">
      <c r="A176" s="3214">
        <v>166</v>
      </c>
      <c r="B176" s="3384"/>
      <c r="C176" s="3382"/>
      <c r="D176" s="3384"/>
      <c r="E176" s="3385"/>
      <c r="F176" s="3219">
        <v>102</v>
      </c>
      <c r="G176" s="3229">
        <v>158.52000000000001</v>
      </c>
      <c r="H176" s="3214">
        <v>1</v>
      </c>
      <c r="I176" s="3214" t="s">
        <v>3619</v>
      </c>
      <c r="J176" s="3219">
        <f t="shared" ref="J176" ca="1" si="17">J168</f>
        <v>0.47</v>
      </c>
      <c r="K176" s="3234">
        <f t="shared" ca="1" si="2"/>
        <v>74.5</v>
      </c>
      <c r="L176" s="3059"/>
      <c r="M176" s="3059"/>
      <c r="N176" s="3059"/>
      <c r="O176" s="3059"/>
      <c r="P176" s="3059"/>
      <c r="Q176" s="3059"/>
      <c r="R176" s="3059"/>
    </row>
    <row r="177" spans="1:32" ht="14.25">
      <c r="A177" s="3214">
        <v>167</v>
      </c>
      <c r="B177" s="3384"/>
      <c r="C177" s="3382"/>
      <c r="D177" s="3384"/>
      <c r="E177" s="3385"/>
      <c r="F177" s="3219">
        <v>103</v>
      </c>
      <c r="G177" s="3229">
        <v>31.03</v>
      </c>
      <c r="H177" s="3214">
        <v>1</v>
      </c>
      <c r="I177" s="3214" t="s">
        <v>3619</v>
      </c>
      <c r="J177" s="3219">
        <f t="shared" ref="J177" ca="1" si="18">J171</f>
        <v>0.47</v>
      </c>
      <c r="K177" s="3234">
        <f t="shared" ca="1" si="2"/>
        <v>14.58</v>
      </c>
      <c r="L177" s="3059"/>
      <c r="M177" s="3059"/>
      <c r="N177" s="3059"/>
      <c r="O177" s="3059"/>
      <c r="P177" s="3059"/>
      <c r="Q177" s="3059"/>
      <c r="R177" s="3059"/>
    </row>
    <row r="178" spans="1:32" ht="14.25">
      <c r="A178" s="3214">
        <v>168</v>
      </c>
      <c r="B178" s="3384"/>
      <c r="C178" s="3382"/>
      <c r="D178" s="3384"/>
      <c r="E178" s="3385"/>
      <c r="F178" s="3219">
        <v>104</v>
      </c>
      <c r="G178" s="3229">
        <v>93.08</v>
      </c>
      <c r="H178" s="3214">
        <v>1</v>
      </c>
      <c r="I178" s="3214" t="s">
        <v>3619</v>
      </c>
      <c r="J178" s="3219">
        <f t="shared" ref="J178" ca="1" si="19">J171</f>
        <v>0.47</v>
      </c>
      <c r="K178" s="3234">
        <f t="shared" ca="1" si="2"/>
        <v>43.75</v>
      </c>
      <c r="L178" s="3059"/>
      <c r="M178" s="3059"/>
      <c r="N178" s="3059"/>
      <c r="O178" s="3059"/>
      <c r="P178" s="3059"/>
      <c r="Q178" s="3059"/>
      <c r="R178" s="3059"/>
    </row>
    <row r="179" spans="1:32" ht="14.25">
      <c r="A179" s="3214">
        <v>169</v>
      </c>
      <c r="B179" s="3384"/>
      <c r="C179" s="3382"/>
      <c r="D179" s="3384"/>
      <c r="E179" s="3385"/>
      <c r="F179" s="3219">
        <v>105</v>
      </c>
      <c r="G179" s="3229">
        <v>93.08</v>
      </c>
      <c r="H179" s="3214">
        <v>1</v>
      </c>
      <c r="I179" s="3214" t="s">
        <v>3619</v>
      </c>
      <c r="J179" s="3219">
        <f t="shared" ref="J179" ca="1" si="20">J171</f>
        <v>0.47</v>
      </c>
      <c r="K179" s="3234">
        <f t="shared" ca="1" si="2"/>
        <v>43.75</v>
      </c>
      <c r="L179" s="3059"/>
      <c r="M179" s="3059"/>
      <c r="N179" s="3059"/>
      <c r="O179" s="3059"/>
      <c r="P179" s="3059"/>
      <c r="Q179" s="3059"/>
      <c r="R179" s="3059"/>
    </row>
    <row r="180" spans="1:32" ht="14.25">
      <c r="A180" s="3214">
        <v>170</v>
      </c>
      <c r="B180" s="3384"/>
      <c r="C180" s="3382"/>
      <c r="D180" s="3384"/>
      <c r="E180" s="3385"/>
      <c r="F180" s="3219">
        <v>106</v>
      </c>
      <c r="G180" s="3229">
        <v>31.03</v>
      </c>
      <c r="H180" s="3214">
        <v>1</v>
      </c>
      <c r="I180" s="3214" t="s">
        <v>3619</v>
      </c>
      <c r="J180" s="3219">
        <f t="shared" ref="J180" ca="1" si="21">J174</f>
        <v>0.47</v>
      </c>
      <c r="K180" s="3234">
        <f t="shared" ca="1" si="2"/>
        <v>14.58</v>
      </c>
      <c r="L180" s="3059"/>
      <c r="M180" s="3059"/>
      <c r="N180" s="3059"/>
      <c r="O180" s="3059"/>
      <c r="P180" s="3059"/>
      <c r="Q180" s="3059"/>
      <c r="R180" s="3059"/>
    </row>
    <row r="181" spans="1:32" ht="14.25">
      <c r="A181" s="3214">
        <v>171</v>
      </c>
      <c r="B181" s="3384"/>
      <c r="C181" s="3382"/>
      <c r="D181" s="3384"/>
      <c r="E181" s="3385"/>
      <c r="F181" s="3219">
        <v>107</v>
      </c>
      <c r="G181" s="3229">
        <v>153.16</v>
      </c>
      <c r="H181" s="3214">
        <v>1</v>
      </c>
      <c r="I181" s="3214" t="s">
        <v>3619</v>
      </c>
      <c r="J181" s="3219">
        <f t="shared" ref="J181" ca="1" si="22">J174</f>
        <v>0.47</v>
      </c>
      <c r="K181" s="3234">
        <f t="shared" ca="1" si="2"/>
        <v>71.989999999999995</v>
      </c>
      <c r="L181" s="3059"/>
      <c r="M181" s="3059"/>
      <c r="N181" s="3059"/>
      <c r="O181" s="3059"/>
      <c r="P181" s="3059"/>
      <c r="Q181" s="3059"/>
      <c r="R181" s="3059"/>
    </row>
    <row r="182" spans="1:32" ht="26.25" customHeight="1">
      <c r="A182" s="3214"/>
      <c r="B182" s="3384"/>
      <c r="C182" s="3227" t="s">
        <v>3633</v>
      </c>
      <c r="D182" s="3055"/>
      <c r="E182" s="3226"/>
      <c r="F182" s="3224"/>
      <c r="G182" s="3230">
        <f>SUM(G153:G181)</f>
        <v>1986.09</v>
      </c>
      <c r="H182" s="3055"/>
      <c r="I182" s="3055"/>
      <c r="J182" s="3224"/>
      <c r="K182" s="3055">
        <f ca="1">SUM(K153:K181)</f>
        <v>933.45000000000016</v>
      </c>
      <c r="L182" s="3059"/>
      <c r="M182" s="3059"/>
      <c r="N182" s="3059"/>
      <c r="O182" s="3059"/>
      <c r="P182" s="3059"/>
      <c r="Q182" s="3059"/>
      <c r="R182" s="3059"/>
    </row>
    <row r="183" spans="1:32" ht="60" customHeight="1">
      <c r="A183" s="3214">
        <v>172</v>
      </c>
      <c r="B183" s="3384"/>
      <c r="C183" s="3216" t="s">
        <v>3578</v>
      </c>
      <c r="D183" s="3214" t="s">
        <v>3611</v>
      </c>
      <c r="E183" s="3223">
        <v>6</v>
      </c>
      <c r="F183" s="3220">
        <v>119</v>
      </c>
      <c r="G183" s="3232">
        <v>87.69</v>
      </c>
      <c r="H183" s="3214">
        <v>1</v>
      </c>
      <c r="I183" s="3214" t="s">
        <v>3619</v>
      </c>
      <c r="J183" s="3219">
        <f ca="1">'结果表-分业态'!G25</f>
        <v>0.49</v>
      </c>
      <c r="K183" s="3234">
        <f t="shared" ca="1" si="2"/>
        <v>42.97</v>
      </c>
      <c r="L183" s="3059"/>
      <c r="M183" s="3059"/>
      <c r="N183" s="3059"/>
      <c r="O183" s="3059"/>
      <c r="P183" s="3059"/>
      <c r="Q183" s="3059"/>
      <c r="R183" s="3059"/>
    </row>
    <row r="184" spans="1:32" ht="32.25" customHeight="1">
      <c r="A184" s="3214"/>
      <c r="B184" s="3384"/>
      <c r="C184" s="3227" t="s">
        <v>3633</v>
      </c>
      <c r="D184" s="3055"/>
      <c r="E184" s="3226"/>
      <c r="F184" s="3225"/>
      <c r="G184" s="3233">
        <f>G183</f>
        <v>87.69</v>
      </c>
      <c r="H184" s="3055"/>
      <c r="I184" s="3055"/>
      <c r="J184" s="3224"/>
      <c r="K184" s="3055">
        <f ca="1">K183</f>
        <v>42.97</v>
      </c>
      <c r="L184" s="3059"/>
      <c r="M184" s="3059"/>
      <c r="N184" s="3059"/>
      <c r="O184" s="3059"/>
      <c r="P184" s="3059"/>
      <c r="Q184" s="3059"/>
      <c r="R184" s="3059"/>
    </row>
    <row r="185" spans="1:32" ht="14.25">
      <c r="A185" s="3214">
        <v>173</v>
      </c>
      <c r="B185" s="3384"/>
      <c r="C185" s="3382" t="s">
        <v>3613</v>
      </c>
      <c r="D185" s="3214" t="s">
        <v>3612</v>
      </c>
      <c r="E185" s="3223">
        <v>6</v>
      </c>
      <c r="F185" s="3220">
        <v>108</v>
      </c>
      <c r="G185" s="3232">
        <v>57.2</v>
      </c>
      <c r="H185" s="3214">
        <v>1</v>
      </c>
      <c r="I185" s="3214" t="s">
        <v>3619</v>
      </c>
      <c r="J185" s="3219">
        <f ca="1">'结果表-分业态'!G28</f>
        <v>0.49</v>
      </c>
      <c r="K185" s="3234">
        <f t="shared" ca="1" si="2"/>
        <v>28.03</v>
      </c>
      <c r="L185" s="3059"/>
      <c r="M185" s="3059"/>
      <c r="N185" s="3059"/>
      <c r="O185" s="3059"/>
      <c r="P185" s="3059"/>
      <c r="Q185" s="3059"/>
      <c r="R185" s="3059"/>
      <c r="W185" s="3389" t="s">
        <v>3635</v>
      </c>
      <c r="X185" s="3389"/>
      <c r="Y185" s="3389" t="s">
        <v>3638</v>
      </c>
      <c r="Z185" s="3389"/>
      <c r="AA185" s="3389" t="s">
        <v>3639</v>
      </c>
      <c r="AB185" s="3389"/>
      <c r="AC185" s="3389" t="s">
        <v>3640</v>
      </c>
      <c r="AD185" s="3389"/>
      <c r="AE185" s="3389" t="s">
        <v>3641</v>
      </c>
      <c r="AF185" s="3389"/>
    </row>
    <row r="186" spans="1:32" ht="14.25">
      <c r="A186" s="3214">
        <v>174</v>
      </c>
      <c r="B186" s="3384"/>
      <c r="C186" s="3382"/>
      <c r="D186" s="3384" t="s">
        <v>3611</v>
      </c>
      <c r="E186" s="3385">
        <v>9</v>
      </c>
      <c r="F186" s="3219">
        <v>101</v>
      </c>
      <c r="G186" s="3229">
        <v>62.17</v>
      </c>
      <c r="H186" s="3214">
        <v>1</v>
      </c>
      <c r="I186" s="3214" t="s">
        <v>3619</v>
      </c>
      <c r="J186" s="3219">
        <f ca="1">J185</f>
        <v>0.49</v>
      </c>
      <c r="K186" s="3234">
        <f t="shared" ca="1" si="2"/>
        <v>30.46</v>
      </c>
      <c r="L186" s="3059"/>
      <c r="M186" s="3059"/>
      <c r="N186" s="3059"/>
      <c r="O186" s="3059"/>
      <c r="P186" s="3059"/>
      <c r="Q186" s="3059"/>
      <c r="R186" s="3059"/>
      <c r="W186" s="3235">
        <v>108</v>
      </c>
      <c r="X186" s="3232">
        <v>57.2</v>
      </c>
      <c r="Y186" s="3219">
        <v>201</v>
      </c>
      <c r="Z186" s="3229">
        <v>890.26</v>
      </c>
      <c r="AA186" s="3219">
        <v>301</v>
      </c>
      <c r="AB186" s="3229">
        <v>910.45</v>
      </c>
      <c r="AC186" s="3219">
        <v>401</v>
      </c>
      <c r="AD186" s="3229">
        <v>843.16</v>
      </c>
      <c r="AE186" s="3219">
        <v>501</v>
      </c>
      <c r="AF186" s="3229">
        <v>825.09</v>
      </c>
    </row>
    <row r="187" spans="1:32" ht="14.25">
      <c r="A187" s="3214">
        <v>175</v>
      </c>
      <c r="B187" s="3384"/>
      <c r="C187" s="3382"/>
      <c r="D187" s="3384"/>
      <c r="E187" s="3385"/>
      <c r="F187" s="3219">
        <v>102</v>
      </c>
      <c r="G187" s="3229">
        <v>46.52</v>
      </c>
      <c r="H187" s="3214">
        <v>1</v>
      </c>
      <c r="I187" s="3214" t="s">
        <v>3619</v>
      </c>
      <c r="J187" s="3219">
        <f ca="1">J185</f>
        <v>0.49</v>
      </c>
      <c r="K187" s="3234">
        <f t="shared" ca="1" si="2"/>
        <v>22.79</v>
      </c>
      <c r="L187" s="3059"/>
      <c r="M187" s="3059"/>
      <c r="N187" s="3059"/>
      <c r="O187" s="3059"/>
      <c r="P187" s="3059"/>
      <c r="Q187" s="3059"/>
      <c r="R187" s="3059"/>
      <c r="W187" s="3219">
        <v>101</v>
      </c>
      <c r="X187" s="3229">
        <v>62.17</v>
      </c>
    </row>
    <row r="188" spans="1:32" ht="14.25">
      <c r="A188" s="3214">
        <v>176</v>
      </c>
      <c r="B188" s="3384"/>
      <c r="C188" s="3382"/>
      <c r="D188" s="3384"/>
      <c r="E188" s="3385"/>
      <c r="F188" s="3219">
        <v>103</v>
      </c>
      <c r="G188" s="3229">
        <v>24.35</v>
      </c>
      <c r="H188" s="3214">
        <v>1</v>
      </c>
      <c r="I188" s="3214" t="s">
        <v>3619</v>
      </c>
      <c r="J188" s="3219">
        <f ca="1">J185</f>
        <v>0.49</v>
      </c>
      <c r="K188" s="3234">
        <f t="shared" ca="1" si="2"/>
        <v>11.93</v>
      </c>
      <c r="L188" s="3059"/>
      <c r="M188" s="3059"/>
      <c r="N188" s="3059"/>
      <c r="O188" s="3059"/>
      <c r="P188" s="3059"/>
      <c r="Q188" s="3059"/>
      <c r="R188" s="3059"/>
      <c r="W188" s="3219">
        <v>102</v>
      </c>
      <c r="X188" s="3229">
        <v>46.52</v>
      </c>
    </row>
    <row r="189" spans="1:32" ht="14.25">
      <c r="A189" s="3214">
        <v>177</v>
      </c>
      <c r="B189" s="3384"/>
      <c r="C189" s="3382"/>
      <c r="D189" s="3384"/>
      <c r="E189" s="3385"/>
      <c r="F189" s="3219">
        <v>201</v>
      </c>
      <c r="G189" s="3229">
        <v>890.26</v>
      </c>
      <c r="H189" s="3214">
        <v>2</v>
      </c>
      <c r="I189" s="3214" t="s">
        <v>3619</v>
      </c>
      <c r="J189" s="3219">
        <f ca="1">'结果表-分业态'!G29</f>
        <v>0.32</v>
      </c>
      <c r="K189" s="3234">
        <f t="shared" ca="1" si="2"/>
        <v>284.88</v>
      </c>
      <c r="L189" s="3059"/>
      <c r="M189" s="3059"/>
      <c r="N189" s="3059"/>
      <c r="O189" s="3059"/>
      <c r="P189" s="3059"/>
      <c r="Q189" s="3059"/>
      <c r="R189" s="3059"/>
      <c r="W189" s="3219">
        <v>103</v>
      </c>
      <c r="X189" s="3229">
        <v>24.35</v>
      </c>
    </row>
    <row r="190" spans="1:32" ht="14.25">
      <c r="A190" s="3214">
        <v>178</v>
      </c>
      <c r="B190" s="3384"/>
      <c r="C190" s="3382"/>
      <c r="D190" s="3384"/>
      <c r="E190" s="3385"/>
      <c r="F190" s="3219">
        <v>301</v>
      </c>
      <c r="G190" s="3229">
        <v>910.45</v>
      </c>
      <c r="H190" s="3214">
        <v>3</v>
      </c>
      <c r="I190" s="3214" t="s">
        <v>3619</v>
      </c>
      <c r="J190" s="3219">
        <f ca="1">'结果表-分业态'!G30</f>
        <v>0.3</v>
      </c>
      <c r="K190" s="3234">
        <f t="shared" ca="1" si="2"/>
        <v>273.14</v>
      </c>
      <c r="L190" s="3059"/>
      <c r="M190" s="3059"/>
      <c r="N190" s="3059"/>
      <c r="O190" s="3059"/>
      <c r="P190" s="3059"/>
      <c r="Q190" s="3059"/>
      <c r="R190" s="3059"/>
      <c r="X190" s="3018">
        <f>SUM(X186:X189)</f>
        <v>190.24</v>
      </c>
    </row>
    <row r="191" spans="1:32" ht="14.25">
      <c r="A191" s="3214">
        <v>179</v>
      </c>
      <c r="B191" s="3384"/>
      <c r="C191" s="3382"/>
      <c r="D191" s="3384"/>
      <c r="E191" s="3385"/>
      <c r="F191" s="3219">
        <v>401</v>
      </c>
      <c r="G191" s="3229">
        <v>843.16</v>
      </c>
      <c r="H191" s="3214">
        <v>4</v>
      </c>
      <c r="I191" s="3214" t="s">
        <v>3619</v>
      </c>
      <c r="J191" s="3219">
        <f ca="1">'结果表-分业态'!G31</f>
        <v>0.25</v>
      </c>
      <c r="K191" s="3234">
        <f t="shared" ca="1" si="2"/>
        <v>210.79</v>
      </c>
      <c r="L191" s="3059"/>
      <c r="M191" s="3059"/>
      <c r="N191" s="3059"/>
      <c r="O191" s="3059"/>
      <c r="P191" s="3059"/>
      <c r="Q191" s="3059"/>
      <c r="R191" s="3059"/>
    </row>
    <row r="192" spans="1:32" ht="14.25">
      <c r="A192" s="3214">
        <v>180</v>
      </c>
      <c r="B192" s="3384"/>
      <c r="C192" s="3382"/>
      <c r="D192" s="3384"/>
      <c r="E192" s="3385"/>
      <c r="F192" s="3219">
        <v>501</v>
      </c>
      <c r="G192" s="3229">
        <v>825.09</v>
      </c>
      <c r="H192" s="3214">
        <v>5</v>
      </c>
      <c r="I192" s="3214" t="s">
        <v>3619</v>
      </c>
      <c r="J192" s="3219">
        <f ca="1">'结果表-分业态'!G32</f>
        <v>0.25</v>
      </c>
      <c r="K192" s="3234">
        <f t="shared" ca="1" si="2"/>
        <v>206.27</v>
      </c>
      <c r="L192" s="3059"/>
      <c r="M192" s="3059"/>
      <c r="N192" s="3059"/>
      <c r="O192" s="3059"/>
      <c r="P192" s="3059"/>
      <c r="Q192" s="3059"/>
      <c r="R192" s="3059"/>
    </row>
    <row r="193" spans="1:18" ht="27.75" customHeight="1">
      <c r="A193" s="3214"/>
      <c r="B193" s="3384"/>
      <c r="C193" s="3227" t="s">
        <v>3633</v>
      </c>
      <c r="D193" s="3055"/>
      <c r="E193" s="3055"/>
      <c r="F193" s="3055"/>
      <c r="G193" s="3231">
        <f>SUM(G185:G192)</f>
        <v>3659.2000000000003</v>
      </c>
      <c r="H193" s="3055"/>
      <c r="I193" s="3055"/>
      <c r="J193" s="3224"/>
      <c r="K193" s="3055">
        <f ca="1">SUM(K185:K192)</f>
        <v>1068.29</v>
      </c>
      <c r="L193" s="3059"/>
      <c r="M193" s="3059"/>
      <c r="N193" s="3059"/>
      <c r="O193" s="3059"/>
      <c r="P193" s="3059"/>
      <c r="Q193" s="3059"/>
      <c r="R193" s="3059"/>
    </row>
    <row r="194" spans="1:18" ht="36.75" customHeight="1">
      <c r="A194" s="3214"/>
      <c r="B194" s="3384"/>
      <c r="C194" s="3228" t="s">
        <v>3634</v>
      </c>
      <c r="D194" s="3242"/>
      <c r="E194" s="3241"/>
      <c r="F194" s="3241"/>
      <c r="G194" s="3241">
        <f>G182+G184+G193</f>
        <v>5732.98</v>
      </c>
      <c r="H194" s="3241"/>
      <c r="I194" s="3241"/>
      <c r="J194" s="3240"/>
      <c r="K194" s="3228">
        <f ca="1">K182+K184+K193</f>
        <v>2044.71</v>
      </c>
      <c r="L194" s="3059"/>
      <c r="M194" s="3059"/>
      <c r="N194" s="3059"/>
      <c r="O194" s="3059"/>
      <c r="P194" s="3059"/>
      <c r="Q194" s="3059"/>
      <c r="R194" s="3059"/>
    </row>
    <row r="195" spans="1:18" ht="56.25" customHeight="1">
      <c r="A195" s="3214"/>
      <c r="B195" s="3214"/>
      <c r="C195" s="3214" t="s">
        <v>3646</v>
      </c>
      <c r="D195" s="3234"/>
      <c r="E195" s="3221"/>
      <c r="F195" s="3221"/>
      <c r="G195" s="3221">
        <f>D151+G194</f>
        <v>99280.04</v>
      </c>
      <c r="H195" s="3221"/>
      <c r="I195" s="3221"/>
      <c r="J195" s="3219"/>
      <c r="K195" s="3234">
        <f ca="1">K194+K151</f>
        <v>24923.48</v>
      </c>
      <c r="L195" s="3237">
        <f ca="1">ROUND(K195/G195,2)</f>
        <v>0.25</v>
      </c>
      <c r="M195" s="3243"/>
      <c r="N195" s="3243"/>
      <c r="O195" s="3243"/>
      <c r="P195" s="3243"/>
      <c r="Q195" s="3243"/>
      <c r="R195" s="3237"/>
    </row>
  </sheetData>
  <mergeCells count="68">
    <mergeCell ref="A1:K2"/>
    <mergeCell ref="AC72:AD72"/>
    <mergeCell ref="AE72:AF72"/>
    <mergeCell ref="X138:Y138"/>
    <mergeCell ref="Z138:AA138"/>
    <mergeCell ref="W49:X49"/>
    <mergeCell ref="Y49:Z49"/>
    <mergeCell ref="W72:X72"/>
    <mergeCell ref="Y72:Z72"/>
    <mergeCell ref="AA72:AB72"/>
    <mergeCell ref="W3:X3"/>
    <mergeCell ref="Y3:Z3"/>
    <mergeCell ref="B4:B151"/>
    <mergeCell ref="E124:E129"/>
    <mergeCell ref="E130:E136"/>
    <mergeCell ref="D124:D136"/>
    <mergeCell ref="W185:X185"/>
    <mergeCell ref="Y185:Z185"/>
    <mergeCell ref="AA185:AB185"/>
    <mergeCell ref="AC185:AD185"/>
    <mergeCell ref="AE185:AF185"/>
    <mergeCell ref="B153:B194"/>
    <mergeCell ref="D151:I151"/>
    <mergeCell ref="E147:E149"/>
    <mergeCell ref="C147:C149"/>
    <mergeCell ref="D147:D149"/>
    <mergeCell ref="E186:E192"/>
    <mergeCell ref="D186:D192"/>
    <mergeCell ref="C185:C192"/>
    <mergeCell ref="C72:C136"/>
    <mergeCell ref="E138:E145"/>
    <mergeCell ref="D138:D145"/>
    <mergeCell ref="E175:E181"/>
    <mergeCell ref="D175:D181"/>
    <mergeCell ref="C153:C181"/>
    <mergeCell ref="E153:E157"/>
    <mergeCell ref="E158:E162"/>
    <mergeCell ref="E163:E167"/>
    <mergeCell ref="D153:D167"/>
    <mergeCell ref="E168:E174"/>
    <mergeCell ref="D168:D174"/>
    <mergeCell ref="C138:C145"/>
    <mergeCell ref="E88:E94"/>
    <mergeCell ref="E95:E102"/>
    <mergeCell ref="E103:E109"/>
    <mergeCell ref="E110:E116"/>
    <mergeCell ref="E38:E44"/>
    <mergeCell ref="E45:E47"/>
    <mergeCell ref="D4:D47"/>
    <mergeCell ref="E117:E123"/>
    <mergeCell ref="D72:D87"/>
    <mergeCell ref="D88:D123"/>
    <mergeCell ref="E54:E70"/>
    <mergeCell ref="D54:D70"/>
    <mergeCell ref="E72:E76"/>
    <mergeCell ref="E77:E82"/>
    <mergeCell ref="E83:E87"/>
    <mergeCell ref="C4:C47"/>
    <mergeCell ref="E49:E51"/>
    <mergeCell ref="D49:D53"/>
    <mergeCell ref="E4:E9"/>
    <mergeCell ref="E10:E12"/>
    <mergeCell ref="E13:E15"/>
    <mergeCell ref="E16:E23"/>
    <mergeCell ref="E24:E31"/>
    <mergeCell ref="E32:E37"/>
    <mergeCell ref="C49:C70"/>
    <mergeCell ref="E52:E53"/>
  </mergeCells>
  <phoneticPr fontId="28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269" t="str">
        <f>项目基本情况!B1</f>
        <v>北京市房地产市场价值预评估</v>
      </c>
      <c r="C37" s="3269"/>
      <c r="D37" s="3269"/>
      <c r="E37" s="3269"/>
      <c r="F37" s="3269"/>
      <c r="G37" s="3269"/>
      <c r="H37" s="3269"/>
      <c r="I37" s="3269"/>
    </row>
    <row r="38" spans="1:9">
      <c r="A38" s="1015"/>
      <c r="B38" s="1015"/>
    </row>
    <row r="39" spans="1:9">
      <c r="A39" s="1013" t="s">
        <v>818</v>
      </c>
      <c r="B39" s="1013" t="s">
        <v>820</v>
      </c>
    </row>
    <row r="40" spans="1:9">
      <c r="A40" s="1013"/>
      <c r="B40" s="1929" t="str">
        <f>项目基本情况!B5</f>
        <v>保障房中心</v>
      </c>
    </row>
    <row r="41" spans="1:9">
      <c r="A41" s="1013"/>
      <c r="B41" s="1013"/>
    </row>
    <row r="42" spans="1:9">
      <c r="A42" s="1013" t="s">
        <v>818</v>
      </c>
      <c r="B42" s="1013" t="s">
        <v>821</v>
      </c>
    </row>
    <row r="43" spans="1:9">
      <c r="A43" s="1013"/>
      <c r="B43" s="1929" t="s">
        <v>822</v>
      </c>
    </row>
    <row r="44" spans="1:9">
      <c r="A44" s="1013"/>
      <c r="B44" s="1013"/>
    </row>
    <row r="45" spans="1:9">
      <c r="A45" s="1013" t="s">
        <v>818</v>
      </c>
      <c r="B45" s="1013" t="s">
        <v>823</v>
      </c>
    </row>
    <row r="46" spans="1:9" s="1013" customFormat="1" ht="12.75">
      <c r="B46" s="1929" t="str">
        <f ca="1">项目基本情况!K4</f>
        <v>叶凌（注册号：1119970111)、陈颖（注册号：1120060040)</v>
      </c>
    </row>
    <row r="47" spans="1:9">
      <c r="A47" s="1013"/>
      <c r="B47" s="1013" t="str">
        <f>项目基本情况!K5</f>
        <v/>
      </c>
    </row>
    <row r="48" spans="1:9">
      <c r="A48" s="1013" t="s">
        <v>818</v>
      </c>
      <c r="B48" s="1013"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3:AC71"/>
  <sheetViews>
    <sheetView topLeftCell="A46" zoomScale="80" zoomScaleNormal="80" workbookViewId="0">
      <selection activeCell="U65" sqref="U65:W71"/>
    </sheetView>
  </sheetViews>
  <sheetFormatPr defaultRowHeight="13.5"/>
  <cols>
    <col min="1" max="1" width="4.25" style="3" customWidth="1"/>
    <col min="2" max="2" width="4.125" style="3" customWidth="1"/>
    <col min="3" max="3" width="3.875" style="3" customWidth="1"/>
    <col min="4" max="5" width="9" style="3"/>
    <col min="6" max="7" width="4" style="3" customWidth="1"/>
    <col min="8" max="8" width="3.875" style="3" customWidth="1"/>
    <col min="9" max="9" width="3.375" style="3" customWidth="1"/>
    <col min="10" max="11" width="9" style="3"/>
    <col min="12" max="12" width="4.875" style="3" customWidth="1"/>
    <col min="13" max="13" width="3.25" style="3" customWidth="1"/>
    <col min="14" max="14" width="4.125" style="3" customWidth="1"/>
    <col min="15" max="15" width="4" style="3" customWidth="1"/>
    <col min="16" max="17" width="9" style="3"/>
    <col min="18" max="18" width="4.25" style="3" customWidth="1"/>
    <col min="19" max="19" width="3.5" style="3" customWidth="1"/>
    <col min="20" max="20" width="3.625" style="3" customWidth="1"/>
    <col min="21" max="21" width="3.875" style="3" customWidth="1"/>
    <col min="22" max="23" width="9" style="3"/>
    <col min="24" max="24" width="4.125" style="3" customWidth="1"/>
    <col min="25" max="25" width="4" style="3" customWidth="1"/>
    <col min="26" max="26" width="4.125" style="3" customWidth="1"/>
    <col min="27" max="27" width="3.375" style="3" customWidth="1"/>
    <col min="28" max="16384" width="9" style="3"/>
  </cols>
  <sheetData>
    <row r="3" spans="1:29" ht="13.5" customHeight="1">
      <c r="A3" s="3395" t="s">
        <v>3586</v>
      </c>
      <c r="B3" s="3396"/>
      <c r="C3" s="3396"/>
      <c r="D3" s="3396"/>
      <c r="E3" s="3396"/>
      <c r="F3" s="3396"/>
      <c r="G3" s="3396"/>
      <c r="H3" s="3396"/>
      <c r="I3" s="3396"/>
      <c r="J3" s="3396"/>
      <c r="K3" s="3396"/>
      <c r="L3" s="3396"/>
      <c r="M3" s="3396"/>
      <c r="N3" s="3396"/>
      <c r="O3" s="3396"/>
      <c r="P3" s="3396"/>
      <c r="Q3" s="3396"/>
      <c r="R3" s="3396"/>
      <c r="S3" s="3396"/>
      <c r="T3" s="3396"/>
      <c r="U3" s="3396"/>
      <c r="V3" s="3396"/>
      <c r="W3" s="3396"/>
      <c r="X3" s="3396"/>
      <c r="Y3" s="3396"/>
      <c r="Z3" s="3396"/>
      <c r="AA3" s="3396"/>
      <c r="AB3" s="3396"/>
      <c r="AC3" s="3396"/>
    </row>
    <row r="4" spans="1:29">
      <c r="A4" s="3395"/>
      <c r="B4" s="3396"/>
      <c r="C4" s="3396"/>
      <c r="D4" s="3396"/>
      <c r="E4" s="3396"/>
      <c r="F4" s="3396"/>
      <c r="G4" s="3396"/>
      <c r="H4" s="3396"/>
      <c r="I4" s="3396"/>
      <c r="J4" s="3396"/>
      <c r="K4" s="3396"/>
      <c r="L4" s="3396"/>
      <c r="M4" s="3396"/>
      <c r="N4" s="3396"/>
      <c r="O4" s="3396"/>
      <c r="P4" s="3396"/>
      <c r="Q4" s="3396"/>
      <c r="R4" s="3396"/>
      <c r="S4" s="3396"/>
      <c r="T4" s="3396"/>
      <c r="U4" s="3396"/>
      <c r="V4" s="3396"/>
      <c r="W4" s="3396"/>
      <c r="X4" s="3396"/>
      <c r="Y4" s="3396"/>
      <c r="Z4" s="3396"/>
      <c r="AA4" s="3396"/>
      <c r="AB4" s="3396"/>
      <c r="AC4" s="3396"/>
    </row>
    <row r="5" spans="1:29" s="3018" customFormat="1" ht="30.75" customHeight="1">
      <c r="A5" s="3214" t="s">
        <v>3577</v>
      </c>
      <c r="B5" s="3214" t="s">
        <v>3581</v>
      </c>
      <c r="C5" s="3214" t="s">
        <v>3582</v>
      </c>
      <c r="D5" s="3214" t="s">
        <v>3583</v>
      </c>
      <c r="E5" s="3214" t="s">
        <v>3584</v>
      </c>
      <c r="F5" s="3214"/>
      <c r="G5" s="3214" t="s">
        <v>3585</v>
      </c>
      <c r="H5" s="3214" t="s">
        <v>3581</v>
      </c>
      <c r="I5" s="3214" t="s">
        <v>3582</v>
      </c>
      <c r="J5" s="3214" t="s">
        <v>3583</v>
      </c>
      <c r="K5" s="3214" t="s">
        <v>3584</v>
      </c>
      <c r="L5" s="3214"/>
      <c r="M5" s="3214" t="s">
        <v>3585</v>
      </c>
      <c r="N5" s="3214" t="s">
        <v>3581</v>
      </c>
      <c r="O5" s="3214" t="s">
        <v>3582</v>
      </c>
      <c r="P5" s="3214" t="s">
        <v>3583</v>
      </c>
      <c r="Q5" s="3214" t="s">
        <v>3584</v>
      </c>
      <c r="R5" s="3214"/>
      <c r="S5" s="3214" t="s">
        <v>3585</v>
      </c>
      <c r="T5" s="3214" t="s">
        <v>3581</v>
      </c>
      <c r="U5" s="3214" t="s">
        <v>3582</v>
      </c>
      <c r="V5" s="3214" t="s">
        <v>3583</v>
      </c>
      <c r="W5" s="3214" t="s">
        <v>3584</v>
      </c>
      <c r="X5" s="3215"/>
      <c r="Y5" s="3214" t="s">
        <v>3585</v>
      </c>
      <c r="Z5" s="3214" t="s">
        <v>3581</v>
      </c>
      <c r="AA5" s="3214" t="s">
        <v>3582</v>
      </c>
      <c r="AB5" s="3214" t="s">
        <v>3583</v>
      </c>
      <c r="AC5" s="3214" t="s">
        <v>3584</v>
      </c>
    </row>
    <row r="6" spans="1:29" ht="14.25">
      <c r="A6" s="3384" t="s">
        <v>3587</v>
      </c>
      <c r="B6" s="3384" t="s">
        <v>3598</v>
      </c>
      <c r="C6" s="3383">
        <v>1</v>
      </c>
      <c r="D6" s="3219">
        <v>101</v>
      </c>
      <c r="E6" s="3219">
        <v>46.37</v>
      </c>
      <c r="G6" s="3384" t="s">
        <v>3588</v>
      </c>
      <c r="H6" s="3384" t="s">
        <v>3578</v>
      </c>
      <c r="I6" s="3383">
        <v>6</v>
      </c>
      <c r="J6" s="3219">
        <v>101</v>
      </c>
      <c r="K6" s="3219">
        <v>28</v>
      </c>
      <c r="M6" s="3384" t="s">
        <v>3589</v>
      </c>
      <c r="N6" s="3384" t="s">
        <v>3599</v>
      </c>
      <c r="O6" s="3383">
        <v>5</v>
      </c>
      <c r="P6" s="3219">
        <v>101</v>
      </c>
      <c r="Q6" s="3219">
        <v>22.08</v>
      </c>
      <c r="S6" s="3384" t="s">
        <v>3590</v>
      </c>
      <c r="T6" s="3384" t="s">
        <v>3578</v>
      </c>
      <c r="U6" s="3383">
        <v>6</v>
      </c>
      <c r="V6" s="3219">
        <v>101</v>
      </c>
      <c r="W6" s="3219">
        <v>17.66</v>
      </c>
      <c r="Y6" s="3384" t="s">
        <v>3592</v>
      </c>
      <c r="Z6" s="3384" t="s">
        <v>3591</v>
      </c>
      <c r="AA6" s="3383" t="s">
        <v>3294</v>
      </c>
      <c r="AB6" s="3219">
        <v>-216</v>
      </c>
      <c r="AC6" s="3219">
        <v>10097.549999999999</v>
      </c>
    </row>
    <row r="7" spans="1:29" ht="14.25">
      <c r="A7" s="3384"/>
      <c r="B7" s="3384"/>
      <c r="C7" s="3383"/>
      <c r="D7" s="3219">
        <v>102</v>
      </c>
      <c r="E7" s="3219">
        <v>41.19</v>
      </c>
      <c r="G7" s="3384"/>
      <c r="H7" s="3384"/>
      <c r="I7" s="3383"/>
      <c r="J7" s="3219">
        <v>102</v>
      </c>
      <c r="K7" s="3219">
        <v>27.52</v>
      </c>
      <c r="M7" s="3384"/>
      <c r="N7" s="3384"/>
      <c r="O7" s="3383"/>
      <c r="P7" s="3219">
        <v>102</v>
      </c>
      <c r="Q7" s="3219">
        <v>128.94999999999999</v>
      </c>
      <c r="S7" s="3384"/>
      <c r="T7" s="3384"/>
      <c r="U7" s="3383"/>
      <c r="V7" s="3219">
        <v>103</v>
      </c>
      <c r="W7" s="3219">
        <v>152.38</v>
      </c>
      <c r="Y7" s="3384"/>
      <c r="Z7" s="3384"/>
      <c r="AA7" s="3383"/>
      <c r="AB7" s="3219">
        <v>-247</v>
      </c>
      <c r="AC7" s="3219">
        <v>9572.77</v>
      </c>
    </row>
    <row r="8" spans="1:29" ht="14.25">
      <c r="A8" s="3384"/>
      <c r="B8" s="3384"/>
      <c r="C8" s="3383"/>
      <c r="D8" s="3219">
        <v>103</v>
      </c>
      <c r="E8" s="3219">
        <v>29.63</v>
      </c>
      <c r="G8" s="3384"/>
      <c r="H8" s="3384"/>
      <c r="I8" s="3383"/>
      <c r="J8" s="3219">
        <v>201</v>
      </c>
      <c r="K8" s="3219">
        <v>1038.92</v>
      </c>
      <c r="M8" s="3384"/>
      <c r="N8" s="3384"/>
      <c r="O8" s="3383"/>
      <c r="P8" s="3219">
        <v>104</v>
      </c>
      <c r="Q8" s="3219">
        <v>135.4</v>
      </c>
      <c r="S8" s="3384"/>
      <c r="T8" s="3384"/>
      <c r="U8" s="3383"/>
      <c r="V8" s="3219">
        <v>106</v>
      </c>
      <c r="W8" s="3219">
        <v>16.29</v>
      </c>
      <c r="Y8" s="3384"/>
      <c r="Z8" s="3384"/>
      <c r="AA8" s="3383"/>
      <c r="AB8" s="3219">
        <v>-259</v>
      </c>
      <c r="AC8" s="3219">
        <v>1676.73</v>
      </c>
    </row>
    <row r="9" spans="1:29" ht="14.25">
      <c r="A9" s="3384"/>
      <c r="B9" s="3384"/>
      <c r="C9" s="3383"/>
      <c r="D9" s="3219">
        <v>104</v>
      </c>
      <c r="E9" s="3219">
        <v>32.25</v>
      </c>
      <c r="G9" s="3384"/>
      <c r="H9" s="3384"/>
      <c r="I9" s="3383">
        <v>7</v>
      </c>
      <c r="J9" s="3219">
        <v>101</v>
      </c>
      <c r="K9" s="3219">
        <v>5.31</v>
      </c>
      <c r="M9" s="3384"/>
      <c r="N9" s="3384"/>
      <c r="O9" s="3383"/>
      <c r="P9" s="3219">
        <v>105</v>
      </c>
      <c r="Q9" s="3219">
        <v>61.94</v>
      </c>
      <c r="S9" s="3384"/>
      <c r="T9" s="3384"/>
      <c r="U9" s="3383"/>
      <c r="V9" s="3219">
        <v>107</v>
      </c>
      <c r="W9" s="3219">
        <v>34.81</v>
      </c>
      <c r="Y9" s="3384"/>
      <c r="Z9" s="3384"/>
      <c r="AA9" s="3383"/>
      <c r="AB9" s="3219">
        <v>-275</v>
      </c>
      <c r="AC9" s="3219">
        <v>10833.53</v>
      </c>
    </row>
    <row r="10" spans="1:29" ht="14.25">
      <c r="A10" s="3384"/>
      <c r="B10" s="3384"/>
      <c r="C10" s="3383"/>
      <c r="D10" s="3219">
        <v>105</v>
      </c>
      <c r="E10" s="3219">
        <v>28</v>
      </c>
      <c r="G10" s="3384"/>
      <c r="H10" s="3384"/>
      <c r="I10" s="3383"/>
      <c r="J10" s="3219">
        <v>201</v>
      </c>
      <c r="K10" s="3219">
        <v>839.49</v>
      </c>
      <c r="M10" s="3384"/>
      <c r="N10" s="3384"/>
      <c r="O10" s="3383"/>
      <c r="P10" s="3219">
        <v>201</v>
      </c>
      <c r="Q10" s="3219">
        <v>478.18</v>
      </c>
      <c r="S10" s="3384"/>
      <c r="T10" s="3384"/>
      <c r="U10" s="3383"/>
      <c r="V10" s="3219">
        <v>108</v>
      </c>
      <c r="W10" s="3219">
        <v>43.95</v>
      </c>
      <c r="Y10" s="3384"/>
      <c r="Z10" s="3384"/>
      <c r="AA10" s="3383"/>
      <c r="AB10" s="3219">
        <v>-109</v>
      </c>
      <c r="AC10" s="3219">
        <v>10478.68</v>
      </c>
    </row>
    <row r="11" spans="1:29" ht="14.25">
      <c r="A11" s="3384"/>
      <c r="B11" s="3384"/>
      <c r="C11" s="3383"/>
      <c r="D11" s="3219">
        <v>106</v>
      </c>
      <c r="E11" s="3219">
        <v>18.579999999999998</v>
      </c>
      <c r="G11" s="3384"/>
      <c r="H11" s="3384" t="s">
        <v>3579</v>
      </c>
      <c r="I11" s="3383">
        <v>9</v>
      </c>
      <c r="J11" s="3219">
        <v>101</v>
      </c>
      <c r="K11" s="3219">
        <v>109.36</v>
      </c>
      <c r="M11" s="3384"/>
      <c r="N11" s="3384"/>
      <c r="O11" s="3383"/>
      <c r="P11" s="3219">
        <v>301</v>
      </c>
      <c r="Q11" s="3219">
        <v>478.6</v>
      </c>
      <c r="S11" s="3384"/>
      <c r="T11" s="3384"/>
      <c r="U11" s="3383"/>
      <c r="V11" s="3219">
        <v>109</v>
      </c>
      <c r="W11" s="3219">
        <v>10.89</v>
      </c>
      <c r="Y11" s="3384"/>
      <c r="Z11" s="3384"/>
      <c r="AA11" s="3383"/>
      <c r="AB11" s="3219">
        <v>-134</v>
      </c>
      <c r="AC11" s="3219">
        <v>8899.18</v>
      </c>
    </row>
    <row r="12" spans="1:29" ht="14.25">
      <c r="A12" s="3384"/>
      <c r="B12" s="3384"/>
      <c r="C12" s="3383">
        <v>2</v>
      </c>
      <c r="D12" s="3220">
        <v>-101</v>
      </c>
      <c r="E12" s="3219">
        <v>76.400000000000006</v>
      </c>
      <c r="G12" s="3384"/>
      <c r="H12" s="3384"/>
      <c r="I12" s="3383"/>
      <c r="J12" s="3219">
        <v>103</v>
      </c>
      <c r="K12" s="3219">
        <v>48.49</v>
      </c>
      <c r="M12" s="3384"/>
      <c r="N12" s="3384"/>
      <c r="O12" s="3383"/>
      <c r="P12" s="3219">
        <v>401</v>
      </c>
      <c r="Q12" s="3219">
        <v>478.52</v>
      </c>
      <c r="S12" s="3384"/>
      <c r="T12" s="3384"/>
      <c r="U12" s="3383"/>
      <c r="V12" s="3219">
        <v>110</v>
      </c>
      <c r="W12" s="3219">
        <v>54.63</v>
      </c>
      <c r="Y12" s="3384"/>
      <c r="Z12" s="3384"/>
      <c r="AA12" s="3383"/>
      <c r="AB12" s="3219">
        <v>-142</v>
      </c>
      <c r="AC12" s="3219">
        <v>1599.34</v>
      </c>
    </row>
    <row r="13" spans="1:29" ht="14.25">
      <c r="A13" s="3384"/>
      <c r="B13" s="3384"/>
      <c r="C13" s="3383"/>
      <c r="D13" s="3220">
        <v>-104</v>
      </c>
      <c r="E13" s="3219">
        <v>65.89</v>
      </c>
      <c r="G13" s="3384"/>
      <c r="H13" s="3384"/>
      <c r="I13" s="3383"/>
      <c r="J13" s="3219">
        <v>201</v>
      </c>
      <c r="K13" s="3219">
        <v>284.56</v>
      </c>
      <c r="M13" s="3384"/>
      <c r="N13" s="3384"/>
      <c r="O13" s="3383">
        <v>6</v>
      </c>
      <c r="P13" s="3219">
        <v>102</v>
      </c>
      <c r="Q13" s="3219">
        <v>62.98</v>
      </c>
      <c r="S13" s="3384"/>
      <c r="T13" s="3384"/>
      <c r="U13" s="3383"/>
      <c r="V13" s="3219">
        <v>111</v>
      </c>
      <c r="W13" s="3219">
        <v>39.67</v>
      </c>
      <c r="Y13" s="3384"/>
      <c r="Z13" s="3384"/>
      <c r="AA13" s="3383"/>
      <c r="AB13" s="3219">
        <v>-157</v>
      </c>
      <c r="AC13" s="3219">
        <v>9438.6</v>
      </c>
    </row>
    <row r="14" spans="1:29" ht="14.25">
      <c r="A14" s="3384"/>
      <c r="B14" s="3384"/>
      <c r="C14" s="3383"/>
      <c r="D14" s="3220">
        <v>-105</v>
      </c>
      <c r="E14" s="3219">
        <v>44.23</v>
      </c>
      <c r="G14" s="3384"/>
      <c r="H14" s="3384"/>
      <c r="I14" s="3383"/>
      <c r="J14" s="3219">
        <v>301</v>
      </c>
      <c r="K14" s="3219">
        <v>289.57</v>
      </c>
      <c r="M14" s="3384"/>
      <c r="N14" s="3384"/>
      <c r="O14" s="3383"/>
      <c r="P14" s="3219">
        <v>104</v>
      </c>
      <c r="Q14" s="3219">
        <v>44.73</v>
      </c>
      <c r="S14" s="3384"/>
      <c r="T14" s="3384"/>
      <c r="U14" s="3383"/>
      <c r="V14" s="3219">
        <v>112</v>
      </c>
      <c r="W14" s="3219">
        <v>33.9</v>
      </c>
    </row>
    <row r="15" spans="1:29" ht="14.25">
      <c r="A15" s="3384"/>
      <c r="B15" s="3384"/>
      <c r="C15" s="3383">
        <v>3</v>
      </c>
      <c r="D15" s="3220">
        <v>-101</v>
      </c>
      <c r="E15" s="3219">
        <v>78.17</v>
      </c>
      <c r="G15" s="3384"/>
      <c r="H15" s="3384"/>
      <c r="I15" s="3383"/>
      <c r="J15" s="3219">
        <v>401</v>
      </c>
      <c r="K15" s="3219">
        <v>288.62</v>
      </c>
      <c r="M15" s="3384"/>
      <c r="N15" s="3384"/>
      <c r="O15" s="3383"/>
      <c r="P15" s="3219">
        <v>105</v>
      </c>
      <c r="Q15" s="3219">
        <v>63.12</v>
      </c>
      <c r="S15" s="3384"/>
      <c r="T15" s="3384"/>
      <c r="U15" s="3383"/>
      <c r="V15" s="3219">
        <v>113</v>
      </c>
      <c r="W15" s="3219">
        <v>10.86</v>
      </c>
    </row>
    <row r="16" spans="1:29" ht="14.25">
      <c r="A16" s="3384"/>
      <c r="B16" s="3384"/>
      <c r="C16" s="3383"/>
      <c r="D16" s="3220">
        <v>-104</v>
      </c>
      <c r="E16" s="3219">
        <v>67.42</v>
      </c>
      <c r="G16" s="3384"/>
      <c r="H16" s="3384"/>
      <c r="I16" s="3383">
        <v>10</v>
      </c>
      <c r="J16" s="3219">
        <v>101</v>
      </c>
      <c r="K16" s="3219">
        <v>103.15</v>
      </c>
      <c r="M16" s="3384"/>
      <c r="N16" s="3384"/>
      <c r="O16" s="3383"/>
      <c r="P16" s="3219">
        <v>106</v>
      </c>
      <c r="Q16" s="3219">
        <v>64.400000000000006</v>
      </c>
      <c r="S16" s="3384"/>
      <c r="T16" s="3384"/>
      <c r="U16" s="3383"/>
      <c r="V16" s="3219">
        <v>114</v>
      </c>
      <c r="W16" s="3219">
        <v>110.53</v>
      </c>
    </row>
    <row r="17" spans="1:23" ht="14.25">
      <c r="A17" s="3384"/>
      <c r="B17" s="3384"/>
      <c r="C17" s="3383"/>
      <c r="D17" s="3220">
        <v>-105</v>
      </c>
      <c r="E17" s="3219">
        <v>45.25</v>
      </c>
      <c r="G17" s="3384"/>
      <c r="H17" s="3384"/>
      <c r="I17" s="3383"/>
      <c r="J17" s="3219">
        <v>103</v>
      </c>
      <c r="K17" s="3219">
        <v>38.21</v>
      </c>
      <c r="M17" s="3384"/>
      <c r="N17" s="3384"/>
      <c r="O17" s="3383"/>
      <c r="P17" s="3219">
        <v>107</v>
      </c>
      <c r="Q17" s="3219">
        <v>15.85</v>
      </c>
      <c r="S17" s="3384"/>
      <c r="T17" s="3384"/>
      <c r="U17" s="3383"/>
      <c r="V17" s="3219">
        <v>115</v>
      </c>
      <c r="W17" s="3219">
        <v>7.01</v>
      </c>
    </row>
    <row r="18" spans="1:23" ht="14.25">
      <c r="A18" s="3384"/>
      <c r="B18" s="3384"/>
      <c r="C18" s="3383">
        <v>4</v>
      </c>
      <c r="D18" s="3219">
        <v>101</v>
      </c>
      <c r="E18" s="3219">
        <v>81.97</v>
      </c>
      <c r="G18" s="3384"/>
      <c r="H18" s="3384"/>
      <c r="I18" s="3383"/>
      <c r="J18" s="3219">
        <v>104</v>
      </c>
      <c r="K18" s="3219">
        <v>45.04</v>
      </c>
      <c r="M18" s="3384"/>
      <c r="N18" s="3384"/>
      <c r="O18" s="3383"/>
      <c r="P18" s="3219">
        <v>201</v>
      </c>
      <c r="Q18" s="3219">
        <v>748.67</v>
      </c>
      <c r="S18" s="3384"/>
      <c r="T18" s="3384"/>
      <c r="U18" s="3383"/>
      <c r="V18" s="3219">
        <v>116</v>
      </c>
      <c r="W18" s="3219">
        <v>24.83</v>
      </c>
    </row>
    <row r="19" spans="1:23" ht="14.25">
      <c r="A19" s="3384"/>
      <c r="B19" s="3384"/>
      <c r="C19" s="3383"/>
      <c r="D19" s="3219">
        <v>102</v>
      </c>
      <c r="E19" s="3219">
        <v>31.3</v>
      </c>
      <c r="G19" s="3384"/>
      <c r="H19" s="3384"/>
      <c r="I19" s="3383"/>
      <c r="J19" s="3219">
        <v>201</v>
      </c>
      <c r="K19" s="3219">
        <v>380.65</v>
      </c>
      <c r="M19" s="3384"/>
      <c r="N19" s="3384"/>
      <c r="O19" s="3383"/>
      <c r="P19" s="3219">
        <v>301</v>
      </c>
      <c r="Q19" s="3219">
        <v>765.57</v>
      </c>
      <c r="S19" s="3384"/>
      <c r="T19" s="3384"/>
      <c r="U19" s="3383"/>
      <c r="V19" s="3219">
        <v>117</v>
      </c>
      <c r="W19" s="3219">
        <v>32.14</v>
      </c>
    </row>
    <row r="20" spans="1:23" ht="14.25">
      <c r="A20" s="3384"/>
      <c r="B20" s="3384"/>
      <c r="C20" s="3383"/>
      <c r="D20" s="3219">
        <v>103</v>
      </c>
      <c r="E20" s="3219">
        <v>84.05</v>
      </c>
      <c r="G20" s="3384"/>
      <c r="H20" s="3384"/>
      <c r="I20" s="3383"/>
      <c r="J20" s="3219">
        <v>301</v>
      </c>
      <c r="K20" s="3219">
        <v>364.65</v>
      </c>
      <c r="M20" s="3384"/>
      <c r="N20" s="3384"/>
      <c r="O20" s="3383"/>
      <c r="P20" s="3219">
        <v>401</v>
      </c>
      <c r="Q20" s="3219">
        <v>680.75</v>
      </c>
      <c r="S20" s="3384"/>
      <c r="T20" s="3384"/>
      <c r="U20" s="3383"/>
      <c r="V20" s="3219">
        <v>118</v>
      </c>
      <c r="W20" s="3219">
        <v>154.38</v>
      </c>
    </row>
    <row r="21" spans="1:23" ht="14.25">
      <c r="A21" s="3384"/>
      <c r="B21" s="3384"/>
      <c r="C21" s="3383"/>
      <c r="D21" s="3220">
        <v>-101</v>
      </c>
      <c r="E21" s="3219">
        <v>42.96</v>
      </c>
      <c r="G21" s="3384"/>
      <c r="H21" s="3384"/>
      <c r="I21" s="3383"/>
      <c r="J21" s="3219">
        <v>401</v>
      </c>
      <c r="K21" s="3219">
        <v>323.95999999999998</v>
      </c>
      <c r="M21" s="3384"/>
      <c r="N21" s="3384"/>
      <c r="O21" s="3383">
        <v>8</v>
      </c>
      <c r="P21" s="3219">
        <v>101</v>
      </c>
      <c r="Q21" s="3219">
        <v>8.8800000000000008</v>
      </c>
      <c r="S21" s="3384"/>
      <c r="T21" s="3384"/>
      <c r="U21" s="3383"/>
      <c r="V21" s="3219">
        <v>201</v>
      </c>
      <c r="W21" s="3219">
        <v>935.36</v>
      </c>
    </row>
    <row r="22" spans="1:23" ht="14.25" customHeight="1">
      <c r="A22" s="3384"/>
      <c r="B22" s="3384"/>
      <c r="C22" s="3383"/>
      <c r="D22" s="3220">
        <v>-102</v>
      </c>
      <c r="E22" s="3219">
        <v>49.03</v>
      </c>
      <c r="G22" s="3384"/>
      <c r="H22" s="3384"/>
      <c r="I22" s="3383">
        <v>11</v>
      </c>
      <c r="J22" s="3219">
        <v>101</v>
      </c>
      <c r="K22" s="3219">
        <v>77</v>
      </c>
      <c r="M22" s="3384"/>
      <c r="N22" s="3384"/>
      <c r="O22" s="3383"/>
      <c r="P22" s="3219">
        <v>102</v>
      </c>
      <c r="Q22" s="3219">
        <v>46.33</v>
      </c>
      <c r="S22" s="3384"/>
      <c r="T22" s="3384"/>
      <c r="U22" s="3383"/>
      <c r="V22" s="3219">
        <v>202</v>
      </c>
      <c r="W22" s="3219">
        <v>991.13</v>
      </c>
    </row>
    <row r="23" spans="1:23" ht="14.25">
      <c r="A23" s="3384"/>
      <c r="B23" s="3384"/>
      <c r="C23" s="3383"/>
      <c r="D23" s="3220">
        <v>-103</v>
      </c>
      <c r="E23" s="3219">
        <v>49.03</v>
      </c>
      <c r="G23" s="3384"/>
      <c r="H23" s="3384"/>
      <c r="I23" s="3383"/>
      <c r="J23" s="3219">
        <v>102</v>
      </c>
      <c r="K23" s="3219">
        <v>65.319999999999993</v>
      </c>
      <c r="M23" s="3384"/>
      <c r="N23" s="3384"/>
      <c r="O23" s="3383"/>
      <c r="P23" s="3219">
        <v>104</v>
      </c>
      <c r="Q23" s="3219">
        <v>46.64</v>
      </c>
      <c r="S23" s="3384"/>
      <c r="T23" s="3384" t="s">
        <v>3579</v>
      </c>
      <c r="U23" s="3383">
        <v>7</v>
      </c>
      <c r="V23" s="3219">
        <v>101</v>
      </c>
      <c r="W23" s="3219">
        <v>34.56</v>
      </c>
    </row>
    <row r="24" spans="1:23" ht="14.25">
      <c r="A24" s="3384"/>
      <c r="B24" s="3384"/>
      <c r="C24" s="3383"/>
      <c r="D24" s="3220">
        <v>-104</v>
      </c>
      <c r="E24" s="3219">
        <v>45.26</v>
      </c>
      <c r="G24" s="3384"/>
      <c r="H24" s="3384"/>
      <c r="I24" s="3383"/>
      <c r="J24" s="3219">
        <v>201</v>
      </c>
      <c r="K24" s="3219">
        <v>456.71</v>
      </c>
      <c r="M24" s="3384"/>
      <c r="N24" s="3384"/>
      <c r="O24" s="3383"/>
      <c r="P24" s="3219">
        <v>105</v>
      </c>
      <c r="Q24" s="3219">
        <v>61.66</v>
      </c>
      <c r="S24" s="3384"/>
      <c r="T24" s="3384"/>
      <c r="U24" s="3383"/>
      <c r="V24" s="3219">
        <v>102</v>
      </c>
      <c r="W24" s="3219">
        <v>41.69</v>
      </c>
    </row>
    <row r="25" spans="1:23" ht="14.25">
      <c r="A25" s="3384"/>
      <c r="B25" s="3384"/>
      <c r="C25" s="3383"/>
      <c r="D25" s="3220">
        <v>-105</v>
      </c>
      <c r="E25" s="3219">
        <v>90.91</v>
      </c>
      <c r="G25" s="3384"/>
      <c r="H25" s="3384"/>
      <c r="I25" s="3383"/>
      <c r="J25" s="3219">
        <v>301</v>
      </c>
      <c r="K25" s="3219">
        <v>445.43</v>
      </c>
      <c r="M25" s="3384"/>
      <c r="N25" s="3384"/>
      <c r="O25" s="3383"/>
      <c r="P25" s="3219">
        <v>201</v>
      </c>
      <c r="Q25" s="3219">
        <v>523.98</v>
      </c>
      <c r="S25" s="3384"/>
      <c r="T25" s="3384"/>
      <c r="U25" s="3383"/>
      <c r="V25" s="3219">
        <v>201</v>
      </c>
      <c r="W25" s="3219">
        <v>562.57000000000005</v>
      </c>
    </row>
    <row r="26" spans="1:23" ht="14.25">
      <c r="A26" s="3384"/>
      <c r="B26" s="3384"/>
      <c r="C26" s="3383">
        <v>5</v>
      </c>
      <c r="D26" s="3219">
        <v>101</v>
      </c>
      <c r="E26" s="3219">
        <v>45.95</v>
      </c>
      <c r="G26" s="3384"/>
      <c r="H26" s="3384"/>
      <c r="I26" s="3383"/>
      <c r="J26" s="3219">
        <v>401</v>
      </c>
      <c r="K26" s="3219">
        <v>401.14</v>
      </c>
      <c r="M26" s="3384"/>
      <c r="N26" s="3384"/>
      <c r="O26" s="3383"/>
      <c r="P26" s="3219">
        <v>301</v>
      </c>
      <c r="Q26" s="3219">
        <v>523.36</v>
      </c>
      <c r="S26" s="3384"/>
      <c r="T26" s="3384"/>
      <c r="U26" s="3383"/>
      <c r="V26" s="3219">
        <v>301</v>
      </c>
      <c r="W26" s="3219">
        <v>624.51</v>
      </c>
    </row>
    <row r="27" spans="1:23" ht="14.25">
      <c r="A27" s="3384"/>
      <c r="B27" s="3384"/>
      <c r="C27" s="3383"/>
      <c r="D27" s="3219">
        <v>102</v>
      </c>
      <c r="E27" s="3219">
        <v>68.989999999999995</v>
      </c>
      <c r="M27" s="3384"/>
      <c r="N27" s="3384"/>
      <c r="O27" s="3383"/>
      <c r="P27" s="3219">
        <v>401</v>
      </c>
      <c r="Q27" s="3219">
        <v>465.77</v>
      </c>
      <c r="S27" s="3384"/>
      <c r="T27" s="3384"/>
      <c r="U27" s="3383"/>
      <c r="V27" s="3219">
        <v>401</v>
      </c>
      <c r="W27" s="3219">
        <v>746.56</v>
      </c>
    </row>
    <row r="28" spans="1:23" ht="14.25">
      <c r="A28" s="3384"/>
      <c r="B28" s="3384"/>
      <c r="C28" s="3383"/>
      <c r="D28" s="3219">
        <v>103</v>
      </c>
      <c r="E28" s="3219">
        <v>31.91</v>
      </c>
      <c r="M28" s="3384"/>
      <c r="N28" s="3384"/>
      <c r="O28" s="3383">
        <v>9</v>
      </c>
      <c r="P28" s="3219">
        <v>107</v>
      </c>
      <c r="Q28" s="3219">
        <v>63.63</v>
      </c>
      <c r="S28" s="3384"/>
      <c r="T28" s="3384"/>
      <c r="U28" s="3383"/>
      <c r="V28" s="3219">
        <v>501</v>
      </c>
      <c r="W28" s="3219">
        <v>729.81</v>
      </c>
    </row>
    <row r="29" spans="1:23" ht="14.25">
      <c r="A29" s="3384"/>
      <c r="B29" s="3384"/>
      <c r="C29" s="3383"/>
      <c r="D29" s="3219">
        <v>104</v>
      </c>
      <c r="E29" s="3219">
        <v>68.989999999999995</v>
      </c>
      <c r="M29" s="3384"/>
      <c r="N29" s="3384"/>
      <c r="O29" s="3383"/>
      <c r="P29" s="3219">
        <v>108</v>
      </c>
      <c r="Q29" s="3219">
        <v>8.3000000000000007</v>
      </c>
      <c r="S29" s="3384"/>
      <c r="T29" s="3384"/>
      <c r="U29" s="3383">
        <v>8</v>
      </c>
      <c r="V29" s="3219">
        <v>101</v>
      </c>
      <c r="W29" s="3219">
        <v>76.33</v>
      </c>
    </row>
    <row r="30" spans="1:23" ht="14.25">
      <c r="A30" s="3384"/>
      <c r="B30" s="3384"/>
      <c r="C30" s="3383"/>
      <c r="D30" s="3219">
        <v>105</v>
      </c>
      <c r="E30" s="3219">
        <v>45.95</v>
      </c>
      <c r="M30" s="3384"/>
      <c r="N30" s="3384"/>
      <c r="O30" s="3383"/>
      <c r="P30" s="3219">
        <v>109</v>
      </c>
      <c r="Q30" s="3219">
        <v>22.91</v>
      </c>
      <c r="S30" s="3384"/>
      <c r="T30" s="3384"/>
      <c r="U30" s="3383"/>
      <c r="V30" s="3219">
        <v>102</v>
      </c>
      <c r="W30" s="3219">
        <v>35.58</v>
      </c>
    </row>
    <row r="31" spans="1:23" ht="14.25">
      <c r="A31" s="3384"/>
      <c r="B31" s="3384"/>
      <c r="C31" s="3383"/>
      <c r="D31" s="3220">
        <v>-101</v>
      </c>
      <c r="E31" s="3219">
        <v>44.54</v>
      </c>
      <c r="M31" s="3384"/>
      <c r="N31" s="3384"/>
      <c r="O31" s="3383"/>
      <c r="P31" s="3219">
        <v>110</v>
      </c>
      <c r="Q31" s="3219">
        <v>16.07</v>
      </c>
      <c r="S31" s="3384"/>
      <c r="T31" s="3384"/>
      <c r="U31" s="3383"/>
      <c r="V31" s="3219">
        <v>103</v>
      </c>
      <c r="W31" s="3219">
        <v>21.6</v>
      </c>
    </row>
    <row r="32" spans="1:23" ht="14.25">
      <c r="A32" s="3384"/>
      <c r="B32" s="3384"/>
      <c r="C32" s="3383"/>
      <c r="D32" s="3220">
        <v>-102</v>
      </c>
      <c r="E32" s="3219">
        <v>66.31</v>
      </c>
      <c r="M32" s="3384"/>
      <c r="N32" s="3384"/>
      <c r="O32" s="3383"/>
      <c r="P32" s="3219">
        <v>202</v>
      </c>
      <c r="Q32" s="3219">
        <v>354.56</v>
      </c>
      <c r="S32" s="3384"/>
      <c r="T32" s="3384"/>
      <c r="U32" s="3383"/>
      <c r="V32" s="3219">
        <v>201</v>
      </c>
      <c r="W32" s="3219">
        <v>592.95000000000005</v>
      </c>
    </row>
    <row r="33" spans="1:23" ht="14.25">
      <c r="A33" s="3384"/>
      <c r="B33" s="3384"/>
      <c r="C33" s="3383"/>
      <c r="D33" s="3220">
        <v>-105</v>
      </c>
      <c r="E33" s="3219">
        <v>76.89</v>
      </c>
      <c r="M33" s="3384"/>
      <c r="N33" s="3384"/>
      <c r="O33" s="3383"/>
      <c r="P33" s="3219">
        <v>302</v>
      </c>
      <c r="Q33" s="3219">
        <v>385.18</v>
      </c>
      <c r="S33" s="3384"/>
      <c r="T33" s="3384"/>
      <c r="U33" s="3383"/>
      <c r="V33" s="3219">
        <v>301</v>
      </c>
      <c r="W33" s="3219">
        <v>580.24</v>
      </c>
    </row>
    <row r="34" spans="1:23" ht="14.25" customHeight="1">
      <c r="A34" s="3384"/>
      <c r="B34" s="3384"/>
      <c r="C34" s="3383">
        <v>6</v>
      </c>
      <c r="D34" s="3219">
        <v>101</v>
      </c>
      <c r="E34" s="3219">
        <v>18.260000000000002</v>
      </c>
      <c r="M34" s="3384"/>
      <c r="N34" s="3384"/>
      <c r="O34" s="3383"/>
      <c r="P34" s="3219">
        <v>402</v>
      </c>
      <c r="Q34" s="3219">
        <v>354.56</v>
      </c>
      <c r="S34" s="3384"/>
      <c r="T34" s="3384"/>
      <c r="U34" s="3383"/>
      <c r="V34" s="3219">
        <v>401</v>
      </c>
      <c r="W34" s="3219">
        <v>415.21</v>
      </c>
    </row>
    <row r="35" spans="1:23" ht="14.25">
      <c r="A35" s="3384"/>
      <c r="B35" s="3384"/>
      <c r="C35" s="3383"/>
      <c r="D35" s="3219">
        <v>102</v>
      </c>
      <c r="E35" s="3219">
        <v>28.13</v>
      </c>
      <c r="M35" s="3384"/>
      <c r="N35" s="3384"/>
      <c r="O35" s="3383">
        <v>10</v>
      </c>
      <c r="P35" s="3219">
        <v>112</v>
      </c>
      <c r="Q35" s="3219">
        <v>49.13</v>
      </c>
      <c r="S35" s="3384"/>
      <c r="T35" s="3384"/>
      <c r="U35" s="3383"/>
      <c r="V35" s="3219">
        <v>501</v>
      </c>
      <c r="W35" s="3219">
        <v>443.62</v>
      </c>
    </row>
    <row r="36" spans="1:23" ht="14.25">
      <c r="A36" s="3384"/>
      <c r="B36" s="3384"/>
      <c r="C36" s="3383"/>
      <c r="D36" s="3219">
        <v>103</v>
      </c>
      <c r="E36" s="3219">
        <v>32.31</v>
      </c>
      <c r="M36" s="3384"/>
      <c r="N36" s="3384"/>
      <c r="O36" s="3383"/>
      <c r="P36" s="3219">
        <v>113</v>
      </c>
      <c r="Q36" s="3219">
        <v>126.59</v>
      </c>
    </row>
    <row r="37" spans="1:23" ht="14.25">
      <c r="A37" s="3384"/>
      <c r="B37" s="3384"/>
      <c r="C37" s="3383"/>
      <c r="D37" s="3219">
        <v>104</v>
      </c>
      <c r="E37" s="3219">
        <v>29.65</v>
      </c>
      <c r="M37" s="3384"/>
      <c r="N37" s="3384"/>
      <c r="O37" s="3383"/>
      <c r="P37" s="3219">
        <v>114</v>
      </c>
      <c r="Q37" s="3219">
        <v>8.56</v>
      </c>
    </row>
    <row r="38" spans="1:23" ht="14.25">
      <c r="A38" s="3384"/>
      <c r="B38" s="3384"/>
      <c r="C38" s="3383"/>
      <c r="D38" s="3219">
        <v>105</v>
      </c>
      <c r="E38" s="3219">
        <v>41.24</v>
      </c>
      <c r="M38" s="3384"/>
      <c r="N38" s="3384"/>
      <c r="O38" s="3383"/>
      <c r="P38" s="3219">
        <v>115</v>
      </c>
      <c r="Q38" s="3219">
        <v>28.54</v>
      </c>
    </row>
    <row r="39" spans="1:23" ht="14.25">
      <c r="A39" s="3384"/>
      <c r="B39" s="3384"/>
      <c r="C39" s="3383"/>
      <c r="D39" s="3219">
        <v>106</v>
      </c>
      <c r="E39" s="3219">
        <v>46.87</v>
      </c>
      <c r="M39" s="3384"/>
      <c r="N39" s="3384"/>
      <c r="O39" s="3383"/>
      <c r="P39" s="3219">
        <v>203</v>
      </c>
      <c r="Q39" s="3219">
        <v>485.92</v>
      </c>
    </row>
    <row r="40" spans="1:23" ht="14.25">
      <c r="A40" s="3384"/>
      <c r="B40" s="3384"/>
      <c r="C40" s="3383">
        <v>7</v>
      </c>
      <c r="D40" s="3219">
        <v>101</v>
      </c>
      <c r="E40" s="3219">
        <v>51.47</v>
      </c>
      <c r="M40" s="3384"/>
      <c r="N40" s="3384"/>
      <c r="O40" s="3383"/>
      <c r="P40" s="3219">
        <v>303</v>
      </c>
      <c r="Q40" s="3219">
        <v>500.94</v>
      </c>
    </row>
    <row r="41" spans="1:23" ht="14.25">
      <c r="A41" s="3384"/>
      <c r="B41" s="3384"/>
      <c r="C41" s="3383"/>
      <c r="D41" s="3219">
        <v>102</v>
      </c>
      <c r="E41" s="3219">
        <v>68.25</v>
      </c>
      <c r="M41" s="3384"/>
      <c r="N41" s="3384"/>
      <c r="O41" s="3383"/>
      <c r="P41" s="3219">
        <v>403</v>
      </c>
      <c r="Q41" s="3219">
        <v>444.85</v>
      </c>
    </row>
    <row r="42" spans="1:23" ht="14.25">
      <c r="A42" s="3384"/>
      <c r="B42" s="3384"/>
      <c r="C42" s="3383"/>
      <c r="D42" s="3219">
        <v>103</v>
      </c>
      <c r="E42" s="3219">
        <v>46.83</v>
      </c>
      <c r="M42" s="3384"/>
      <c r="N42" s="3384" t="s">
        <v>3580</v>
      </c>
      <c r="O42" s="3404" t="s">
        <v>3551</v>
      </c>
      <c r="P42" s="3222">
        <v>201</v>
      </c>
      <c r="Q42" s="3222">
        <v>1175.9000000000001</v>
      </c>
    </row>
    <row r="43" spans="1:23" ht="14.25">
      <c r="A43" s="3384"/>
      <c r="B43" s="3384"/>
      <c r="C43" s="3383"/>
      <c r="D43" s="3219">
        <v>-101</v>
      </c>
      <c r="E43" s="3219">
        <v>45.38</v>
      </c>
      <c r="M43" s="3384"/>
      <c r="N43" s="3384"/>
      <c r="O43" s="3404"/>
      <c r="P43" s="3222">
        <v>301</v>
      </c>
      <c r="Q43" s="3222">
        <v>2065.16</v>
      </c>
    </row>
    <row r="44" spans="1:23" ht="14.25">
      <c r="A44" s="3384"/>
      <c r="B44" s="3384"/>
      <c r="C44" s="3383"/>
      <c r="D44" s="3219">
        <v>-102</v>
      </c>
      <c r="E44" s="3219">
        <v>67.63</v>
      </c>
      <c r="M44" s="3384"/>
      <c r="N44" s="3384"/>
      <c r="O44" s="3404"/>
      <c r="P44" s="3222">
        <v>401</v>
      </c>
      <c r="Q44" s="3222">
        <v>3363.01</v>
      </c>
    </row>
    <row r="45" spans="1:23" ht="14.25">
      <c r="A45" s="3384"/>
      <c r="B45" s="3384"/>
      <c r="C45" s="3383"/>
      <c r="D45" s="3219">
        <v>-103</v>
      </c>
      <c r="E45" s="3219">
        <v>127.16</v>
      </c>
    </row>
    <row r="46" spans="1:23" ht="14.25">
      <c r="A46" s="3384"/>
      <c r="B46" s="3384"/>
      <c r="C46" s="3383"/>
      <c r="D46" s="3219">
        <v>-104</v>
      </c>
      <c r="E46" s="3219">
        <v>68.45</v>
      </c>
    </row>
    <row r="47" spans="1:23" ht="14.25">
      <c r="A47" s="3384"/>
      <c r="B47" s="3384"/>
      <c r="C47" s="3383">
        <v>8</v>
      </c>
      <c r="D47" s="3219">
        <v>-101</v>
      </c>
      <c r="E47" s="3219">
        <v>37.880000000000003</v>
      </c>
    </row>
    <row r="48" spans="1:23" ht="14.25">
      <c r="A48" s="3384"/>
      <c r="B48" s="3384"/>
      <c r="C48" s="3383"/>
      <c r="D48" s="3219">
        <v>-102</v>
      </c>
      <c r="E48" s="3219">
        <v>67.989999999999995</v>
      </c>
    </row>
    <row r="49" spans="1:23" ht="14.25">
      <c r="A49" s="3384"/>
      <c r="B49" s="3384"/>
      <c r="C49" s="3383"/>
      <c r="D49" s="3219">
        <v>-105</v>
      </c>
      <c r="E49" s="3219">
        <v>78.84</v>
      </c>
    </row>
    <row r="54" spans="1:23">
      <c r="A54" s="3397" t="s">
        <v>3593</v>
      </c>
      <c r="B54" s="3397"/>
      <c r="C54" s="3397"/>
      <c r="D54" s="3397"/>
      <c r="E54" s="3397"/>
      <c r="F54" s="3397"/>
      <c r="G54" s="3397"/>
      <c r="H54" s="3397"/>
      <c r="I54" s="3397"/>
      <c r="J54" s="3397"/>
      <c r="K54" s="3397"/>
      <c r="L54" s="3397"/>
      <c r="M54" s="3397"/>
      <c r="N54" s="3397"/>
      <c r="O54" s="3397"/>
      <c r="P54" s="3397"/>
      <c r="Q54" s="3397"/>
      <c r="R54" s="3397"/>
      <c r="S54" s="3397"/>
      <c r="T54" s="3397"/>
      <c r="U54" s="3397"/>
      <c r="V54" s="3397"/>
      <c r="W54" s="3397"/>
    </row>
    <row r="55" spans="1:23">
      <c r="A55" s="3398"/>
      <c r="B55" s="3398"/>
      <c r="C55" s="3398"/>
      <c r="D55" s="3398"/>
      <c r="E55" s="3398"/>
      <c r="F55" s="3398"/>
      <c r="G55" s="3398"/>
      <c r="H55" s="3398"/>
      <c r="I55" s="3398"/>
      <c r="J55" s="3398"/>
      <c r="K55" s="3398"/>
      <c r="L55" s="3398"/>
      <c r="M55" s="3398"/>
      <c r="N55" s="3398"/>
      <c r="O55" s="3398"/>
      <c r="P55" s="3398"/>
      <c r="Q55" s="3398"/>
      <c r="R55" s="3398"/>
      <c r="S55" s="3398"/>
      <c r="T55" s="3398"/>
      <c r="U55" s="3398"/>
      <c r="V55" s="3398"/>
      <c r="W55" s="3398"/>
    </row>
    <row r="56" spans="1:23" ht="27">
      <c r="A56" s="3214" t="s">
        <v>3577</v>
      </c>
      <c r="B56" s="3214" t="s">
        <v>3581</v>
      </c>
      <c r="C56" s="3214" t="s">
        <v>3582</v>
      </c>
      <c r="D56" s="3214" t="s">
        <v>3583</v>
      </c>
      <c r="E56" s="3214" t="s">
        <v>3584</v>
      </c>
      <c r="F56" s="3214"/>
      <c r="G56" s="3214" t="s">
        <v>3577</v>
      </c>
      <c r="H56" s="3214" t="s">
        <v>3581</v>
      </c>
      <c r="I56" s="3214" t="s">
        <v>3582</v>
      </c>
      <c r="J56" s="3214" t="s">
        <v>3583</v>
      </c>
      <c r="K56" s="3214" t="s">
        <v>3584</v>
      </c>
      <c r="L56" s="3214"/>
      <c r="M56" s="3214" t="s">
        <v>3577</v>
      </c>
      <c r="N56" s="3214" t="s">
        <v>3581</v>
      </c>
      <c r="O56" s="3214" t="s">
        <v>3582</v>
      </c>
      <c r="P56" s="3214" t="s">
        <v>3583</v>
      </c>
      <c r="Q56" s="3214" t="s">
        <v>3584</v>
      </c>
      <c r="R56" s="3214"/>
      <c r="S56" s="3214" t="s">
        <v>3577</v>
      </c>
      <c r="T56" s="3214" t="s">
        <v>3581</v>
      </c>
      <c r="U56" s="3214" t="s">
        <v>3582</v>
      </c>
      <c r="V56" s="3214" t="s">
        <v>3583</v>
      </c>
      <c r="W56" s="3214" t="s">
        <v>3584</v>
      </c>
    </row>
    <row r="57" spans="1:23" ht="56.25" customHeight="1">
      <c r="A57" s="3384" t="s">
        <v>3594</v>
      </c>
      <c r="B57" s="3384" t="s">
        <v>3598</v>
      </c>
      <c r="C57" s="3402">
        <v>2</v>
      </c>
      <c r="D57" s="3184">
        <v>101</v>
      </c>
      <c r="E57" s="3184">
        <v>45.78</v>
      </c>
      <c r="G57" s="3384" t="s">
        <v>3595</v>
      </c>
      <c r="H57" s="3384" t="s">
        <v>3576</v>
      </c>
      <c r="I57" s="3402">
        <v>5</v>
      </c>
      <c r="J57" s="3184">
        <v>101</v>
      </c>
      <c r="K57" s="3184">
        <v>152.96</v>
      </c>
      <c r="M57" s="3221" t="s">
        <v>3596</v>
      </c>
      <c r="N57" s="3221" t="s">
        <v>3579</v>
      </c>
      <c r="O57" s="3211">
        <v>6</v>
      </c>
      <c r="P57" s="3211">
        <v>108</v>
      </c>
      <c r="Q57" s="3211">
        <v>57.2</v>
      </c>
      <c r="S57" s="3384" t="s">
        <v>3597</v>
      </c>
      <c r="T57" s="3399" t="s">
        <v>3600</v>
      </c>
      <c r="U57" s="3403">
        <v>5</v>
      </c>
      <c r="V57" s="3184">
        <v>101</v>
      </c>
      <c r="W57" s="3184">
        <v>41.43</v>
      </c>
    </row>
    <row r="58" spans="1:23" ht="14.25">
      <c r="A58" s="3384"/>
      <c r="B58" s="3384"/>
      <c r="C58" s="3402"/>
      <c r="D58" s="3184">
        <v>102</v>
      </c>
      <c r="E58" s="3184">
        <v>68.84</v>
      </c>
      <c r="G58" s="3384"/>
      <c r="H58" s="3384"/>
      <c r="I58" s="3402"/>
      <c r="J58" s="3184">
        <v>102</v>
      </c>
      <c r="K58" s="3184">
        <v>93.09</v>
      </c>
      <c r="S58" s="3384"/>
      <c r="T58" s="3400"/>
      <c r="U58" s="3403"/>
      <c r="V58" s="3184">
        <v>102</v>
      </c>
      <c r="W58" s="3184">
        <v>158.52000000000001</v>
      </c>
    </row>
    <row r="59" spans="1:23" ht="14.25">
      <c r="A59" s="3384"/>
      <c r="B59" s="3384"/>
      <c r="C59" s="3402"/>
      <c r="D59" s="3184">
        <v>103</v>
      </c>
      <c r="E59" s="3184">
        <v>31.77</v>
      </c>
      <c r="G59" s="3384"/>
      <c r="H59" s="3384"/>
      <c r="I59" s="3402"/>
      <c r="J59" s="3184">
        <v>103</v>
      </c>
      <c r="K59" s="3184">
        <v>93.09</v>
      </c>
      <c r="S59" s="3384"/>
      <c r="T59" s="3400"/>
      <c r="U59" s="3403"/>
      <c r="V59" s="3184">
        <v>103</v>
      </c>
      <c r="W59" s="3184">
        <v>31.03</v>
      </c>
    </row>
    <row r="60" spans="1:23" ht="14.25">
      <c r="A60" s="3384"/>
      <c r="B60" s="3384"/>
      <c r="C60" s="3402"/>
      <c r="D60" s="3184">
        <v>104</v>
      </c>
      <c r="E60" s="3184">
        <v>68.84</v>
      </c>
      <c r="G60" s="3384"/>
      <c r="H60" s="3384"/>
      <c r="I60" s="3402"/>
      <c r="J60" s="3184">
        <v>104</v>
      </c>
      <c r="K60" s="3184">
        <v>31.03</v>
      </c>
      <c r="S60" s="3384"/>
      <c r="T60" s="3400"/>
      <c r="U60" s="3403"/>
      <c r="V60" s="3184">
        <v>104</v>
      </c>
      <c r="W60" s="3184">
        <v>93.08</v>
      </c>
    </row>
    <row r="61" spans="1:23" ht="14.25">
      <c r="A61" s="3384"/>
      <c r="B61" s="3384"/>
      <c r="C61" s="3402"/>
      <c r="D61" s="3184">
        <v>105</v>
      </c>
      <c r="E61" s="3184">
        <v>45.78</v>
      </c>
      <c r="G61" s="3384"/>
      <c r="H61" s="3384"/>
      <c r="I61" s="3402"/>
      <c r="J61" s="3184">
        <v>105</v>
      </c>
      <c r="K61" s="3184">
        <v>31.03</v>
      </c>
      <c r="S61" s="3384"/>
      <c r="T61" s="3400"/>
      <c r="U61" s="3403"/>
      <c r="V61" s="3184">
        <v>105</v>
      </c>
      <c r="W61" s="3184">
        <v>93.08</v>
      </c>
    </row>
    <row r="62" spans="1:23" ht="14.25">
      <c r="A62" s="3384"/>
      <c r="B62" s="3384"/>
      <c r="C62" s="3402">
        <v>3</v>
      </c>
      <c r="D62" s="3184">
        <v>101</v>
      </c>
      <c r="E62" s="3184">
        <v>45.78</v>
      </c>
      <c r="G62" s="3384"/>
      <c r="H62" s="3384"/>
      <c r="I62" s="3402"/>
      <c r="J62" s="3184">
        <v>106</v>
      </c>
      <c r="K62" s="3184">
        <v>158.32</v>
      </c>
      <c r="S62" s="3384"/>
      <c r="T62" s="3400"/>
      <c r="U62" s="3403"/>
      <c r="V62" s="3184">
        <v>106</v>
      </c>
      <c r="W62" s="3184">
        <v>31.03</v>
      </c>
    </row>
    <row r="63" spans="1:23" ht="15" customHeight="1">
      <c r="A63" s="3384"/>
      <c r="B63" s="3384"/>
      <c r="C63" s="3402"/>
      <c r="D63" s="3184">
        <v>102</v>
      </c>
      <c r="E63" s="3184">
        <v>68.84</v>
      </c>
      <c r="G63" s="3384"/>
      <c r="H63" s="3384"/>
      <c r="I63" s="3402"/>
      <c r="J63" s="3184">
        <v>107</v>
      </c>
      <c r="K63" s="3184">
        <v>41.43</v>
      </c>
      <c r="S63" s="3384"/>
      <c r="T63" s="3401"/>
      <c r="U63" s="3403"/>
      <c r="V63" s="3184">
        <v>107</v>
      </c>
      <c r="W63" s="3184">
        <v>153.16</v>
      </c>
    </row>
    <row r="64" spans="1:23" ht="40.5">
      <c r="A64" s="3384"/>
      <c r="B64" s="3384"/>
      <c r="C64" s="3402"/>
      <c r="D64" s="3184">
        <v>103</v>
      </c>
      <c r="E64" s="3184">
        <v>31.77</v>
      </c>
      <c r="S64" s="3384"/>
      <c r="T64" s="3214" t="s">
        <v>3578</v>
      </c>
      <c r="U64" s="3212">
        <v>6</v>
      </c>
      <c r="V64" s="3211">
        <v>119</v>
      </c>
      <c r="W64" s="3211">
        <v>87.69</v>
      </c>
    </row>
    <row r="65" spans="1:23" ht="14.25">
      <c r="A65" s="3384"/>
      <c r="B65" s="3384"/>
      <c r="C65" s="3402"/>
      <c r="D65" s="3184">
        <v>104</v>
      </c>
      <c r="E65" s="3184">
        <v>68.84</v>
      </c>
      <c r="S65" s="3384"/>
      <c r="T65" s="3399" t="s">
        <v>3579</v>
      </c>
      <c r="U65" s="3403">
        <v>9</v>
      </c>
      <c r="V65" s="3184">
        <v>101</v>
      </c>
      <c r="W65" s="3184">
        <v>62.17</v>
      </c>
    </row>
    <row r="66" spans="1:23" ht="14.25">
      <c r="A66" s="3384"/>
      <c r="B66" s="3384"/>
      <c r="C66" s="3402"/>
      <c r="D66" s="3184">
        <v>105</v>
      </c>
      <c r="E66" s="3184">
        <v>45.78</v>
      </c>
      <c r="S66" s="3384"/>
      <c r="T66" s="3400"/>
      <c r="U66" s="3403"/>
      <c r="V66" s="3184">
        <v>102</v>
      </c>
      <c r="W66" s="3184">
        <v>46.52</v>
      </c>
    </row>
    <row r="67" spans="1:23" ht="14.25">
      <c r="A67" s="3384"/>
      <c r="B67" s="3384"/>
      <c r="C67" s="3402">
        <v>8</v>
      </c>
      <c r="D67" s="3184">
        <v>101</v>
      </c>
      <c r="E67" s="3184">
        <v>45.95</v>
      </c>
      <c r="S67" s="3384"/>
      <c r="T67" s="3400"/>
      <c r="U67" s="3403"/>
      <c r="V67" s="3184">
        <v>103</v>
      </c>
      <c r="W67" s="3184">
        <v>24.35</v>
      </c>
    </row>
    <row r="68" spans="1:23" ht="14.25">
      <c r="A68" s="3384"/>
      <c r="B68" s="3384"/>
      <c r="C68" s="3402"/>
      <c r="D68" s="3184">
        <v>102</v>
      </c>
      <c r="E68" s="3184">
        <v>68.989999999999995</v>
      </c>
      <c r="S68" s="3384"/>
      <c r="T68" s="3400"/>
      <c r="U68" s="3403"/>
      <c r="V68" s="3184">
        <v>201</v>
      </c>
      <c r="W68" s="3184">
        <v>890.26</v>
      </c>
    </row>
    <row r="69" spans="1:23" ht="14.25">
      <c r="A69" s="3384"/>
      <c r="B69" s="3384"/>
      <c r="C69" s="3402"/>
      <c r="D69" s="3184">
        <v>103</v>
      </c>
      <c r="E69" s="3184">
        <v>31.91</v>
      </c>
      <c r="S69" s="3384"/>
      <c r="T69" s="3400"/>
      <c r="U69" s="3403"/>
      <c r="V69" s="3184">
        <v>301</v>
      </c>
      <c r="W69" s="3184">
        <v>910.45</v>
      </c>
    </row>
    <row r="70" spans="1:23" ht="14.25">
      <c r="A70" s="3384"/>
      <c r="B70" s="3384"/>
      <c r="C70" s="3402"/>
      <c r="D70" s="3184">
        <v>104</v>
      </c>
      <c r="E70" s="3184">
        <v>68.989999999999995</v>
      </c>
      <c r="S70" s="3384"/>
      <c r="T70" s="3400"/>
      <c r="U70" s="3403"/>
      <c r="V70" s="3184">
        <v>401</v>
      </c>
      <c r="W70" s="3184">
        <v>843.16</v>
      </c>
    </row>
    <row r="71" spans="1:23" ht="14.25">
      <c r="A71" s="3384"/>
      <c r="B71" s="3384"/>
      <c r="C71" s="3402"/>
      <c r="D71" s="3184">
        <v>105</v>
      </c>
      <c r="E71" s="3184">
        <v>45.95</v>
      </c>
      <c r="S71" s="3384"/>
      <c r="T71" s="3401"/>
      <c r="U71" s="3403"/>
      <c r="V71" s="3184">
        <v>501</v>
      </c>
      <c r="W71" s="3184">
        <v>825.09</v>
      </c>
    </row>
  </sheetData>
  <mergeCells count="51">
    <mergeCell ref="S6:S35"/>
    <mergeCell ref="O21:O27"/>
    <mergeCell ref="O42:O44"/>
    <mergeCell ref="O6:O12"/>
    <mergeCell ref="O13:O20"/>
    <mergeCell ref="A54:W55"/>
    <mergeCell ref="A57:A71"/>
    <mergeCell ref="G57:G63"/>
    <mergeCell ref="S57:S71"/>
    <mergeCell ref="B57:B71"/>
    <mergeCell ref="T65:T71"/>
    <mergeCell ref="C62:C66"/>
    <mergeCell ref="C67:C71"/>
    <mergeCell ref="I57:I63"/>
    <mergeCell ref="U57:U63"/>
    <mergeCell ref="U65:U71"/>
    <mergeCell ref="C57:C61"/>
    <mergeCell ref="H57:H63"/>
    <mergeCell ref="T57:T63"/>
    <mergeCell ref="AA6:AA13"/>
    <mergeCell ref="A3:AC4"/>
    <mergeCell ref="Y6:Y13"/>
    <mergeCell ref="Z6:Z13"/>
    <mergeCell ref="U6:U22"/>
    <mergeCell ref="C6:C11"/>
    <mergeCell ref="C12:C14"/>
    <mergeCell ref="C15:C17"/>
    <mergeCell ref="A6:A49"/>
    <mergeCell ref="B6:B49"/>
    <mergeCell ref="C47:C49"/>
    <mergeCell ref="I22:I26"/>
    <mergeCell ref="N6:N41"/>
    <mergeCell ref="N42:N44"/>
    <mergeCell ref="T6:T22"/>
    <mergeCell ref="T23:T35"/>
    <mergeCell ref="U23:U28"/>
    <mergeCell ref="U29:U35"/>
    <mergeCell ref="C18:C25"/>
    <mergeCell ref="C26:C33"/>
    <mergeCell ref="C34:C39"/>
    <mergeCell ref="O28:O34"/>
    <mergeCell ref="O35:O41"/>
    <mergeCell ref="M6:M44"/>
    <mergeCell ref="G6:G26"/>
    <mergeCell ref="H6:H10"/>
    <mergeCell ref="H11:H26"/>
    <mergeCell ref="C40:C46"/>
    <mergeCell ref="I6:I8"/>
    <mergeCell ref="I9:I10"/>
    <mergeCell ref="I11:I15"/>
    <mergeCell ref="I16:I21"/>
  </mergeCells>
  <phoneticPr fontId="28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0000"/>
  </sheetPr>
  <dimension ref="A1:I43"/>
  <sheetViews>
    <sheetView topLeftCell="A16" workbookViewId="0">
      <selection activeCell="H24" sqref="H24"/>
    </sheetView>
  </sheetViews>
  <sheetFormatPr defaultRowHeight="12"/>
  <cols>
    <col min="1" max="3" width="9" style="3251"/>
    <col min="4" max="4" width="12.125" style="3266" customWidth="1"/>
    <col min="5" max="6" width="9" style="3251"/>
    <col min="7" max="7" width="11.625" style="3251" customWidth="1"/>
    <col min="8" max="8" width="13.875" style="3251" customWidth="1"/>
    <col min="9" max="16384" width="9" style="3251"/>
  </cols>
  <sheetData>
    <row r="1" spans="1:8" s="3248" customFormat="1" ht="24">
      <c r="A1" s="3244" t="s">
        <v>3630</v>
      </c>
      <c r="B1" s="3245" t="s">
        <v>3627</v>
      </c>
      <c r="C1" s="3245" t="s">
        <v>3059</v>
      </c>
      <c r="D1" s="3246" t="s">
        <v>3083</v>
      </c>
      <c r="E1" s="3247" t="s">
        <v>3353</v>
      </c>
      <c r="F1" s="3245" t="s">
        <v>3550</v>
      </c>
      <c r="G1" s="3245" t="s">
        <v>3518</v>
      </c>
      <c r="H1" s="3245" t="s">
        <v>3425</v>
      </c>
    </row>
    <row r="2" spans="1:8">
      <c r="A2" s="3405" t="s">
        <v>3628</v>
      </c>
      <c r="B2" s="3406" t="s">
        <v>3625</v>
      </c>
      <c r="C2" s="3249" t="s">
        <v>3339</v>
      </c>
      <c r="D2" s="3249">
        <f>'面积总表2020-11-12'!X27</f>
        <v>1018.1400000000002</v>
      </c>
      <c r="E2" s="3250">
        <f>E8</f>
        <v>1</v>
      </c>
      <c r="F2" s="3250">
        <v>0.95</v>
      </c>
      <c r="G2" s="3250">
        <f ca="1">ROUND(G8*E2*F2,2)</f>
        <v>0.49</v>
      </c>
      <c r="H2" s="3250">
        <f ca="1">ROUND(D2*G2,2)</f>
        <v>498.89</v>
      </c>
    </row>
    <row r="3" spans="1:8">
      <c r="A3" s="3405"/>
      <c r="B3" s="3406"/>
      <c r="C3" s="3249" t="s">
        <v>3344</v>
      </c>
      <c r="D3" s="3249">
        <f>'面积总表2020-11-12'!Z25</f>
        <v>1335.62</v>
      </c>
      <c r="E3" s="3250">
        <v>0.5</v>
      </c>
      <c r="F3" s="3250">
        <v>0.9</v>
      </c>
      <c r="G3" s="3250">
        <f ca="1">ROUND(G8*E3*F3,2)</f>
        <v>0.23</v>
      </c>
      <c r="H3" s="3250">
        <f t="shared" ref="H3:H32" ca="1" si="0">ROUND(D3*G3,2)</f>
        <v>307.19</v>
      </c>
    </row>
    <row r="4" spans="1:8">
      <c r="A4" s="3405"/>
      <c r="B4" s="3245" t="s">
        <v>3346</v>
      </c>
      <c r="C4" s="3245"/>
      <c r="D4" s="3246">
        <f>SUM(D2:D3)</f>
        <v>2353.7600000000002</v>
      </c>
      <c r="E4" s="3252"/>
      <c r="F4" s="3252"/>
      <c r="G4" s="3252"/>
      <c r="H4" s="3253"/>
    </row>
    <row r="5" spans="1:8">
      <c r="A5" s="3405"/>
      <c r="B5" s="3407" t="s">
        <v>3624</v>
      </c>
      <c r="C5" s="3254" t="s">
        <v>3621</v>
      </c>
      <c r="D5" s="3254">
        <f>'面积总表2020-11-12'!X68</f>
        <v>804.76</v>
      </c>
      <c r="E5" s="3255">
        <f>E2</f>
        <v>1</v>
      </c>
      <c r="F5" s="3255">
        <v>1</v>
      </c>
      <c r="G5" s="3255">
        <f ca="1">ROUND(G8*E5*F5,2)</f>
        <v>0.52</v>
      </c>
      <c r="H5" s="3255">
        <f t="shared" ca="1" si="0"/>
        <v>418.48</v>
      </c>
    </row>
    <row r="6" spans="1:8">
      <c r="A6" s="3405"/>
      <c r="B6" s="3408"/>
      <c r="C6" s="3254" t="s">
        <v>3622</v>
      </c>
      <c r="D6" s="3254">
        <f>'面积总表2020-11-12'!Z54</f>
        <v>3804.9</v>
      </c>
      <c r="E6" s="3255">
        <f>E9</f>
        <v>0.65</v>
      </c>
      <c r="F6" s="3255">
        <v>1</v>
      </c>
      <c r="G6" s="3255">
        <f ca="1">ROUND(G8*E6*F6,2)</f>
        <v>0.34</v>
      </c>
      <c r="H6" s="3255">
        <f t="shared" ca="1" si="0"/>
        <v>1293.67</v>
      </c>
    </row>
    <row r="7" spans="1:8">
      <c r="A7" s="3405"/>
      <c r="B7" s="3245" t="s">
        <v>3623</v>
      </c>
      <c r="C7" s="3245"/>
      <c r="D7" s="3256">
        <f>SUM(D5:D6)</f>
        <v>4609.66</v>
      </c>
      <c r="E7" s="3252"/>
      <c r="F7" s="3252"/>
      <c r="G7" s="3252"/>
      <c r="H7" s="3253"/>
    </row>
    <row r="8" spans="1:8">
      <c r="A8" s="3405"/>
      <c r="B8" s="3409" t="s">
        <v>3350</v>
      </c>
      <c r="C8" s="3257" t="s">
        <v>3339</v>
      </c>
      <c r="D8" s="3257">
        <f>'面积总表2020-11-12'!X106</f>
        <v>1783.0199999999998</v>
      </c>
      <c r="E8" s="3258">
        <v>1</v>
      </c>
      <c r="F8" s="3258">
        <v>1</v>
      </c>
      <c r="G8" s="3258">
        <f ca="1">ROUND(收益法倒推租金!C31*E8*F8,2)</f>
        <v>0.52</v>
      </c>
      <c r="H8" s="3250">
        <f t="shared" ca="1" si="0"/>
        <v>927.17</v>
      </c>
    </row>
    <row r="9" spans="1:8">
      <c r="A9" s="3405"/>
      <c r="B9" s="3409"/>
      <c r="C9" s="3257" t="s">
        <v>3340</v>
      </c>
      <c r="D9" s="3257">
        <f>'面积总表2020-11-12'!Z83</f>
        <v>4868.75</v>
      </c>
      <c r="E9" s="3258">
        <v>0.65</v>
      </c>
      <c r="F9" s="3258">
        <v>1</v>
      </c>
      <c r="G9" s="3258">
        <f ca="1">ROUND(G8*E9*F9,2)</f>
        <v>0.34</v>
      </c>
      <c r="H9" s="3250">
        <f t="shared" ca="1" si="0"/>
        <v>1655.38</v>
      </c>
    </row>
    <row r="10" spans="1:8">
      <c r="A10" s="3405"/>
      <c r="B10" s="3409"/>
      <c r="C10" s="3257" t="s">
        <v>3341</v>
      </c>
      <c r="D10" s="3257">
        <f>'面积总表2020-11-12'!AB83</f>
        <v>4958.05</v>
      </c>
      <c r="E10" s="3258">
        <v>0.6</v>
      </c>
      <c r="F10" s="3258">
        <v>1</v>
      </c>
      <c r="G10" s="3258">
        <f ca="1">ROUND(G8*E10*F10,2)</f>
        <v>0.31</v>
      </c>
      <c r="H10" s="3250">
        <f t="shared" ca="1" si="0"/>
        <v>1537</v>
      </c>
    </row>
    <row r="11" spans="1:8">
      <c r="A11" s="3405"/>
      <c r="B11" s="3409"/>
      <c r="C11" s="3257" t="s">
        <v>3342</v>
      </c>
      <c r="D11" s="3257">
        <f>'面积总表2020-11-12'!AD83</f>
        <v>4599.9399999999996</v>
      </c>
      <c r="E11" s="3258">
        <v>0.5</v>
      </c>
      <c r="F11" s="3258">
        <v>1</v>
      </c>
      <c r="G11" s="3258">
        <f ca="1">ROUND(G8*E11*F11,2)</f>
        <v>0.26</v>
      </c>
      <c r="H11" s="3250">
        <f t="shared" ca="1" si="0"/>
        <v>1195.98</v>
      </c>
    </row>
    <row r="12" spans="1:8">
      <c r="A12" s="3405"/>
      <c r="B12" s="3409"/>
      <c r="C12" s="3257" t="s">
        <v>3343</v>
      </c>
      <c r="D12" s="3257">
        <f>'面积总表2020-11-12'!AF75</f>
        <v>1173.4299999999998</v>
      </c>
      <c r="E12" s="3258">
        <v>0.5</v>
      </c>
      <c r="F12" s="3258">
        <v>1</v>
      </c>
      <c r="G12" s="3258">
        <f ca="1">ROUND(G8*E12*F12,2)</f>
        <v>0.26</v>
      </c>
      <c r="H12" s="3250">
        <f t="shared" ca="1" si="0"/>
        <v>305.08999999999997</v>
      </c>
    </row>
    <row r="13" spans="1:8">
      <c r="A13" s="3405"/>
      <c r="B13" s="3245" t="s">
        <v>3346</v>
      </c>
      <c r="C13" s="3245"/>
      <c r="D13" s="3256">
        <f>SUM(D8:D12)</f>
        <v>17383.189999999999</v>
      </c>
      <c r="E13" s="3252"/>
      <c r="F13" s="3252"/>
      <c r="G13" s="3252"/>
      <c r="H13" s="3253"/>
    </row>
    <row r="14" spans="1:8">
      <c r="A14" s="3405"/>
      <c r="B14" s="3410" t="s">
        <v>3348</v>
      </c>
      <c r="C14" s="3259" t="s">
        <v>3517</v>
      </c>
      <c r="D14" s="3259">
        <f>'面积总表2020-11-12'!G147</f>
        <v>1175.9000000000001</v>
      </c>
      <c r="E14" s="3260">
        <f>E9</f>
        <v>0.65</v>
      </c>
      <c r="F14" s="3260">
        <v>1.5</v>
      </c>
      <c r="G14" s="3260">
        <f ca="1">ROUND(G8*E14*F14,2)</f>
        <v>0.51</v>
      </c>
      <c r="H14" s="3260">
        <f t="shared" ca="1" si="0"/>
        <v>599.71</v>
      </c>
    </row>
    <row r="15" spans="1:8">
      <c r="A15" s="3405"/>
      <c r="B15" s="3410"/>
      <c r="C15" s="3259" t="s">
        <v>3341</v>
      </c>
      <c r="D15" s="3259">
        <f>'面积总表2020-11-12'!G148</f>
        <v>2065.16</v>
      </c>
      <c r="E15" s="3260">
        <f>E10</f>
        <v>0.6</v>
      </c>
      <c r="F15" s="3260">
        <f>F14</f>
        <v>1.5</v>
      </c>
      <c r="G15" s="3260">
        <f ca="1">ROUND(G8*E15*F15,2)</f>
        <v>0.47</v>
      </c>
      <c r="H15" s="3260">
        <f t="shared" ca="1" si="0"/>
        <v>970.63</v>
      </c>
    </row>
    <row r="16" spans="1:8">
      <c r="A16" s="3405"/>
      <c r="B16" s="3410"/>
      <c r="C16" s="3259" t="s">
        <v>3342</v>
      </c>
      <c r="D16" s="3259">
        <f>'面积总表2020-11-12'!G149</f>
        <v>3363.01</v>
      </c>
      <c r="E16" s="3260">
        <f>E11</f>
        <v>0.5</v>
      </c>
      <c r="F16" s="3260">
        <f>F14</f>
        <v>1.5</v>
      </c>
      <c r="G16" s="3260">
        <f ca="1">ROUND(G8*E16*F16,2)</f>
        <v>0.39</v>
      </c>
      <c r="H16" s="3260">
        <f t="shared" ca="1" si="0"/>
        <v>1311.57</v>
      </c>
    </row>
    <row r="17" spans="1:8">
      <c r="A17" s="3405"/>
      <c r="B17" s="3245" t="s">
        <v>3346</v>
      </c>
      <c r="C17" s="3245"/>
      <c r="D17" s="3256">
        <f>SUM(D14:D16)</f>
        <v>6604.07</v>
      </c>
      <c r="E17" s="3252"/>
      <c r="F17" s="3252"/>
      <c r="G17" s="3252"/>
      <c r="H17" s="3253"/>
    </row>
    <row r="18" spans="1:8">
      <c r="A18" s="3405"/>
      <c r="B18" s="3411" t="s">
        <v>3349</v>
      </c>
      <c r="C18" s="3261" t="s">
        <v>3344</v>
      </c>
      <c r="D18" s="3261">
        <f>'面积总表2020-11-12'!Y143</f>
        <v>30415.800000000003</v>
      </c>
      <c r="E18" s="3262">
        <f>E3</f>
        <v>0.5</v>
      </c>
      <c r="F18" s="3262">
        <v>0.8</v>
      </c>
      <c r="G18" s="3262">
        <f ca="1">ROUND(G8*E18*F18,2)</f>
        <v>0.21</v>
      </c>
      <c r="H18" s="3262">
        <f t="shared" ca="1" si="0"/>
        <v>6387.32</v>
      </c>
    </row>
    <row r="19" spans="1:8">
      <c r="A19" s="3405"/>
      <c r="B19" s="3411"/>
      <c r="C19" s="3261" t="s">
        <v>3345</v>
      </c>
      <c r="D19" s="3261">
        <f>'面积总表2020-11-12'!AA143</f>
        <v>32180.58</v>
      </c>
      <c r="E19" s="3262">
        <v>0.4</v>
      </c>
      <c r="F19" s="3262">
        <v>0.8</v>
      </c>
      <c r="G19" s="3262">
        <f ca="1">ROUND(G8*E19*F19,2)</f>
        <v>0.17</v>
      </c>
      <c r="H19" s="3262">
        <f t="shared" ca="1" si="0"/>
        <v>5470.7</v>
      </c>
    </row>
    <row r="20" spans="1:8">
      <c r="A20" s="3405"/>
      <c r="B20" s="3245" t="s">
        <v>3346</v>
      </c>
      <c r="C20" s="3245"/>
      <c r="D20" s="3256">
        <f>SUM(D18:D19)</f>
        <v>62596.380000000005</v>
      </c>
      <c r="E20" s="3252"/>
      <c r="F20" s="3252"/>
      <c r="G20" s="3252"/>
      <c r="H20" s="3253"/>
    </row>
    <row r="21" spans="1:8">
      <c r="A21" s="3405"/>
      <c r="B21" s="3245" t="s">
        <v>3081</v>
      </c>
      <c r="C21" s="3245"/>
      <c r="D21" s="3263">
        <f>D4+D7+D13+D17+D20</f>
        <v>93547.06</v>
      </c>
      <c r="E21" s="3252"/>
      <c r="F21" s="3252"/>
      <c r="G21" s="3252"/>
      <c r="H21" s="3253"/>
    </row>
    <row r="22" spans="1:8">
      <c r="A22" s="3405" t="s">
        <v>3629</v>
      </c>
      <c r="B22" s="3406" t="s">
        <v>3625</v>
      </c>
      <c r="C22" s="3249" t="s">
        <v>3339</v>
      </c>
      <c r="D22" s="3249">
        <f>'面积总表2020-11-12'!G182</f>
        <v>1986.09</v>
      </c>
      <c r="E22" s="3250">
        <f>E28</f>
        <v>1</v>
      </c>
      <c r="F22" s="3250">
        <v>0.9</v>
      </c>
      <c r="G22" s="3250">
        <f ca="1">ROUND(G8*E22*F22,2)</f>
        <v>0.47</v>
      </c>
      <c r="H22" s="3250">
        <f t="shared" ca="1" si="0"/>
        <v>933.46</v>
      </c>
    </row>
    <row r="23" spans="1:8">
      <c r="A23" s="3405"/>
      <c r="B23" s="3406"/>
      <c r="C23" s="3249" t="s">
        <v>3344</v>
      </c>
      <c r="D23" s="3249">
        <v>0</v>
      </c>
      <c r="E23" s="3250">
        <v>0.5</v>
      </c>
      <c r="F23" s="3250">
        <v>0.85</v>
      </c>
      <c r="G23" s="3250">
        <v>0</v>
      </c>
      <c r="H23" s="3250">
        <f t="shared" si="0"/>
        <v>0</v>
      </c>
    </row>
    <row r="24" spans="1:8">
      <c r="A24" s="3405"/>
      <c r="B24" s="3245" t="s">
        <v>3346</v>
      </c>
      <c r="C24" s="3245"/>
      <c r="D24" s="3256">
        <f>SUM(D22:D23)</f>
        <v>1986.09</v>
      </c>
      <c r="E24" s="3252"/>
      <c r="F24" s="3252"/>
      <c r="G24" s="3252"/>
      <c r="H24" s="3253"/>
    </row>
    <row r="25" spans="1:8">
      <c r="A25" s="3405"/>
      <c r="B25" s="3407" t="s">
        <v>3624</v>
      </c>
      <c r="C25" s="3254" t="s">
        <v>3621</v>
      </c>
      <c r="D25" s="3254">
        <f>'面积总表2020-11-12'!G184</f>
        <v>87.69</v>
      </c>
      <c r="E25" s="3255">
        <f>E22</f>
        <v>1</v>
      </c>
      <c r="F25" s="3255">
        <v>0.95</v>
      </c>
      <c r="G25" s="3255">
        <f ca="1">ROUND(G8*E25*F25,2)</f>
        <v>0.49</v>
      </c>
      <c r="H25" s="3255">
        <f t="shared" ca="1" si="0"/>
        <v>42.97</v>
      </c>
    </row>
    <row r="26" spans="1:8">
      <c r="A26" s="3405"/>
      <c r="B26" s="3408"/>
      <c r="C26" s="3254" t="s">
        <v>3622</v>
      </c>
      <c r="D26" s="3254">
        <v>0</v>
      </c>
      <c r="E26" s="3255">
        <f>E29</f>
        <v>0.65</v>
      </c>
      <c r="F26" s="3255">
        <v>0.95</v>
      </c>
      <c r="G26" s="3255">
        <v>0</v>
      </c>
      <c r="H26" s="3255">
        <f t="shared" si="0"/>
        <v>0</v>
      </c>
    </row>
    <row r="27" spans="1:8">
      <c r="A27" s="3405"/>
      <c r="B27" s="3245" t="s">
        <v>3623</v>
      </c>
      <c r="C27" s="3245"/>
      <c r="D27" s="3256">
        <f>SUM(D25:D26)</f>
        <v>87.69</v>
      </c>
      <c r="E27" s="3252"/>
      <c r="F27" s="3252"/>
      <c r="G27" s="3252"/>
      <c r="H27" s="3253"/>
    </row>
    <row r="28" spans="1:8">
      <c r="A28" s="3405"/>
      <c r="B28" s="3409" t="s">
        <v>3350</v>
      </c>
      <c r="C28" s="3257" t="s">
        <v>3339</v>
      </c>
      <c r="D28" s="3257">
        <f>'面积总表2020-11-12'!X190</f>
        <v>190.24</v>
      </c>
      <c r="E28" s="3258">
        <v>1</v>
      </c>
      <c r="F28" s="3258">
        <v>0.95</v>
      </c>
      <c r="G28" s="3258">
        <f ca="1">ROUND(G8*E28*F28,2)</f>
        <v>0.49</v>
      </c>
      <c r="H28" s="3258">
        <f t="shared" ca="1" si="0"/>
        <v>93.22</v>
      </c>
    </row>
    <row r="29" spans="1:8">
      <c r="A29" s="3405"/>
      <c r="B29" s="3409"/>
      <c r="C29" s="3257" t="s">
        <v>3340</v>
      </c>
      <c r="D29" s="3257">
        <f>'面积总表2020-11-12'!Z186</f>
        <v>890.26</v>
      </c>
      <c r="E29" s="3258">
        <v>0.65</v>
      </c>
      <c r="F29" s="3258">
        <v>0.95</v>
      </c>
      <c r="G29" s="3258">
        <f ca="1">ROUND(G8*E29*F29,2)</f>
        <v>0.32</v>
      </c>
      <c r="H29" s="3258">
        <f t="shared" ca="1" si="0"/>
        <v>284.88</v>
      </c>
    </row>
    <row r="30" spans="1:8">
      <c r="A30" s="3405"/>
      <c r="B30" s="3409"/>
      <c r="C30" s="3257" t="s">
        <v>3341</v>
      </c>
      <c r="D30" s="3257">
        <f>'面积总表2020-11-12'!AB186</f>
        <v>910.45</v>
      </c>
      <c r="E30" s="3258">
        <v>0.6</v>
      </c>
      <c r="F30" s="3258">
        <v>0.95</v>
      </c>
      <c r="G30" s="3258">
        <f ca="1">ROUND(G8*E30*F30,2)</f>
        <v>0.3</v>
      </c>
      <c r="H30" s="3258">
        <f t="shared" ca="1" si="0"/>
        <v>273.14</v>
      </c>
    </row>
    <row r="31" spans="1:8">
      <c r="A31" s="3405"/>
      <c r="B31" s="3409"/>
      <c r="C31" s="3257" t="s">
        <v>3342</v>
      </c>
      <c r="D31" s="3257">
        <f>'面积总表2020-11-12'!AD186</f>
        <v>843.16</v>
      </c>
      <c r="E31" s="3258">
        <v>0.5</v>
      </c>
      <c r="F31" s="3258">
        <v>0.95</v>
      </c>
      <c r="G31" s="3258">
        <f ca="1">ROUND(G8*E31*F31,2)</f>
        <v>0.25</v>
      </c>
      <c r="H31" s="3258">
        <f t="shared" ca="1" si="0"/>
        <v>210.79</v>
      </c>
    </row>
    <row r="32" spans="1:8">
      <c r="A32" s="3405"/>
      <c r="B32" s="3409"/>
      <c r="C32" s="3257" t="s">
        <v>3343</v>
      </c>
      <c r="D32" s="3257">
        <f>'面积总表2020-11-12'!AF186</f>
        <v>825.09</v>
      </c>
      <c r="E32" s="3258">
        <v>0.5</v>
      </c>
      <c r="F32" s="3258">
        <v>0.95</v>
      </c>
      <c r="G32" s="3258">
        <f ca="1">ROUND(G8*E32*F32,2)</f>
        <v>0.25</v>
      </c>
      <c r="H32" s="3258">
        <f t="shared" ca="1" si="0"/>
        <v>206.27</v>
      </c>
    </row>
    <row r="33" spans="1:9">
      <c r="A33" s="3405"/>
      <c r="B33" s="3245" t="s">
        <v>3346</v>
      </c>
      <c r="C33" s="3245"/>
      <c r="D33" s="3256">
        <f>SUM(D28:D32)</f>
        <v>3659.2000000000003</v>
      </c>
      <c r="E33" s="3252"/>
      <c r="F33" s="3252"/>
      <c r="G33" s="3252"/>
      <c r="H33" s="3252"/>
    </row>
    <row r="34" spans="1:9">
      <c r="A34" s="3405"/>
      <c r="B34" s="3245" t="s">
        <v>3081</v>
      </c>
      <c r="C34" s="3245"/>
      <c r="D34" s="3263">
        <f>D24+D27+D33</f>
        <v>5732.98</v>
      </c>
      <c r="E34" s="3252"/>
      <c r="F34" s="3252"/>
      <c r="G34" s="3252"/>
    </row>
    <row r="35" spans="1:9">
      <c r="A35" s="3245"/>
      <c r="B35" s="3245" t="s">
        <v>3615</v>
      </c>
      <c r="C35" s="3245"/>
      <c r="D35" s="3263">
        <f>D21+D34</f>
        <v>99280.04</v>
      </c>
      <c r="E35" s="3245"/>
      <c r="F35" s="3245"/>
      <c r="G35" s="3245"/>
      <c r="H35" s="3264">
        <f ca="1">SUM(H2:H34,2)</f>
        <v>24925.510000000006</v>
      </c>
      <c r="I35" s="3251">
        <f ca="1">ROUND(H35/D35,2)</f>
        <v>0.25</v>
      </c>
    </row>
    <row r="36" spans="1:9">
      <c r="A36" s="3244"/>
      <c r="B36" s="3244"/>
      <c r="C36" s="3244"/>
      <c r="D36" s="3265"/>
      <c r="E36" s="3244"/>
      <c r="F36" s="3244"/>
      <c r="G36" s="3244"/>
      <c r="H36" s="3244"/>
    </row>
    <row r="40" spans="1:9">
      <c r="G40" s="3267"/>
    </row>
    <row r="41" spans="1:9">
      <c r="G41" s="3267"/>
    </row>
    <row r="42" spans="1:9">
      <c r="G42" s="3268"/>
    </row>
    <row r="43" spans="1:9">
      <c r="G43" s="3268"/>
    </row>
  </sheetData>
  <mergeCells count="10">
    <mergeCell ref="A22:A34"/>
    <mergeCell ref="B22:B23"/>
    <mergeCell ref="B25:B26"/>
    <mergeCell ref="B28:B32"/>
    <mergeCell ref="A2:A21"/>
    <mergeCell ref="B2:B3"/>
    <mergeCell ref="B5:B6"/>
    <mergeCell ref="B8:B12"/>
    <mergeCell ref="B14:B16"/>
    <mergeCell ref="B18:B19"/>
  </mergeCells>
  <phoneticPr fontId="28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I70"/>
  <sheetViews>
    <sheetView topLeftCell="C1" workbookViewId="0">
      <selection activeCell="L17" sqref="L17:M32"/>
    </sheetView>
  </sheetViews>
  <sheetFormatPr defaultColWidth="8.875" defaultRowHeight="13.5"/>
  <cols>
    <col min="1" max="1" width="8.875" style="2954"/>
    <col min="2" max="2" width="13.375" style="2954" customWidth="1"/>
    <col min="3" max="3" width="11.125" style="2954" customWidth="1"/>
    <col min="4" max="4" width="10" style="2954" customWidth="1"/>
    <col min="5" max="5" width="12.125" style="2954" customWidth="1"/>
    <col min="6" max="6" width="19.625" style="2954" customWidth="1"/>
    <col min="7" max="7" width="11" style="2954" customWidth="1"/>
    <col min="8" max="8" width="16.125" style="2954" customWidth="1"/>
    <col min="9" max="9" width="11.5" style="2954" customWidth="1"/>
    <col min="10" max="12" width="8.875" style="2954"/>
    <col min="13" max="13" width="21.625" style="2954" customWidth="1"/>
    <col min="14" max="16384" width="8.875" style="2954"/>
  </cols>
  <sheetData>
    <row r="2" spans="2:8">
      <c r="B2" s="3053" t="s">
        <v>3338</v>
      </c>
      <c r="C2" s="3053" t="s">
        <v>3059</v>
      </c>
      <c r="D2" s="3055" t="s">
        <v>3083</v>
      </c>
      <c r="E2" s="3060" t="s">
        <v>3353</v>
      </c>
      <c r="F2" s="3071" t="s">
        <v>3518</v>
      </c>
      <c r="G2" s="3146" t="s">
        <v>3550</v>
      </c>
      <c r="H2" s="3071" t="s">
        <v>3425</v>
      </c>
    </row>
    <row r="3" spans="2:8">
      <c r="B3" s="3384" t="s">
        <v>3350</v>
      </c>
      <c r="C3" s="3060" t="s">
        <v>3339</v>
      </c>
      <c r="D3" s="3055">
        <f>'商业面积汇总表2020-7-13'!M4</f>
        <v>2865.71</v>
      </c>
      <c r="E3" s="3047">
        <v>1</v>
      </c>
      <c r="F3" s="3071">
        <f ca="1">收益法倒推租金!C31*G3</f>
        <v>0.52</v>
      </c>
      <c r="G3" s="3146">
        <v>1</v>
      </c>
      <c r="H3" s="3071">
        <f ca="1">D3*F3</f>
        <v>1490.1692</v>
      </c>
    </row>
    <row r="4" spans="2:8">
      <c r="B4" s="3384"/>
      <c r="C4" s="3060" t="s">
        <v>3340</v>
      </c>
      <c r="D4" s="3055">
        <f>'商业面积汇总表2020-7-13'!M5</f>
        <v>9563.91</v>
      </c>
      <c r="E4" s="3047">
        <v>0.65</v>
      </c>
      <c r="F4" s="3071">
        <f ca="1">F3*E4*G4</f>
        <v>0.33800000000000002</v>
      </c>
      <c r="G4" s="3146">
        <v>1</v>
      </c>
      <c r="H4" s="3071">
        <f ca="1">D4*F4</f>
        <v>3232.60158</v>
      </c>
    </row>
    <row r="5" spans="2:8">
      <c r="B5" s="3384"/>
      <c r="C5" s="3060" t="s">
        <v>3341</v>
      </c>
      <c r="D5" s="3055">
        <f>'商业面积汇总表2020-7-13'!M6</f>
        <v>5868.5</v>
      </c>
      <c r="E5" s="3047">
        <v>0.6</v>
      </c>
      <c r="F5" s="3071">
        <f ca="1">F3*E5*G5</f>
        <v>0.312</v>
      </c>
      <c r="G5" s="3146">
        <v>1</v>
      </c>
      <c r="H5" s="3071">
        <f ca="1">D5*F5</f>
        <v>1830.972</v>
      </c>
    </row>
    <row r="6" spans="2:8">
      <c r="B6" s="3384"/>
      <c r="C6" s="3060" t="s">
        <v>3342</v>
      </c>
      <c r="D6" s="3055">
        <f>'商业面积汇总表2020-7-13'!M7</f>
        <v>5443.0999999999995</v>
      </c>
      <c r="E6" s="3047">
        <v>0.5</v>
      </c>
      <c r="F6" s="3071">
        <f ca="1">F3*E6*G6</f>
        <v>0.26</v>
      </c>
      <c r="G6" s="3146">
        <v>1</v>
      </c>
      <c r="H6" s="3071">
        <f ca="1">D6*F6</f>
        <v>1415.2059999999999</v>
      </c>
    </row>
    <row r="7" spans="2:8">
      <c r="B7" s="3384"/>
      <c r="C7" s="3060" t="s">
        <v>3343</v>
      </c>
      <c r="D7" s="3055">
        <f>'商业面积汇总表2020-7-13'!M8</f>
        <v>1998.52</v>
      </c>
      <c r="E7" s="3047">
        <v>0.5</v>
      </c>
      <c r="F7" s="3071">
        <f ca="1">F3*E7*G7</f>
        <v>0.26</v>
      </c>
      <c r="G7" s="3146">
        <v>1</v>
      </c>
      <c r="H7" s="3071">
        <f ca="1">D7*F7</f>
        <v>519.61519999999996</v>
      </c>
    </row>
    <row r="8" spans="2:8">
      <c r="B8" s="3053" t="s">
        <v>3346</v>
      </c>
      <c r="C8" s="3053"/>
      <c r="D8" s="3055">
        <f>SUM(D3:D7)</f>
        <v>25739.739999999998</v>
      </c>
      <c r="E8" s="3047"/>
      <c r="F8" s="3071"/>
      <c r="G8" s="3146"/>
      <c r="H8" s="3071"/>
    </row>
    <row r="9" spans="2:8">
      <c r="B9" s="3384" t="s">
        <v>3625</v>
      </c>
      <c r="C9" s="3060" t="s">
        <v>3339</v>
      </c>
      <c r="D9" s="3055">
        <f>'商业面积汇总表2020-7-13'!M10</f>
        <v>3147.81</v>
      </c>
      <c r="E9" s="3047">
        <f>E3</f>
        <v>1</v>
      </c>
      <c r="F9" s="3071">
        <f ca="1">F3*G9</f>
        <v>0.49399999999999999</v>
      </c>
      <c r="G9" s="3146">
        <v>0.95</v>
      </c>
      <c r="H9" s="3071">
        <f ca="1">D9*F9</f>
        <v>1555.0181399999999</v>
      </c>
    </row>
    <row r="10" spans="2:8">
      <c r="B10" s="3384"/>
      <c r="C10" s="3060" t="s">
        <v>3344</v>
      </c>
      <c r="D10" s="3055">
        <f>'商业面积汇总表2020-7-13'!M11</f>
        <v>1192.04</v>
      </c>
      <c r="E10" s="3047">
        <v>0.5</v>
      </c>
      <c r="F10" s="3071">
        <f ca="1">F9*E10*G10</f>
        <v>0.2223</v>
      </c>
      <c r="G10" s="3146">
        <v>0.9</v>
      </c>
      <c r="H10" s="3071">
        <f ca="1">D10*F10</f>
        <v>264.99049200000002</v>
      </c>
    </row>
    <row r="11" spans="2:8">
      <c r="B11" s="3053" t="s">
        <v>3346</v>
      </c>
      <c r="C11" s="3053"/>
      <c r="D11" s="3055">
        <f>D9+D10</f>
        <v>4339.8500000000004</v>
      </c>
      <c r="E11" s="3047"/>
      <c r="F11" s="3071"/>
      <c r="G11" s="3146"/>
      <c r="H11" s="3071"/>
    </row>
    <row r="12" spans="2:8">
      <c r="B12" s="3384" t="s">
        <v>3348</v>
      </c>
      <c r="C12" s="3060" t="s">
        <v>3517</v>
      </c>
      <c r="D12" s="3055">
        <f>'商业面积汇总表2020-7-13'!M13</f>
        <v>1175.9000000000001</v>
      </c>
      <c r="E12" s="3047">
        <f>E4</f>
        <v>0.65</v>
      </c>
      <c r="F12" s="3071">
        <f ca="1">F9*G12</f>
        <v>0.74099999999999999</v>
      </c>
      <c r="G12" s="3146">
        <v>1.5</v>
      </c>
      <c r="H12" s="3071">
        <f ca="1">D12*F12</f>
        <v>871.34190000000001</v>
      </c>
    </row>
    <row r="13" spans="2:8">
      <c r="B13" s="3384"/>
      <c r="C13" s="3060" t="s">
        <v>3341</v>
      </c>
      <c r="D13" s="3055">
        <f>'商业面积汇总表2020-7-13'!M14</f>
        <v>2065.16</v>
      </c>
      <c r="E13" s="3047">
        <f>E5</f>
        <v>0.6</v>
      </c>
      <c r="F13" s="3071">
        <f ca="1">F12*E13*G13</f>
        <v>0.66690000000000005</v>
      </c>
      <c r="G13" s="3146">
        <f>G12</f>
        <v>1.5</v>
      </c>
      <c r="H13" s="3071">
        <f ca="1">D13*F13</f>
        <v>1377.255204</v>
      </c>
    </row>
    <row r="14" spans="2:8">
      <c r="B14" s="3384"/>
      <c r="C14" s="3060" t="s">
        <v>3342</v>
      </c>
      <c r="D14" s="3055">
        <f>'商业面积汇总表2020-7-13'!M15</f>
        <v>3363.01</v>
      </c>
      <c r="E14" s="3047">
        <f>E6</f>
        <v>0.5</v>
      </c>
      <c r="F14" s="3071">
        <f ca="1">F12*E14*G14</f>
        <v>0.55574999999999997</v>
      </c>
      <c r="G14" s="3146">
        <f>G12</f>
        <v>1.5</v>
      </c>
      <c r="H14" s="3071">
        <f ca="1">D14*F14</f>
        <v>1868.9928075</v>
      </c>
    </row>
    <row r="15" spans="2:8">
      <c r="B15" s="3053" t="s">
        <v>3346</v>
      </c>
      <c r="C15" s="3053"/>
      <c r="D15" s="3055">
        <f>SUM(D12:D14)</f>
        <v>6604.07</v>
      </c>
      <c r="E15" s="3047"/>
      <c r="F15" s="3071"/>
      <c r="G15" s="3146"/>
      <c r="H15" s="3071"/>
    </row>
    <row r="16" spans="2:8">
      <c r="B16" s="3384" t="s">
        <v>3349</v>
      </c>
      <c r="C16" s="3060" t="s">
        <v>3344</v>
      </c>
      <c r="D16" s="3055">
        <f>'商业面积汇总表2020-7-13'!M17</f>
        <v>28970.46</v>
      </c>
      <c r="E16" s="3047">
        <f>E10</f>
        <v>0.5</v>
      </c>
      <c r="F16" s="3071">
        <f ca="1">F3*E16*G16</f>
        <v>0.20800000000000002</v>
      </c>
      <c r="G16" s="3146">
        <v>0.8</v>
      </c>
      <c r="H16" s="3071">
        <f ca="1">D16*F16</f>
        <v>6025.8556800000006</v>
      </c>
    </row>
    <row r="17" spans="2:9">
      <c r="B17" s="3384"/>
      <c r="C17" s="3060" t="s">
        <v>3345</v>
      </c>
      <c r="D17" s="3055">
        <f>'商业面积汇总表2020-7-13'!M18</f>
        <v>30651.379999999997</v>
      </c>
      <c r="E17" s="3047">
        <v>0.4</v>
      </c>
      <c r="F17" s="3071">
        <f ca="1">F3*E17*G17</f>
        <v>0.16640000000000002</v>
      </c>
      <c r="G17" s="3146">
        <v>0.8</v>
      </c>
      <c r="H17" s="3071">
        <f ca="1">D17*F17</f>
        <v>5100.3896320000003</v>
      </c>
    </row>
    <row r="18" spans="2:9">
      <c r="B18" s="3053" t="s">
        <v>3346</v>
      </c>
      <c r="C18" s="3053"/>
      <c r="D18" s="3055">
        <f>D16+D17</f>
        <v>59621.84</v>
      </c>
      <c r="E18" s="3047"/>
      <c r="F18" s="3071"/>
      <c r="G18" s="3146"/>
      <c r="H18" s="3071"/>
    </row>
    <row r="19" spans="2:9">
      <c r="B19" s="3399" t="s">
        <v>3624</v>
      </c>
      <c r="C19" s="3214" t="s">
        <v>3621</v>
      </c>
      <c r="D19" s="3055"/>
      <c r="E19" s="3213"/>
      <c r="F19" s="3213"/>
      <c r="G19" s="3213"/>
      <c r="H19" s="3213"/>
    </row>
    <row r="20" spans="2:9">
      <c r="B20" s="3401"/>
      <c r="C20" s="3214" t="s">
        <v>3622</v>
      </c>
      <c r="D20" s="3055"/>
      <c r="E20" s="3213"/>
      <c r="F20" s="3213"/>
      <c r="G20" s="3213"/>
      <c r="H20" s="3213"/>
    </row>
    <row r="21" spans="2:9">
      <c r="B21" s="3214" t="s">
        <v>3623</v>
      </c>
      <c r="C21" s="3214"/>
      <c r="D21" s="3055"/>
      <c r="E21" s="3213"/>
      <c r="F21" s="3213"/>
      <c r="G21" s="3213"/>
      <c r="H21" s="3213"/>
    </row>
    <row r="22" spans="2:9">
      <c r="B22" s="3053" t="s">
        <v>3081</v>
      </c>
      <c r="C22" s="3053"/>
      <c r="D22" s="3055">
        <f>SUM(D3:D18)/2</f>
        <v>96305.499999999985</v>
      </c>
      <c r="E22" s="3047"/>
      <c r="F22" s="3071"/>
      <c r="G22" s="3146"/>
      <c r="H22" s="3071">
        <f ca="1">SUM(H3:H18)</f>
        <v>25552.407835500002</v>
      </c>
      <c r="I22" s="3039">
        <f ca="1">ROUND(H22/D22,2)</f>
        <v>0.27</v>
      </c>
    </row>
    <row r="37" spans="1:8">
      <c r="A37" s="3018" t="s">
        <v>3630</v>
      </c>
      <c r="B37" s="3214" t="s">
        <v>3627</v>
      </c>
      <c r="C37" s="3214" t="s">
        <v>3059</v>
      </c>
      <c r="D37" s="3055" t="s">
        <v>3083</v>
      </c>
      <c r="E37" s="3060" t="s">
        <v>3353</v>
      </c>
      <c r="F37" s="3213" t="s">
        <v>3518</v>
      </c>
      <c r="G37" s="3213" t="s">
        <v>3550</v>
      </c>
      <c r="H37" s="3213" t="s">
        <v>3425</v>
      </c>
    </row>
    <row r="38" spans="1:8">
      <c r="A38" s="3412" t="s">
        <v>3628</v>
      </c>
      <c r="B38" s="3384" t="s">
        <v>3625</v>
      </c>
      <c r="C38" s="3060" t="s">
        <v>3339</v>
      </c>
      <c r="D38" s="3055">
        <f>'商业面积汇总表2020-7-13'!M45</f>
        <v>0</v>
      </c>
      <c r="E38" s="3213">
        <f>E44</f>
        <v>1</v>
      </c>
      <c r="F38" s="3213">
        <f>F44*G38</f>
        <v>0</v>
      </c>
      <c r="G38" s="3213">
        <v>0.95</v>
      </c>
      <c r="H38" s="3213">
        <f t="shared" ref="H38:H39" si="0">D38*F38</f>
        <v>0</v>
      </c>
    </row>
    <row r="39" spans="1:8">
      <c r="A39" s="3412"/>
      <c r="B39" s="3384"/>
      <c r="C39" s="3060" t="s">
        <v>3344</v>
      </c>
      <c r="D39" s="3055">
        <f>'商业面积汇总表2020-7-13'!M46</f>
        <v>0</v>
      </c>
      <c r="E39" s="3213">
        <v>0.5</v>
      </c>
      <c r="F39" s="3213">
        <f>F38*E39*G39</f>
        <v>0</v>
      </c>
      <c r="G39" s="3213">
        <v>0.9</v>
      </c>
      <c r="H39" s="3213">
        <f t="shared" si="0"/>
        <v>0</v>
      </c>
    </row>
    <row r="40" spans="1:8">
      <c r="A40" s="3412"/>
      <c r="B40" s="3214" t="s">
        <v>3346</v>
      </c>
      <c r="C40" s="3214"/>
      <c r="D40" s="3055">
        <f>D38+D39</f>
        <v>0</v>
      </c>
      <c r="E40" s="3213"/>
      <c r="F40" s="3213"/>
      <c r="G40" s="3213"/>
      <c r="H40" s="3213"/>
    </row>
    <row r="41" spans="1:8">
      <c r="A41" s="3412"/>
      <c r="B41" s="3399" t="s">
        <v>3624</v>
      </c>
      <c r="C41" s="3214" t="s">
        <v>3621</v>
      </c>
      <c r="D41" s="3055"/>
      <c r="E41" s="3213">
        <f>E38</f>
        <v>1</v>
      </c>
      <c r="F41" s="3213"/>
      <c r="G41" s="3213"/>
      <c r="H41" s="3213"/>
    </row>
    <row r="42" spans="1:8">
      <c r="A42" s="3412"/>
      <c r="B42" s="3401"/>
      <c r="C42" s="3214" t="s">
        <v>3622</v>
      </c>
      <c r="D42" s="3055"/>
      <c r="E42" s="3213">
        <f>E45</f>
        <v>0.65</v>
      </c>
      <c r="F42" s="3213"/>
      <c r="G42" s="3213"/>
      <c r="H42" s="3213"/>
    </row>
    <row r="43" spans="1:8">
      <c r="A43" s="3412"/>
      <c r="B43" s="3214" t="s">
        <v>3623</v>
      </c>
      <c r="C43" s="3214"/>
      <c r="D43" s="3055"/>
      <c r="E43" s="3213"/>
      <c r="F43" s="3213"/>
      <c r="G43" s="3213"/>
      <c r="H43" s="3213"/>
    </row>
    <row r="44" spans="1:8">
      <c r="A44" s="3412"/>
      <c r="B44" s="3384" t="s">
        <v>3350</v>
      </c>
      <c r="C44" s="3060" t="s">
        <v>3339</v>
      </c>
      <c r="D44" s="3055">
        <f>'商业面积汇总表2020-7-13'!M39</f>
        <v>0</v>
      </c>
      <c r="E44" s="3213">
        <v>1</v>
      </c>
      <c r="F44" s="3213">
        <f>收益法倒推租金!C63*G44</f>
        <v>0</v>
      </c>
      <c r="G44" s="3213">
        <v>1</v>
      </c>
      <c r="H44" s="3213">
        <f>D44*F44</f>
        <v>0</v>
      </c>
    </row>
    <row r="45" spans="1:8">
      <c r="A45" s="3412"/>
      <c r="B45" s="3384"/>
      <c r="C45" s="3060" t="s">
        <v>3340</v>
      </c>
      <c r="D45" s="3055">
        <f>'商业面积汇总表2020-7-13'!M40</f>
        <v>0</v>
      </c>
      <c r="E45" s="3213">
        <v>0.65</v>
      </c>
      <c r="F45" s="3213">
        <f>F44*E45*G45</f>
        <v>0</v>
      </c>
      <c r="G45" s="3213">
        <v>1</v>
      </c>
      <c r="H45" s="3213">
        <f>D45*F45</f>
        <v>0</v>
      </c>
    </row>
    <row r="46" spans="1:8">
      <c r="A46" s="3412"/>
      <c r="B46" s="3384"/>
      <c r="C46" s="3060" t="s">
        <v>3341</v>
      </c>
      <c r="D46" s="3055">
        <f>'商业面积汇总表2020-7-13'!M41</f>
        <v>0</v>
      </c>
      <c r="E46" s="3213">
        <v>0.6</v>
      </c>
      <c r="F46" s="3213">
        <f>F44*E46*G46</f>
        <v>0</v>
      </c>
      <c r="G46" s="3213">
        <v>1</v>
      </c>
      <c r="H46" s="3213">
        <f t="shared" ref="H46:H48" si="1">D46*F46</f>
        <v>0</v>
      </c>
    </row>
    <row r="47" spans="1:8">
      <c r="A47" s="3412"/>
      <c r="B47" s="3384"/>
      <c r="C47" s="3060" t="s">
        <v>3342</v>
      </c>
      <c r="D47" s="3055">
        <f>'商业面积汇总表2020-7-13'!M42</f>
        <v>0</v>
      </c>
      <c r="E47" s="3213">
        <v>0.5</v>
      </c>
      <c r="F47" s="3213">
        <f>F44*E47*G47</f>
        <v>0</v>
      </c>
      <c r="G47" s="3213">
        <v>1</v>
      </c>
      <c r="H47" s="3213">
        <f t="shared" si="1"/>
        <v>0</v>
      </c>
    </row>
    <row r="48" spans="1:8">
      <c r="A48" s="3412"/>
      <c r="B48" s="3384"/>
      <c r="C48" s="3060" t="s">
        <v>3343</v>
      </c>
      <c r="D48" s="3055">
        <f>'商业面积汇总表2020-7-13'!M43</f>
        <v>0</v>
      </c>
      <c r="E48" s="3213">
        <v>0.5</v>
      </c>
      <c r="F48" s="3213">
        <f>F44*E48*G48</f>
        <v>0</v>
      </c>
      <c r="G48" s="3213">
        <v>1</v>
      </c>
      <c r="H48" s="3213">
        <f t="shared" si="1"/>
        <v>0</v>
      </c>
    </row>
    <row r="49" spans="1:8">
      <c r="A49" s="3412"/>
      <c r="B49" s="3214" t="s">
        <v>3346</v>
      </c>
      <c r="C49" s="3214"/>
      <c r="D49" s="3055">
        <f>SUM(D44:D48)</f>
        <v>0</v>
      </c>
      <c r="E49" s="3213"/>
      <c r="F49" s="3213"/>
      <c r="G49" s="3213"/>
      <c r="H49" s="3213"/>
    </row>
    <row r="50" spans="1:8">
      <c r="A50" s="3412"/>
      <c r="B50" s="3384" t="s">
        <v>3348</v>
      </c>
      <c r="C50" s="3060" t="s">
        <v>3517</v>
      </c>
      <c r="D50" s="3055">
        <f>'商业面积汇总表2020-7-13'!M48</f>
        <v>0</v>
      </c>
      <c r="E50" s="3213">
        <f>E45</f>
        <v>0.65</v>
      </c>
      <c r="F50" s="3213">
        <f>F38*G50</f>
        <v>0</v>
      </c>
      <c r="G50" s="3213">
        <v>1.5</v>
      </c>
      <c r="H50" s="3213">
        <f t="shared" ref="H50:H52" si="2">D50*F50</f>
        <v>0</v>
      </c>
    </row>
    <row r="51" spans="1:8">
      <c r="A51" s="3412"/>
      <c r="B51" s="3384"/>
      <c r="C51" s="3060" t="s">
        <v>3341</v>
      </c>
      <c r="D51" s="3055">
        <f>'商业面积汇总表2020-7-13'!M49</f>
        <v>0</v>
      </c>
      <c r="E51" s="3213">
        <f>E46</f>
        <v>0.6</v>
      </c>
      <c r="F51" s="3213">
        <f>F50*E51*G51</f>
        <v>0</v>
      </c>
      <c r="G51" s="3213">
        <f>G50</f>
        <v>1.5</v>
      </c>
      <c r="H51" s="3213">
        <f t="shared" si="2"/>
        <v>0</v>
      </c>
    </row>
    <row r="52" spans="1:8">
      <c r="A52" s="3412"/>
      <c r="B52" s="3384"/>
      <c r="C52" s="3060" t="s">
        <v>3342</v>
      </c>
      <c r="D52" s="3055">
        <f>'商业面积汇总表2020-7-13'!M50</f>
        <v>0</v>
      </c>
      <c r="E52" s="3213">
        <f>E47</f>
        <v>0.5</v>
      </c>
      <c r="F52" s="3213">
        <f>F50*E52*G52</f>
        <v>0</v>
      </c>
      <c r="G52" s="3213">
        <f>G50</f>
        <v>1.5</v>
      </c>
      <c r="H52" s="3213">
        <f t="shared" si="2"/>
        <v>0</v>
      </c>
    </row>
    <row r="53" spans="1:8">
      <c r="A53" s="3412"/>
      <c r="B53" s="3214" t="s">
        <v>3346</v>
      </c>
      <c r="C53" s="3214"/>
      <c r="D53" s="3055">
        <f>SUM(D50:D52)</f>
        <v>0</v>
      </c>
      <c r="E53" s="3213"/>
      <c r="F53" s="3213"/>
      <c r="G53" s="3213"/>
      <c r="H53" s="3213"/>
    </row>
    <row r="54" spans="1:8">
      <c r="A54" s="3412"/>
      <c r="B54" s="3384" t="s">
        <v>3349</v>
      </c>
      <c r="C54" s="3060" t="s">
        <v>3344</v>
      </c>
      <c r="D54" s="3055">
        <f>'商业面积汇总表2020-7-13'!M52</f>
        <v>0</v>
      </c>
      <c r="E54" s="3213">
        <f>E39</f>
        <v>0.5</v>
      </c>
      <c r="F54" s="3213">
        <f>F44*E54*G54</f>
        <v>0</v>
      </c>
      <c r="G54" s="3213">
        <v>0.8</v>
      </c>
      <c r="H54" s="3213">
        <f>D54*F54</f>
        <v>0</v>
      </c>
    </row>
    <row r="55" spans="1:8">
      <c r="A55" s="3412"/>
      <c r="B55" s="3384"/>
      <c r="C55" s="3060" t="s">
        <v>3345</v>
      </c>
      <c r="D55" s="3055">
        <f>'商业面积汇总表2020-7-13'!M53</f>
        <v>0</v>
      </c>
      <c r="E55" s="3213">
        <v>0.4</v>
      </c>
      <c r="F55" s="3213">
        <f>F44*E55*G55</f>
        <v>0</v>
      </c>
      <c r="G55" s="3213">
        <v>0.8</v>
      </c>
      <c r="H55" s="3213">
        <f t="shared" ref="H55" si="3">D55*F55</f>
        <v>0</v>
      </c>
    </row>
    <row r="56" spans="1:8">
      <c r="A56" s="3412"/>
      <c r="B56" s="3214" t="s">
        <v>3346</v>
      </c>
      <c r="C56" s="3214"/>
      <c r="D56" s="3055">
        <f>D54+D55</f>
        <v>0</v>
      </c>
      <c r="E56" s="3213"/>
      <c r="F56" s="3213"/>
      <c r="G56" s="3213"/>
      <c r="H56" s="3213"/>
    </row>
    <row r="57" spans="1:8">
      <c r="A57" s="3412"/>
      <c r="B57" s="3214" t="s">
        <v>3081</v>
      </c>
      <c r="C57" s="3214"/>
      <c r="D57" s="3055">
        <f>SUM(D38:D56)/2</f>
        <v>0</v>
      </c>
      <c r="E57" s="3213"/>
      <c r="F57" s="3213"/>
      <c r="G57" s="3213"/>
      <c r="H57" s="3213">
        <f>SUM(H38:H56)</f>
        <v>0</v>
      </c>
    </row>
    <row r="58" spans="1:8">
      <c r="A58" s="3412" t="s">
        <v>3629</v>
      </c>
      <c r="B58" s="3384" t="s">
        <v>3625</v>
      </c>
      <c r="C58" s="3060" t="s">
        <v>3339</v>
      </c>
      <c r="D58" s="3055">
        <f>'商业面积汇总表2020-7-13'!M65</f>
        <v>0</v>
      </c>
      <c r="E58" s="3213">
        <f>E64</f>
        <v>1</v>
      </c>
      <c r="F58" s="3213">
        <f>F64*G58</f>
        <v>0</v>
      </c>
      <c r="G58" s="3213">
        <v>0.95</v>
      </c>
      <c r="H58" s="3213">
        <f t="shared" ref="H58:H59" si="4">D58*F58</f>
        <v>0</v>
      </c>
    </row>
    <row r="59" spans="1:8">
      <c r="A59" s="3412"/>
      <c r="B59" s="3384"/>
      <c r="C59" s="3060" t="s">
        <v>3344</v>
      </c>
      <c r="D59" s="3055">
        <f>'商业面积汇总表2020-7-13'!M66</f>
        <v>0</v>
      </c>
      <c r="E59" s="3213">
        <v>0.5</v>
      </c>
      <c r="F59" s="3213">
        <f>F58*E59*G59</f>
        <v>0</v>
      </c>
      <c r="G59" s="3213">
        <v>0.9</v>
      </c>
      <c r="H59" s="3213">
        <f t="shared" si="4"/>
        <v>0</v>
      </c>
    </row>
    <row r="60" spans="1:8">
      <c r="A60" s="3412"/>
      <c r="B60" s="3214" t="s">
        <v>3346</v>
      </c>
      <c r="C60" s="3214"/>
      <c r="D60" s="3055">
        <f>D58+D59</f>
        <v>0</v>
      </c>
      <c r="E60" s="3213"/>
      <c r="F60" s="3213"/>
      <c r="G60" s="3213"/>
      <c r="H60" s="3213"/>
    </row>
    <row r="61" spans="1:8">
      <c r="A61" s="3412"/>
      <c r="B61" s="3399" t="s">
        <v>3624</v>
      </c>
      <c r="C61" s="3214" t="s">
        <v>3621</v>
      </c>
      <c r="D61" s="3055"/>
      <c r="E61" s="3213">
        <f>E58</f>
        <v>1</v>
      </c>
      <c r="F61" s="3213"/>
      <c r="G61" s="3213"/>
      <c r="H61" s="3213"/>
    </row>
    <row r="62" spans="1:8">
      <c r="A62" s="3412"/>
      <c r="B62" s="3401"/>
      <c r="C62" s="3214" t="s">
        <v>3622</v>
      </c>
      <c r="D62" s="3055"/>
      <c r="E62" s="3213">
        <f>E65</f>
        <v>0.65</v>
      </c>
      <c r="F62" s="3213"/>
      <c r="G62" s="3213"/>
      <c r="H62" s="3213"/>
    </row>
    <row r="63" spans="1:8">
      <c r="A63" s="3412"/>
      <c r="B63" s="3214" t="s">
        <v>3623</v>
      </c>
      <c r="C63" s="3214"/>
      <c r="D63" s="3055"/>
      <c r="E63" s="3213"/>
      <c r="F63" s="3213"/>
      <c r="G63" s="3213"/>
      <c r="H63" s="3213"/>
    </row>
    <row r="64" spans="1:8">
      <c r="A64" s="3412"/>
      <c r="B64" s="3384" t="s">
        <v>3350</v>
      </c>
      <c r="C64" s="3060" t="s">
        <v>3339</v>
      </c>
      <c r="D64" s="3055">
        <f>'商业面积汇总表2020-7-13'!M59</f>
        <v>0</v>
      </c>
      <c r="E64" s="3213">
        <v>1</v>
      </c>
      <c r="F64" s="3213">
        <f>收益法倒推租金!C83*G64</f>
        <v>0</v>
      </c>
      <c r="G64" s="3213">
        <v>1</v>
      </c>
      <c r="H64" s="3213">
        <f>D64*F64</f>
        <v>0</v>
      </c>
    </row>
    <row r="65" spans="1:8">
      <c r="A65" s="3412"/>
      <c r="B65" s="3384"/>
      <c r="C65" s="3060" t="s">
        <v>3340</v>
      </c>
      <c r="D65" s="3055">
        <f>'商业面积汇总表2020-7-13'!M60</f>
        <v>0</v>
      </c>
      <c r="E65" s="3213">
        <v>0.65</v>
      </c>
      <c r="F65" s="3213">
        <f>F64*E65*G65</f>
        <v>0</v>
      </c>
      <c r="G65" s="3213">
        <v>1</v>
      </c>
      <c r="H65" s="3213">
        <f>D65*F65</f>
        <v>0</v>
      </c>
    </row>
    <row r="66" spans="1:8">
      <c r="A66" s="3412"/>
      <c r="B66" s="3384"/>
      <c r="C66" s="3060" t="s">
        <v>3341</v>
      </c>
      <c r="D66" s="3055">
        <f>'商业面积汇总表2020-7-13'!M61</f>
        <v>0</v>
      </c>
      <c r="E66" s="3213">
        <v>0.6</v>
      </c>
      <c r="F66" s="3213">
        <f>F64*E66*G66</f>
        <v>0</v>
      </c>
      <c r="G66" s="3213">
        <v>1</v>
      </c>
      <c r="H66" s="3213">
        <f t="shared" ref="H66:H68" si="5">D66*F66</f>
        <v>0</v>
      </c>
    </row>
    <row r="67" spans="1:8">
      <c r="A67" s="3412"/>
      <c r="B67" s="3384"/>
      <c r="C67" s="3060" t="s">
        <v>3342</v>
      </c>
      <c r="D67" s="3055">
        <f>'商业面积汇总表2020-7-13'!M62</f>
        <v>0</v>
      </c>
      <c r="E67" s="3213">
        <v>0.5</v>
      </c>
      <c r="F67" s="3213">
        <f>F64*E67*G67</f>
        <v>0</v>
      </c>
      <c r="G67" s="3213">
        <v>1</v>
      </c>
      <c r="H67" s="3213">
        <f t="shared" si="5"/>
        <v>0</v>
      </c>
    </row>
    <row r="68" spans="1:8">
      <c r="A68" s="3412"/>
      <c r="B68" s="3384"/>
      <c r="C68" s="3060" t="s">
        <v>3343</v>
      </c>
      <c r="D68" s="3055">
        <f>'商业面积汇总表2020-7-13'!M63</f>
        <v>0</v>
      </c>
      <c r="E68" s="3213">
        <v>0.5</v>
      </c>
      <c r="F68" s="3213">
        <f>F64*E68*G68</f>
        <v>0</v>
      </c>
      <c r="G68" s="3213">
        <v>1</v>
      </c>
      <c r="H68" s="3213">
        <f t="shared" si="5"/>
        <v>0</v>
      </c>
    </row>
    <row r="69" spans="1:8">
      <c r="A69" s="3412"/>
      <c r="B69" s="3214" t="s">
        <v>3346</v>
      </c>
      <c r="C69" s="3214"/>
      <c r="D69" s="3055">
        <f>SUM(D64:D68)</f>
        <v>0</v>
      </c>
      <c r="E69" s="3213"/>
      <c r="F69" s="3213"/>
      <c r="G69" s="3213"/>
      <c r="H69" s="3213"/>
    </row>
    <row r="70" spans="1:8">
      <c r="A70" s="3412"/>
      <c r="B70" s="3214" t="s">
        <v>3081</v>
      </c>
      <c r="C70" s="3214"/>
      <c r="D70" s="3055">
        <f>SUM(D51:D69)/2</f>
        <v>0</v>
      </c>
      <c r="E70" s="3213"/>
      <c r="F70" s="3213"/>
      <c r="G70" s="3213"/>
      <c r="H70" s="3213">
        <f>SUM(H51:H69)</f>
        <v>0</v>
      </c>
    </row>
  </sheetData>
  <mergeCells count="15">
    <mergeCell ref="B64:B68"/>
    <mergeCell ref="A58:A70"/>
    <mergeCell ref="B54:B55"/>
    <mergeCell ref="B41:B42"/>
    <mergeCell ref="A38:A57"/>
    <mergeCell ref="B58:B59"/>
    <mergeCell ref="B61:B62"/>
    <mergeCell ref="B44:B48"/>
    <mergeCell ref="B38:B39"/>
    <mergeCell ref="B50:B52"/>
    <mergeCell ref="B3:B7"/>
    <mergeCell ref="B9:B10"/>
    <mergeCell ref="B12:B14"/>
    <mergeCell ref="B16:B17"/>
    <mergeCell ref="B19:B20"/>
  </mergeCells>
  <phoneticPr fontId="272"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2D050"/>
  </sheetPr>
  <dimension ref="A1:Y131"/>
  <sheetViews>
    <sheetView topLeftCell="A65" workbookViewId="0">
      <selection activeCell="G1" sqref="G1:U44"/>
    </sheetView>
  </sheetViews>
  <sheetFormatPr defaultColWidth="10.875" defaultRowHeight="13.5"/>
  <cols>
    <col min="1" max="1" width="13.5" style="2954" customWidth="1"/>
    <col min="2" max="2" width="4.125" style="2954" customWidth="1"/>
    <col min="3" max="3" width="4.5" style="2954" customWidth="1"/>
    <col min="4" max="4" width="10.125" style="2954" customWidth="1"/>
    <col min="5" max="6" width="10.625" style="2954" customWidth="1"/>
    <col min="7" max="7" width="14.125" style="2954" customWidth="1"/>
    <col min="8" max="8" width="5" style="2954" customWidth="1"/>
    <col min="9" max="9" width="9" style="2954" customWidth="1"/>
    <col min="10" max="10" width="6.625" style="2954" customWidth="1"/>
    <col min="11" max="11" width="14.5" style="2954" customWidth="1"/>
    <col min="12" max="12" width="5" style="2954" customWidth="1"/>
    <col min="13" max="13" width="8.625" style="2954" customWidth="1"/>
    <col min="14" max="14" width="6" style="2954" customWidth="1"/>
    <col min="15" max="15" width="16" style="2954" customWidth="1"/>
    <col min="16" max="16" width="6.375" style="2954" customWidth="1"/>
    <col min="17" max="17" width="10.875" style="2954"/>
    <col min="18" max="18" width="6.5" style="2954" customWidth="1"/>
    <col min="19" max="19" width="10.875" style="2954"/>
    <col min="20" max="20" width="5.5" style="2954" customWidth="1"/>
    <col min="21" max="21" width="10.875" style="2954"/>
    <col min="22" max="22" width="7" style="2954" customWidth="1"/>
    <col min="23" max="23" width="9.875" style="2954" customWidth="1"/>
    <col min="24" max="24" width="5.875" style="2954" customWidth="1"/>
    <col min="25" max="16384" width="10.875" style="2954"/>
  </cols>
  <sheetData>
    <row r="1" spans="1:25">
      <c r="A1" s="2953" t="s">
        <v>3057</v>
      </c>
      <c r="B1" s="2953" t="s">
        <v>3058</v>
      </c>
      <c r="C1" s="2953" t="s">
        <v>3059</v>
      </c>
      <c r="D1" s="2953" t="s">
        <v>3060</v>
      </c>
      <c r="E1" s="2953" t="s">
        <v>3260</v>
      </c>
      <c r="G1" s="2955" t="s">
        <v>3080</v>
      </c>
      <c r="H1" s="2953" t="s">
        <v>3058</v>
      </c>
      <c r="I1" s="2953" t="s">
        <v>3083</v>
      </c>
      <c r="K1" s="2955" t="s">
        <v>3082</v>
      </c>
      <c r="L1" s="2953" t="s">
        <v>3058</v>
      </c>
      <c r="M1" s="2953" t="s">
        <v>3083</v>
      </c>
      <c r="O1" s="2955" t="s">
        <v>3084</v>
      </c>
      <c r="P1" s="2953" t="s">
        <v>3058</v>
      </c>
      <c r="Q1" s="2953" t="s">
        <v>3083</v>
      </c>
      <c r="S1" s="2955" t="s">
        <v>3085</v>
      </c>
      <c r="T1" s="2953" t="s">
        <v>3058</v>
      </c>
      <c r="U1" s="2953" t="s">
        <v>3083</v>
      </c>
      <c r="W1" s="2955" t="s">
        <v>3086</v>
      </c>
      <c r="X1" s="2953" t="s">
        <v>3058</v>
      </c>
      <c r="Y1" s="2953" t="s">
        <v>3083</v>
      </c>
    </row>
    <row r="2" spans="1:25">
      <c r="A2" s="2953" t="s">
        <v>3069</v>
      </c>
      <c r="B2" s="2953">
        <v>101</v>
      </c>
      <c r="C2" s="2953">
        <v>1</v>
      </c>
      <c r="D2" s="2953">
        <v>109.36</v>
      </c>
      <c r="E2" s="3413">
        <f>SUM(D2:D6)</f>
        <v>1020.6</v>
      </c>
      <c r="G2" s="2953" t="s">
        <v>3069</v>
      </c>
      <c r="H2" s="2953">
        <v>101</v>
      </c>
      <c r="I2" s="2953">
        <v>109.36</v>
      </c>
      <c r="K2" s="2953" t="s">
        <v>3069</v>
      </c>
      <c r="L2" s="2953">
        <v>201</v>
      </c>
      <c r="M2" s="2953">
        <f>D4</f>
        <v>284.56</v>
      </c>
      <c r="O2" s="2953" t="s">
        <v>3069</v>
      </c>
      <c r="P2" s="2953">
        <v>301</v>
      </c>
      <c r="Q2" s="2953">
        <f>D5</f>
        <v>289.57</v>
      </c>
      <c r="S2" s="2953" t="s">
        <v>3069</v>
      </c>
      <c r="T2" s="2953">
        <v>401</v>
      </c>
      <c r="U2" s="2953">
        <f>D6</f>
        <v>288.62</v>
      </c>
      <c r="W2" s="2953" t="s">
        <v>3066</v>
      </c>
      <c r="X2" s="2953">
        <v>401</v>
      </c>
      <c r="Y2" s="2953">
        <f>D60</f>
        <v>729.81</v>
      </c>
    </row>
    <row r="3" spans="1:25">
      <c r="A3" s="2953"/>
      <c r="B3" s="2953">
        <v>103</v>
      </c>
      <c r="C3" s="2953">
        <v>1</v>
      </c>
      <c r="D3" s="2953">
        <v>48.49</v>
      </c>
      <c r="E3" s="3414"/>
      <c r="G3" s="2953"/>
      <c r="H3" s="2953">
        <v>103</v>
      </c>
      <c r="I3" s="2953">
        <v>48.49</v>
      </c>
      <c r="K3" s="2953" t="s">
        <v>3070</v>
      </c>
      <c r="L3" s="2953">
        <v>201</v>
      </c>
      <c r="M3" s="2953">
        <f>D10</f>
        <v>380.65</v>
      </c>
      <c r="O3" s="2953" t="s">
        <v>3070</v>
      </c>
      <c r="P3" s="2953">
        <v>301</v>
      </c>
      <c r="Q3" s="2953">
        <f>D11</f>
        <v>364.65</v>
      </c>
      <c r="S3" s="2953" t="s">
        <v>3070</v>
      </c>
      <c r="T3" s="2953">
        <v>401</v>
      </c>
      <c r="U3" s="2953">
        <f>D12</f>
        <v>323.95999999999998</v>
      </c>
      <c r="W3" s="2953" t="s">
        <v>3067</v>
      </c>
      <c r="X3" s="2953">
        <v>401</v>
      </c>
      <c r="Y3" s="2953">
        <f>D67</f>
        <v>443.62</v>
      </c>
    </row>
    <row r="4" spans="1:25">
      <c r="A4" s="2953"/>
      <c r="B4" s="2953">
        <v>201</v>
      </c>
      <c r="C4" s="2953">
        <v>2</v>
      </c>
      <c r="D4" s="2953">
        <v>284.56</v>
      </c>
      <c r="E4" s="3414"/>
      <c r="G4" s="2953" t="s">
        <v>3070</v>
      </c>
      <c r="H4" s="2953">
        <v>101</v>
      </c>
      <c r="I4" s="2953">
        <v>103.15</v>
      </c>
      <c r="K4" s="2953" t="s">
        <v>3071</v>
      </c>
      <c r="L4" s="2953">
        <v>201</v>
      </c>
      <c r="M4" s="2953">
        <f>D15</f>
        <v>456.71</v>
      </c>
      <c r="O4" s="2953" t="s">
        <v>3071</v>
      </c>
      <c r="P4" s="2953">
        <v>301</v>
      </c>
      <c r="Q4" s="2953">
        <f>D16</f>
        <v>445.43</v>
      </c>
      <c r="S4" s="2953" t="s">
        <v>3071</v>
      </c>
      <c r="T4" s="2953">
        <v>401</v>
      </c>
      <c r="U4" s="2953">
        <f>D17</f>
        <v>401.14</v>
      </c>
      <c r="W4" s="2953" t="s">
        <v>3068</v>
      </c>
      <c r="X4" s="2953">
        <v>401</v>
      </c>
      <c r="Y4" s="2953">
        <f>D74</f>
        <v>825.09</v>
      </c>
    </row>
    <row r="5" spans="1:25">
      <c r="A5" s="2953"/>
      <c r="B5" s="2953">
        <v>301</v>
      </c>
      <c r="C5" s="2953">
        <v>3</v>
      </c>
      <c r="D5" s="2953">
        <v>289.57</v>
      </c>
      <c r="E5" s="3414"/>
      <c r="G5" s="2953"/>
      <c r="H5" s="2953">
        <v>103</v>
      </c>
      <c r="I5" s="2953">
        <v>38.21</v>
      </c>
      <c r="K5" s="2953" t="s">
        <v>3061</v>
      </c>
      <c r="L5" s="2953">
        <v>201</v>
      </c>
      <c r="M5" s="2953">
        <f>D22</f>
        <v>478.18</v>
      </c>
      <c r="O5" s="2953" t="s">
        <v>3061</v>
      </c>
      <c r="P5" s="2953">
        <v>301</v>
      </c>
      <c r="Q5" s="2953">
        <f>D23</f>
        <v>478.6</v>
      </c>
      <c r="S5" s="2953" t="s">
        <v>3061</v>
      </c>
      <c r="T5" s="2953">
        <v>401</v>
      </c>
      <c r="U5" s="2953">
        <f>D24</f>
        <v>478.52</v>
      </c>
      <c r="W5" s="2953" t="s">
        <v>3081</v>
      </c>
      <c r="X5" s="2953"/>
      <c r="Y5" s="2955">
        <f>SUM(Y2:Y4)</f>
        <v>1998.52</v>
      </c>
    </row>
    <row r="6" spans="1:25">
      <c r="A6" s="2953"/>
      <c r="B6" s="2953">
        <v>401</v>
      </c>
      <c r="C6" s="2953">
        <v>4</v>
      </c>
      <c r="D6" s="2953">
        <v>288.62</v>
      </c>
      <c r="E6" s="3415"/>
      <c r="G6" s="2953"/>
      <c r="H6" s="2953">
        <v>104</v>
      </c>
      <c r="I6" s="2953">
        <v>45.04</v>
      </c>
      <c r="K6" s="2953" t="s">
        <v>3062</v>
      </c>
      <c r="L6" s="2953">
        <v>201</v>
      </c>
      <c r="M6" s="2953">
        <f>D31</f>
        <v>748.67</v>
      </c>
      <c r="O6" s="2953" t="s">
        <v>3062</v>
      </c>
      <c r="P6" s="2953">
        <v>301</v>
      </c>
      <c r="Q6" s="2953">
        <f>D32</f>
        <v>765.57</v>
      </c>
      <c r="S6" s="2953" t="s">
        <v>3062</v>
      </c>
      <c r="T6" s="2953">
        <v>401</v>
      </c>
      <c r="U6" s="2953">
        <f>D33</f>
        <v>680.75</v>
      </c>
      <c r="W6" s="2953"/>
      <c r="X6" s="2953"/>
      <c r="Y6" s="2953"/>
    </row>
    <row r="7" spans="1:25">
      <c r="A7" s="2953" t="s">
        <v>3070</v>
      </c>
      <c r="B7" s="2953">
        <v>101</v>
      </c>
      <c r="C7" s="2953">
        <v>1</v>
      </c>
      <c r="D7" s="2953">
        <v>103.15</v>
      </c>
      <c r="E7" s="3413">
        <f>SUM(D7:D12)</f>
        <v>1255.6599999999999</v>
      </c>
      <c r="G7" s="2953" t="s">
        <v>3071</v>
      </c>
      <c r="H7" s="2953">
        <v>101</v>
      </c>
      <c r="I7" s="2953">
        <v>77</v>
      </c>
      <c r="K7" s="2953" t="s">
        <v>3063</v>
      </c>
      <c r="L7" s="2953">
        <v>201</v>
      </c>
      <c r="M7" s="2953">
        <f>D38</f>
        <v>523.98</v>
      </c>
      <c r="O7" s="2953" t="s">
        <v>3063</v>
      </c>
      <c r="P7" s="2953">
        <v>301</v>
      </c>
      <c r="Q7" s="2953">
        <f>D39</f>
        <v>523.36</v>
      </c>
      <c r="S7" s="2953" t="s">
        <v>3063</v>
      </c>
      <c r="T7" s="2953">
        <v>401</v>
      </c>
      <c r="U7" s="2953">
        <f>D40</f>
        <v>465.77</v>
      </c>
    </row>
    <row r="8" spans="1:25">
      <c r="A8" s="2953"/>
      <c r="B8" s="2953">
        <v>103</v>
      </c>
      <c r="C8" s="2953">
        <v>1</v>
      </c>
      <c r="D8" s="2953">
        <v>38.21</v>
      </c>
      <c r="E8" s="3414"/>
      <c r="G8" s="2953"/>
      <c r="H8" s="2953">
        <v>102</v>
      </c>
      <c r="I8" s="2953">
        <v>65.319999999999993</v>
      </c>
      <c r="K8" s="2953" t="s">
        <v>3064</v>
      </c>
      <c r="L8" s="2953">
        <v>202</v>
      </c>
      <c r="M8" s="2953">
        <f>D45</f>
        <v>354.56</v>
      </c>
      <c r="O8" s="2953" t="s">
        <v>3064</v>
      </c>
      <c r="P8" s="2953">
        <v>302</v>
      </c>
      <c r="Q8" s="2953">
        <f>D46</f>
        <v>234.56</v>
      </c>
      <c r="S8" s="2953" t="s">
        <v>3064</v>
      </c>
      <c r="T8" s="2953">
        <v>402</v>
      </c>
      <c r="U8" s="2953">
        <f>D47</f>
        <v>215.91</v>
      </c>
    </row>
    <row r="9" spans="1:25">
      <c r="A9" s="2953"/>
      <c r="B9" s="2953">
        <v>104</v>
      </c>
      <c r="C9" s="2953">
        <v>1</v>
      </c>
      <c r="D9" s="2953">
        <v>45.04</v>
      </c>
      <c r="E9" s="3414"/>
      <c r="G9" s="2953" t="s">
        <v>3061</v>
      </c>
      <c r="H9" s="2953">
        <v>101</v>
      </c>
      <c r="I9" s="2953">
        <v>22.08</v>
      </c>
      <c r="K9" s="2953" t="s">
        <v>3065</v>
      </c>
      <c r="L9" s="2953">
        <v>203</v>
      </c>
      <c r="M9" s="2953">
        <f>D52</f>
        <v>485.92</v>
      </c>
      <c r="O9" s="2953" t="s">
        <v>3065</v>
      </c>
      <c r="P9" s="2953">
        <v>303</v>
      </c>
      <c r="Q9" s="2953">
        <f>D53</f>
        <v>500.94</v>
      </c>
      <c r="S9" s="2953" t="s">
        <v>3065</v>
      </c>
      <c r="T9" s="2953">
        <v>403</v>
      </c>
      <c r="U9" s="2953">
        <f>D54</f>
        <v>444.85</v>
      </c>
    </row>
    <row r="10" spans="1:25">
      <c r="A10" s="2953"/>
      <c r="B10" s="2953">
        <v>201</v>
      </c>
      <c r="C10" s="2953">
        <v>2</v>
      </c>
      <c r="D10" s="2953">
        <v>380.65</v>
      </c>
      <c r="E10" s="3414"/>
      <c r="G10" s="2953"/>
      <c r="H10" s="2953">
        <v>102</v>
      </c>
      <c r="I10" s="2953">
        <v>128.94999999999999</v>
      </c>
      <c r="K10" s="2953" t="s">
        <v>3066</v>
      </c>
      <c r="L10" s="2953">
        <v>201</v>
      </c>
      <c r="M10" s="2953">
        <f>D57</f>
        <v>562.57000000000005</v>
      </c>
      <c r="O10" s="2953" t="s">
        <v>3066</v>
      </c>
      <c r="P10" s="2953">
        <v>301</v>
      </c>
      <c r="Q10" s="2953">
        <f>D58</f>
        <v>624.51</v>
      </c>
      <c r="S10" s="2953" t="s">
        <v>3066</v>
      </c>
      <c r="T10" s="2953">
        <v>401</v>
      </c>
      <c r="U10" s="2953">
        <f>D59</f>
        <v>746.56</v>
      </c>
    </row>
    <row r="11" spans="1:25">
      <c r="A11" s="2953"/>
      <c r="B11" s="2953">
        <v>301</v>
      </c>
      <c r="C11" s="2953">
        <v>3</v>
      </c>
      <c r="D11" s="2953">
        <v>364.65</v>
      </c>
      <c r="E11" s="3414"/>
      <c r="G11" s="2953"/>
      <c r="H11" s="2953">
        <v>104</v>
      </c>
      <c r="I11" s="2953">
        <v>135.4</v>
      </c>
      <c r="K11" s="2953" t="s">
        <v>3067</v>
      </c>
      <c r="L11" s="2953">
        <v>201</v>
      </c>
      <c r="M11" s="2953">
        <f>D64</f>
        <v>592.95000000000005</v>
      </c>
      <c r="O11" s="2953" t="s">
        <v>3067</v>
      </c>
      <c r="P11" s="2953">
        <v>301</v>
      </c>
      <c r="Q11" s="2953">
        <f>D65</f>
        <v>580.24</v>
      </c>
      <c r="S11" s="2953" t="s">
        <v>3067</v>
      </c>
      <c r="T11" s="2953">
        <v>401</v>
      </c>
      <c r="U11" s="2953">
        <f>D66</f>
        <v>415.21</v>
      </c>
    </row>
    <row r="12" spans="1:25">
      <c r="A12" s="2953"/>
      <c r="B12" s="2953">
        <v>401</v>
      </c>
      <c r="C12" s="2953">
        <v>4</v>
      </c>
      <c r="D12" s="2953">
        <v>323.95999999999998</v>
      </c>
      <c r="E12" s="3415"/>
      <c r="G12" s="2953"/>
      <c r="H12" s="2953">
        <v>105</v>
      </c>
      <c r="I12" s="2953">
        <v>61.94</v>
      </c>
      <c r="K12" s="2953" t="s">
        <v>3068</v>
      </c>
      <c r="L12" s="2953">
        <v>201</v>
      </c>
      <c r="M12" s="2953">
        <f>D71</f>
        <v>890.26</v>
      </c>
      <c r="O12" s="2953" t="s">
        <v>3068</v>
      </c>
      <c r="P12" s="2953">
        <v>301</v>
      </c>
      <c r="Q12" s="2953">
        <f>D72</f>
        <v>910.45</v>
      </c>
      <c r="S12" s="2953" t="s">
        <v>3068</v>
      </c>
      <c r="T12" s="2953">
        <v>401</v>
      </c>
      <c r="U12" s="2953">
        <f>D73</f>
        <v>843.16</v>
      </c>
    </row>
    <row r="13" spans="1:25">
      <c r="A13" s="2953" t="s">
        <v>3071</v>
      </c>
      <c r="B13" s="2953">
        <v>101</v>
      </c>
      <c r="C13" s="2953">
        <v>1</v>
      </c>
      <c r="D13" s="2953">
        <v>77</v>
      </c>
      <c r="E13" s="3413">
        <f>SUM(D13:D17)</f>
        <v>1445.6</v>
      </c>
      <c r="G13" s="2953" t="s">
        <v>3062</v>
      </c>
      <c r="H13" s="2953">
        <v>102</v>
      </c>
      <c r="I13" s="2953">
        <v>62.98</v>
      </c>
      <c r="K13" s="2953" t="s">
        <v>3090</v>
      </c>
      <c r="L13" s="2953"/>
      <c r="M13" s="2955">
        <f>SUM(M2:M12)</f>
        <v>5759.01</v>
      </c>
      <c r="O13" s="2953" t="s">
        <v>3090</v>
      </c>
      <c r="P13" s="2953"/>
      <c r="Q13" s="2955">
        <f>SUM(Q2:Q12)</f>
        <v>5717.88</v>
      </c>
      <c r="S13" s="2953" t="s">
        <v>3081</v>
      </c>
      <c r="T13" s="2953"/>
      <c r="U13" s="2955">
        <f>SUM(U2:U12)</f>
        <v>5304.4499999999989</v>
      </c>
    </row>
    <row r="14" spans="1:25">
      <c r="A14" s="2953"/>
      <c r="B14" s="2953">
        <v>102</v>
      </c>
      <c r="C14" s="2953">
        <v>1</v>
      </c>
      <c r="D14" s="2953">
        <v>65.319999999999993</v>
      </c>
      <c r="E14" s="3414"/>
      <c r="G14" s="2953"/>
      <c r="H14" s="2953">
        <v>104</v>
      </c>
      <c r="I14" s="2953">
        <v>44.73</v>
      </c>
      <c r="K14" s="2958" t="s">
        <v>3089</v>
      </c>
      <c r="L14" s="2953">
        <v>201</v>
      </c>
      <c r="M14" s="2953">
        <v>174.76</v>
      </c>
      <c r="O14" s="2958" t="s">
        <v>3089</v>
      </c>
      <c r="P14" s="2953">
        <v>301</v>
      </c>
      <c r="Q14" s="2953">
        <v>115.65</v>
      </c>
      <c r="S14" s="2958"/>
      <c r="T14" s="2953"/>
      <c r="U14" s="2956"/>
    </row>
    <row r="15" spans="1:25">
      <c r="A15" s="2953"/>
      <c r="B15" s="2953">
        <v>201</v>
      </c>
      <c r="C15" s="2953">
        <v>2</v>
      </c>
      <c r="D15" s="2953">
        <v>456.71</v>
      </c>
      <c r="E15" s="3414"/>
      <c r="G15" s="2953"/>
      <c r="H15" s="2953">
        <v>105</v>
      </c>
      <c r="I15" s="2953">
        <v>63.12</v>
      </c>
      <c r="K15" s="2958"/>
      <c r="L15" s="2953">
        <v>202</v>
      </c>
      <c r="M15" s="2953">
        <v>191.37</v>
      </c>
      <c r="O15" s="2953"/>
      <c r="P15" s="2953">
        <v>302</v>
      </c>
      <c r="Q15" s="2953">
        <v>222.45</v>
      </c>
    </row>
    <row r="16" spans="1:25">
      <c r="A16" s="2953"/>
      <c r="B16" s="2953">
        <v>301</v>
      </c>
      <c r="C16" s="2953">
        <v>3</v>
      </c>
      <c r="D16" s="2953">
        <v>445.43</v>
      </c>
      <c r="E16" s="3414"/>
      <c r="G16" s="2953"/>
      <c r="H16" s="2953">
        <v>106</v>
      </c>
      <c r="I16" s="2953">
        <v>64.400000000000006</v>
      </c>
      <c r="K16" s="2953"/>
      <c r="L16" s="2953">
        <v>203</v>
      </c>
      <c r="M16" s="2953">
        <v>238.65</v>
      </c>
      <c r="O16" s="2953"/>
      <c r="P16" s="2953">
        <v>303</v>
      </c>
      <c r="Q16" s="2953">
        <v>299.01</v>
      </c>
    </row>
    <row r="17" spans="1:17">
      <c r="A17" s="2953"/>
      <c r="B17" s="2953">
        <v>401</v>
      </c>
      <c r="C17" s="2953">
        <v>4</v>
      </c>
      <c r="D17" s="2953">
        <v>401.14</v>
      </c>
      <c r="E17" s="3415"/>
      <c r="G17" s="2953"/>
      <c r="H17" s="2953">
        <v>107</v>
      </c>
      <c r="I17" s="2953">
        <v>15.85</v>
      </c>
      <c r="K17" s="2953"/>
      <c r="L17" s="2953">
        <v>204</v>
      </c>
      <c r="M17" s="2953">
        <v>760.23</v>
      </c>
      <c r="O17" s="2953"/>
      <c r="P17" s="2953">
        <v>304</v>
      </c>
      <c r="Q17" s="2953">
        <v>382.44</v>
      </c>
    </row>
    <row r="18" spans="1:17">
      <c r="A18" s="2953" t="s">
        <v>3061</v>
      </c>
      <c r="B18" s="2953">
        <v>101</v>
      </c>
      <c r="C18" s="2953">
        <v>1</v>
      </c>
      <c r="D18" s="2953">
        <v>22.08</v>
      </c>
      <c r="E18" s="3413">
        <f>SUM(D18:D24)</f>
        <v>1783.67</v>
      </c>
      <c r="G18" s="2953"/>
      <c r="H18" s="2953">
        <v>108</v>
      </c>
      <c r="I18" s="2953">
        <v>57.2</v>
      </c>
      <c r="K18" s="2953"/>
      <c r="L18" s="2953">
        <v>205</v>
      </c>
      <c r="M18" s="2953">
        <v>801.04</v>
      </c>
      <c r="O18" s="2953" t="s">
        <v>3088</v>
      </c>
      <c r="P18" s="2953">
        <v>301</v>
      </c>
      <c r="Q18" s="2953">
        <v>330</v>
      </c>
    </row>
    <row r="19" spans="1:17">
      <c r="A19" s="2953"/>
      <c r="B19" s="2953">
        <v>102</v>
      </c>
      <c r="C19" s="2953">
        <v>1</v>
      </c>
      <c r="D19" s="2953">
        <v>128.94999999999999</v>
      </c>
      <c r="E19" s="3414"/>
      <c r="G19" s="2953" t="s">
        <v>3063</v>
      </c>
      <c r="H19" s="2953">
        <v>101</v>
      </c>
      <c r="I19" s="2953">
        <v>8.8000000000000007</v>
      </c>
      <c r="K19" s="2953"/>
      <c r="L19" s="2953">
        <v>206</v>
      </c>
      <c r="M19" s="2953">
        <v>54.46</v>
      </c>
      <c r="O19" s="2953"/>
      <c r="P19" s="2953">
        <v>302</v>
      </c>
      <c r="Q19" s="2953">
        <v>425.87</v>
      </c>
    </row>
    <row r="20" spans="1:17">
      <c r="A20" s="2953"/>
      <c r="B20" s="2953">
        <v>104</v>
      </c>
      <c r="C20" s="2953">
        <v>1</v>
      </c>
      <c r="D20" s="2953">
        <v>135.4</v>
      </c>
      <c r="E20" s="3414"/>
      <c r="G20" s="2953"/>
      <c r="H20" s="2953">
        <v>102</v>
      </c>
      <c r="I20" s="2953">
        <v>46.33</v>
      </c>
      <c r="K20" s="2953" t="s">
        <v>3088</v>
      </c>
      <c r="L20" s="2953">
        <v>202</v>
      </c>
      <c r="M20" s="2953">
        <v>88.32</v>
      </c>
      <c r="O20" s="2953"/>
      <c r="P20" s="2953">
        <v>303</v>
      </c>
      <c r="Q20" s="2953">
        <v>220.58</v>
      </c>
    </row>
    <row r="21" spans="1:17">
      <c r="A21" s="2953"/>
      <c r="B21" s="2953">
        <v>105</v>
      </c>
      <c r="C21" s="2953">
        <v>1</v>
      </c>
      <c r="D21" s="2953">
        <v>61.94</v>
      </c>
      <c r="E21" s="3414"/>
      <c r="G21" s="2953"/>
      <c r="H21" s="2953">
        <v>104</v>
      </c>
      <c r="I21" s="2953">
        <v>46.64</v>
      </c>
      <c r="K21" s="2953"/>
      <c r="L21" s="2953">
        <v>203</v>
      </c>
      <c r="M21" s="2953">
        <v>223.84</v>
      </c>
      <c r="O21" s="2953" t="s">
        <v>3090</v>
      </c>
      <c r="P21" s="2953"/>
      <c r="Q21" s="2955">
        <f>SUM(Q14:Q20)</f>
        <v>1996</v>
      </c>
    </row>
    <row r="22" spans="1:17">
      <c r="A22" s="2953"/>
      <c r="B22" s="2953">
        <v>201</v>
      </c>
      <c r="C22" s="2953">
        <v>2</v>
      </c>
      <c r="D22" s="2953">
        <v>478.18</v>
      </c>
      <c r="E22" s="3414"/>
      <c r="G22" s="2953"/>
      <c r="H22" s="2953">
        <v>105</v>
      </c>
      <c r="I22" s="2953">
        <v>61.66</v>
      </c>
      <c r="K22" s="2953"/>
      <c r="L22" s="2953">
        <v>204</v>
      </c>
      <c r="M22" s="2953">
        <v>348.68</v>
      </c>
      <c r="O22" s="2953" t="s">
        <v>3081</v>
      </c>
      <c r="P22" s="2953"/>
      <c r="Q22" s="2962">
        <f>Q13+Q21</f>
        <v>7713.88</v>
      </c>
    </row>
    <row r="23" spans="1:17">
      <c r="A23" s="2953"/>
      <c r="B23" s="2953">
        <v>301</v>
      </c>
      <c r="C23" s="2953">
        <v>3</v>
      </c>
      <c r="D23" s="2953">
        <v>478.6</v>
      </c>
      <c r="E23" s="3414"/>
      <c r="G23" s="2953" t="s">
        <v>3064</v>
      </c>
      <c r="H23" s="2953">
        <v>107</v>
      </c>
      <c r="I23" s="2953">
        <v>63.63</v>
      </c>
      <c r="K23" s="2953"/>
      <c r="L23" s="2953">
        <v>207</v>
      </c>
      <c r="M23" s="2953">
        <v>104.87</v>
      </c>
    </row>
    <row r="24" spans="1:17">
      <c r="A24" s="2953"/>
      <c r="B24" s="2953">
        <v>401</v>
      </c>
      <c r="C24" s="2953">
        <v>4</v>
      </c>
      <c r="D24" s="2953">
        <v>478.52</v>
      </c>
      <c r="E24" s="3415"/>
      <c r="G24" s="2953"/>
      <c r="H24" s="2953">
        <v>108</v>
      </c>
      <c r="I24" s="2953">
        <v>8.3000000000000007</v>
      </c>
      <c r="K24" s="2953"/>
      <c r="L24" s="2953">
        <v>208</v>
      </c>
      <c r="M24" s="2953">
        <v>26.97</v>
      </c>
    </row>
    <row r="25" spans="1:17">
      <c r="A25" s="2953" t="s">
        <v>3062</v>
      </c>
      <c r="B25" s="2953">
        <v>102</v>
      </c>
      <c r="C25" s="2953">
        <v>1</v>
      </c>
      <c r="D25" s="2953">
        <v>62.98</v>
      </c>
      <c r="E25" s="3413">
        <f>SUM(D25:D33)</f>
        <v>2503.27</v>
      </c>
      <c r="G25" s="2953"/>
      <c r="H25" s="2953">
        <v>109</v>
      </c>
      <c r="I25" s="2953">
        <v>22.91</v>
      </c>
      <c r="K25" s="2953"/>
      <c r="L25" s="2953">
        <v>209</v>
      </c>
      <c r="M25" s="2953">
        <v>17.399999999999999</v>
      </c>
    </row>
    <row r="26" spans="1:17">
      <c r="A26" s="2953"/>
      <c r="B26" s="2953">
        <v>104</v>
      </c>
      <c r="C26" s="2953">
        <v>1</v>
      </c>
      <c r="D26" s="2953">
        <v>44.73</v>
      </c>
      <c r="E26" s="3414"/>
      <c r="G26" s="2953"/>
      <c r="H26" s="2953">
        <v>110</v>
      </c>
      <c r="I26" s="2953">
        <v>16.07</v>
      </c>
      <c r="K26" s="2953"/>
      <c r="L26" s="2953">
        <v>210</v>
      </c>
      <c r="M26" s="2953">
        <v>23.18</v>
      </c>
    </row>
    <row r="27" spans="1:17">
      <c r="A27" s="2953"/>
      <c r="B27" s="2953">
        <v>105</v>
      </c>
      <c r="C27" s="2953">
        <v>1</v>
      </c>
      <c r="D27" s="2953">
        <v>63.12</v>
      </c>
      <c r="E27" s="3414"/>
      <c r="G27" s="2953" t="s">
        <v>3065</v>
      </c>
      <c r="H27" s="2953">
        <v>112</v>
      </c>
      <c r="I27" s="2953">
        <v>49.13</v>
      </c>
      <c r="K27" s="2953"/>
      <c r="L27" s="2953">
        <v>211</v>
      </c>
      <c r="M27" s="2953">
        <v>24.84</v>
      </c>
    </row>
    <row r="28" spans="1:17">
      <c r="A28" s="2953"/>
      <c r="B28" s="2953">
        <v>106</v>
      </c>
      <c r="C28" s="2953">
        <v>1</v>
      </c>
      <c r="D28" s="2953">
        <v>64.400000000000006</v>
      </c>
      <c r="E28" s="3414"/>
      <c r="G28" s="2953"/>
      <c r="H28" s="2953">
        <v>113</v>
      </c>
      <c r="I28" s="2953">
        <v>126.59</v>
      </c>
      <c r="K28" s="2953"/>
      <c r="L28" s="2953">
        <v>215</v>
      </c>
      <c r="M28" s="2953">
        <v>17.559999999999999</v>
      </c>
    </row>
    <row r="29" spans="1:17">
      <c r="A29" s="2953"/>
      <c r="B29" s="2953">
        <v>107</v>
      </c>
      <c r="C29" s="2953">
        <v>1</v>
      </c>
      <c r="D29" s="2953">
        <v>15.85</v>
      </c>
      <c r="E29" s="3414"/>
      <c r="G29" s="2953"/>
      <c r="H29" s="2953">
        <v>114</v>
      </c>
      <c r="I29" s="2953">
        <v>8.56</v>
      </c>
      <c r="K29" s="2953"/>
      <c r="L29" s="2953">
        <v>216</v>
      </c>
      <c r="M29" s="2953">
        <v>72.42</v>
      </c>
    </row>
    <row r="30" spans="1:17">
      <c r="A30" s="2953"/>
      <c r="B30" s="2953">
        <v>108</v>
      </c>
      <c r="C30" s="2953">
        <v>1</v>
      </c>
      <c r="D30" s="2953">
        <v>57.2</v>
      </c>
      <c r="E30" s="3414"/>
      <c r="G30" s="2953"/>
      <c r="H30" s="2953">
        <v>115</v>
      </c>
      <c r="I30" s="2953">
        <v>28.54</v>
      </c>
      <c r="K30" s="2953"/>
      <c r="L30" s="2953">
        <v>217</v>
      </c>
      <c r="M30" s="2953">
        <v>32.15</v>
      </c>
    </row>
    <row r="31" spans="1:17">
      <c r="A31" s="2953"/>
      <c r="B31" s="2953">
        <v>201</v>
      </c>
      <c r="C31" s="2953">
        <v>2</v>
      </c>
      <c r="D31" s="2953">
        <v>748.67</v>
      </c>
      <c r="E31" s="3414"/>
      <c r="G31" s="2953" t="s">
        <v>3066</v>
      </c>
      <c r="H31" s="2953">
        <v>101</v>
      </c>
      <c r="I31" s="2953">
        <v>34.56</v>
      </c>
      <c r="K31" s="2953"/>
      <c r="L31" s="2953">
        <v>218</v>
      </c>
      <c r="M31" s="2953">
        <v>19.73</v>
      </c>
    </row>
    <row r="32" spans="1:17">
      <c r="A32" s="2953"/>
      <c r="B32" s="2953">
        <v>301</v>
      </c>
      <c r="C32" s="2953">
        <v>3</v>
      </c>
      <c r="D32" s="2953">
        <v>765.57</v>
      </c>
      <c r="E32" s="3414"/>
      <c r="G32" s="2953"/>
      <c r="H32" s="2953">
        <v>102</v>
      </c>
      <c r="I32" s="2953">
        <v>41.69</v>
      </c>
      <c r="K32" s="2953"/>
      <c r="L32" s="2953">
        <v>219</v>
      </c>
      <c r="M32" s="2953">
        <v>163.97</v>
      </c>
    </row>
    <row r="33" spans="1:13">
      <c r="A33" s="2953"/>
      <c r="B33" s="2953">
        <v>401</v>
      </c>
      <c r="C33" s="2953">
        <v>4</v>
      </c>
      <c r="D33" s="2953">
        <v>680.75</v>
      </c>
      <c r="E33" s="3415"/>
      <c r="G33" s="2953" t="s">
        <v>3067</v>
      </c>
      <c r="H33" s="2953">
        <v>101</v>
      </c>
      <c r="I33" s="2953">
        <v>76.33</v>
      </c>
      <c r="K33" s="2953" t="s">
        <v>3091</v>
      </c>
      <c r="L33" s="2953"/>
      <c r="M33" s="2955">
        <f>SUM(M14:M32)</f>
        <v>3384.44</v>
      </c>
    </row>
    <row r="34" spans="1:13">
      <c r="A34" s="2953" t="s">
        <v>3063</v>
      </c>
      <c r="B34" s="2953">
        <v>101</v>
      </c>
      <c r="C34" s="2953">
        <v>1</v>
      </c>
      <c r="D34" s="2953">
        <v>8.8000000000000007</v>
      </c>
      <c r="E34" s="3413">
        <f>SUM(D34:D40)</f>
        <v>1676.54</v>
      </c>
      <c r="G34" s="2953"/>
      <c r="H34" s="2953">
        <v>102</v>
      </c>
      <c r="I34" s="2953">
        <v>35.58</v>
      </c>
      <c r="K34" s="2953" t="s">
        <v>3081</v>
      </c>
      <c r="L34" s="2953"/>
      <c r="M34" s="2962">
        <f>M13+M33</f>
        <v>9143.4500000000007</v>
      </c>
    </row>
    <row r="35" spans="1:13">
      <c r="A35" s="2953"/>
      <c r="B35" s="2953">
        <v>102</v>
      </c>
      <c r="C35" s="2953">
        <v>1</v>
      </c>
      <c r="D35" s="2953">
        <v>46.33</v>
      </c>
      <c r="E35" s="3414"/>
      <c r="G35" s="2953"/>
      <c r="H35" s="2953">
        <v>103</v>
      </c>
      <c r="I35" s="2953">
        <v>21.6</v>
      </c>
    </row>
    <row r="36" spans="1:13">
      <c r="A36" s="2953"/>
      <c r="B36" s="2953">
        <v>104</v>
      </c>
      <c r="C36" s="2953">
        <v>1</v>
      </c>
      <c r="D36" s="2953">
        <v>46.64</v>
      </c>
      <c r="E36" s="3414"/>
      <c r="G36" s="2953" t="s">
        <v>3068</v>
      </c>
      <c r="H36" s="2953">
        <v>101</v>
      </c>
      <c r="I36" s="2953">
        <v>62.17</v>
      </c>
    </row>
    <row r="37" spans="1:13">
      <c r="A37" s="2953"/>
      <c r="B37" s="2953">
        <v>105</v>
      </c>
      <c r="C37" s="2953">
        <v>1</v>
      </c>
      <c r="D37" s="2953">
        <v>61.66</v>
      </c>
      <c r="E37" s="3414"/>
      <c r="G37" s="2953"/>
      <c r="H37" s="2953">
        <v>102</v>
      </c>
      <c r="I37" s="2953">
        <v>46.52</v>
      </c>
    </row>
    <row r="38" spans="1:13">
      <c r="A38" s="2953"/>
      <c r="B38" s="2953">
        <v>201</v>
      </c>
      <c r="C38" s="2953">
        <v>2</v>
      </c>
      <c r="D38" s="2953">
        <v>523.98</v>
      </c>
      <c r="E38" s="3414"/>
      <c r="G38" s="2953"/>
      <c r="H38" s="2953">
        <v>103</v>
      </c>
      <c r="I38" s="2953">
        <v>24.35</v>
      </c>
    </row>
    <row r="39" spans="1:13">
      <c r="A39" s="2953"/>
      <c r="B39" s="2953">
        <v>301</v>
      </c>
      <c r="C39" s="2953">
        <v>3</v>
      </c>
      <c r="D39" s="2953">
        <v>523.36</v>
      </c>
      <c r="E39" s="3414"/>
      <c r="G39" s="2953" t="s">
        <v>3090</v>
      </c>
      <c r="H39" s="2953"/>
      <c r="I39" s="2955">
        <f>SUM(I2:I38)</f>
        <v>1973.1799999999996</v>
      </c>
    </row>
    <row r="40" spans="1:13">
      <c r="A40" s="2953"/>
      <c r="B40" s="2953">
        <v>401</v>
      </c>
      <c r="C40" s="2953">
        <v>4</v>
      </c>
      <c r="D40" s="2953">
        <v>465.77</v>
      </c>
      <c r="E40" s="3415"/>
      <c r="G40" s="2958" t="s">
        <v>3089</v>
      </c>
      <c r="H40" s="2953">
        <v>101</v>
      </c>
      <c r="I40" s="2953">
        <v>73.3</v>
      </c>
    </row>
    <row r="41" spans="1:13">
      <c r="A41" s="2953" t="s">
        <v>3064</v>
      </c>
      <c r="B41" s="2953">
        <v>107</v>
      </c>
      <c r="C41" s="2953">
        <v>1</v>
      </c>
      <c r="D41" s="2953">
        <v>63.63</v>
      </c>
      <c r="E41" s="3413">
        <f>SUM(D41:D47)</f>
        <v>915.93999999999994</v>
      </c>
      <c r="G41" s="2953"/>
      <c r="H41" s="2953">
        <v>105</v>
      </c>
      <c r="I41" s="2953">
        <v>175.72</v>
      </c>
    </row>
    <row r="42" spans="1:13">
      <c r="A42" s="2953"/>
      <c r="B42" s="2953">
        <v>108</v>
      </c>
      <c r="C42" s="2953">
        <v>1</v>
      </c>
      <c r="D42" s="2953">
        <v>8.3000000000000007</v>
      </c>
      <c r="E42" s="3414"/>
      <c r="G42" s="2953" t="s">
        <v>3087</v>
      </c>
      <c r="H42" s="2953">
        <v>102</v>
      </c>
      <c r="I42" s="2953">
        <v>266.82</v>
      </c>
    </row>
    <row r="43" spans="1:13">
      <c r="A43" s="2953"/>
      <c r="B43" s="2953">
        <v>109</v>
      </c>
      <c r="C43" s="2953">
        <v>1</v>
      </c>
      <c r="D43" s="2953">
        <v>22.91</v>
      </c>
      <c r="E43" s="3414"/>
      <c r="G43" s="2953" t="s">
        <v>3090</v>
      </c>
      <c r="H43" s="2953"/>
      <c r="I43" s="2955">
        <f>SUM(I40:I42)</f>
        <v>515.83999999999992</v>
      </c>
    </row>
    <row r="44" spans="1:13">
      <c r="A44" s="2953"/>
      <c r="B44" s="2953">
        <v>110</v>
      </c>
      <c r="C44" s="2953">
        <v>1</v>
      </c>
      <c r="D44" s="2953">
        <v>16.07</v>
      </c>
      <c r="E44" s="3414"/>
      <c r="G44" s="2953" t="s">
        <v>3081</v>
      </c>
      <c r="H44" s="2953"/>
      <c r="I44" s="2962">
        <f>I39+I43</f>
        <v>2489.0199999999995</v>
      </c>
    </row>
    <row r="45" spans="1:13">
      <c r="A45" s="2953"/>
      <c r="B45" s="2953">
        <v>202</v>
      </c>
      <c r="C45" s="2953">
        <v>2</v>
      </c>
      <c r="D45" s="2953">
        <v>354.56</v>
      </c>
      <c r="E45" s="3414"/>
    </row>
    <row r="46" spans="1:13">
      <c r="A46" s="2953"/>
      <c r="B46" s="2953">
        <v>302</v>
      </c>
      <c r="C46" s="2953">
        <v>3</v>
      </c>
      <c r="D46" s="2953">
        <v>234.56</v>
      </c>
      <c r="E46" s="3414"/>
    </row>
    <row r="47" spans="1:13">
      <c r="A47" s="2953"/>
      <c r="B47" s="2953">
        <v>402</v>
      </c>
      <c r="C47" s="2953">
        <v>4</v>
      </c>
      <c r="D47" s="2953">
        <v>215.91</v>
      </c>
      <c r="E47" s="3415"/>
    </row>
    <row r="48" spans="1:13">
      <c r="A48" s="2953" t="s">
        <v>3065</v>
      </c>
      <c r="B48" s="2953">
        <v>112</v>
      </c>
      <c r="C48" s="2953">
        <v>1</v>
      </c>
      <c r="D48" s="2953">
        <v>49.13</v>
      </c>
      <c r="E48" s="3413">
        <f>SUM(D48:D54)</f>
        <v>1644.5300000000002</v>
      </c>
    </row>
    <row r="49" spans="1:5">
      <c r="A49" s="2953"/>
      <c r="B49" s="2953">
        <v>113</v>
      </c>
      <c r="C49" s="2953">
        <v>1</v>
      </c>
      <c r="D49" s="2953">
        <v>126.59</v>
      </c>
      <c r="E49" s="3414"/>
    </row>
    <row r="50" spans="1:5">
      <c r="A50" s="2953"/>
      <c r="B50" s="2953">
        <v>114</v>
      </c>
      <c r="C50" s="2953">
        <v>1</v>
      </c>
      <c r="D50" s="2953">
        <v>8.56</v>
      </c>
      <c r="E50" s="3414"/>
    </row>
    <row r="51" spans="1:5">
      <c r="A51" s="2953"/>
      <c r="B51" s="2953">
        <v>115</v>
      </c>
      <c r="C51" s="2953">
        <v>1</v>
      </c>
      <c r="D51" s="2953">
        <v>28.54</v>
      </c>
      <c r="E51" s="3414"/>
    </row>
    <row r="52" spans="1:5">
      <c r="A52" s="2953"/>
      <c r="B52" s="2953">
        <v>203</v>
      </c>
      <c r="C52" s="2953">
        <v>2</v>
      </c>
      <c r="D52" s="2953">
        <v>485.92</v>
      </c>
      <c r="E52" s="3414"/>
    </row>
    <row r="53" spans="1:5">
      <c r="A53" s="2953"/>
      <c r="B53" s="2953">
        <v>303</v>
      </c>
      <c r="C53" s="2953">
        <v>3</v>
      </c>
      <c r="D53" s="2953">
        <v>500.94</v>
      </c>
      <c r="E53" s="3414"/>
    </row>
    <row r="54" spans="1:5">
      <c r="A54" s="2953"/>
      <c r="B54" s="2953">
        <v>403</v>
      </c>
      <c r="C54" s="2953">
        <v>4</v>
      </c>
      <c r="D54" s="2953">
        <v>444.85</v>
      </c>
      <c r="E54" s="3415"/>
    </row>
    <row r="55" spans="1:5">
      <c r="A55" s="2953" t="s">
        <v>3066</v>
      </c>
      <c r="B55" s="2953">
        <v>101</v>
      </c>
      <c r="C55" s="2953">
        <v>1</v>
      </c>
      <c r="D55" s="2953">
        <v>34.56</v>
      </c>
      <c r="E55" s="3413">
        <f>SUM(D55:D60)</f>
        <v>2739.7</v>
      </c>
    </row>
    <row r="56" spans="1:5">
      <c r="A56" s="2953"/>
      <c r="B56" s="2953">
        <v>102</v>
      </c>
      <c r="C56" s="2953">
        <v>1</v>
      </c>
      <c r="D56" s="2953">
        <v>41.69</v>
      </c>
      <c r="E56" s="3414"/>
    </row>
    <row r="57" spans="1:5">
      <c r="A57" s="2953"/>
      <c r="B57" s="2953">
        <v>201</v>
      </c>
      <c r="C57" s="2953">
        <v>2</v>
      </c>
      <c r="D57" s="2953">
        <v>562.57000000000005</v>
      </c>
      <c r="E57" s="3414"/>
    </row>
    <row r="58" spans="1:5">
      <c r="A58" s="2953"/>
      <c r="B58" s="2953">
        <v>301</v>
      </c>
      <c r="C58" s="2953">
        <v>3</v>
      </c>
      <c r="D58" s="2953">
        <v>624.51</v>
      </c>
      <c r="E58" s="3414"/>
    </row>
    <row r="59" spans="1:5">
      <c r="A59" s="2953"/>
      <c r="B59" s="2953">
        <v>401</v>
      </c>
      <c r="C59" s="2953">
        <v>4</v>
      </c>
      <c r="D59" s="2953">
        <v>746.56</v>
      </c>
      <c r="E59" s="3414"/>
    </row>
    <row r="60" spans="1:5">
      <c r="A60" s="2953"/>
      <c r="B60" s="2953">
        <v>501</v>
      </c>
      <c r="C60" s="2953">
        <v>5</v>
      </c>
      <c r="D60" s="2953">
        <v>729.81</v>
      </c>
      <c r="E60" s="3415"/>
    </row>
    <row r="61" spans="1:5">
      <c r="A61" s="2953" t="s">
        <v>3067</v>
      </c>
      <c r="B61" s="2953">
        <v>101</v>
      </c>
      <c r="C61" s="2953">
        <v>1</v>
      </c>
      <c r="D61" s="2953">
        <v>76.33</v>
      </c>
      <c r="E61" s="3413">
        <f>SUM(D61:D67)</f>
        <v>2165.5300000000002</v>
      </c>
    </row>
    <row r="62" spans="1:5">
      <c r="A62" s="2953"/>
      <c r="B62" s="2953">
        <v>102</v>
      </c>
      <c r="C62" s="2953">
        <v>1</v>
      </c>
      <c r="D62" s="2953">
        <v>35.58</v>
      </c>
      <c r="E62" s="3414"/>
    </row>
    <row r="63" spans="1:5">
      <c r="A63" s="2953"/>
      <c r="B63" s="2953">
        <v>103</v>
      </c>
      <c r="C63" s="2953">
        <v>1</v>
      </c>
      <c r="D63" s="2953">
        <v>21.6</v>
      </c>
      <c r="E63" s="3414"/>
    </row>
    <row r="64" spans="1:5">
      <c r="A64" s="2953"/>
      <c r="B64" s="2953">
        <v>201</v>
      </c>
      <c r="C64" s="2953">
        <v>2</v>
      </c>
      <c r="D64" s="2953">
        <v>592.95000000000005</v>
      </c>
      <c r="E64" s="3414"/>
    </row>
    <row r="65" spans="1:5">
      <c r="A65" s="2953"/>
      <c r="B65" s="2953">
        <v>301</v>
      </c>
      <c r="C65" s="2953">
        <v>3</v>
      </c>
      <c r="D65" s="2953">
        <v>580.24</v>
      </c>
      <c r="E65" s="3414"/>
    </row>
    <row r="66" spans="1:5">
      <c r="A66" s="2953"/>
      <c r="B66" s="2953">
        <v>401</v>
      </c>
      <c r="C66" s="2953">
        <v>4</v>
      </c>
      <c r="D66" s="2953">
        <v>415.21</v>
      </c>
      <c r="E66" s="3414"/>
    </row>
    <row r="67" spans="1:5">
      <c r="A67" s="2953"/>
      <c r="B67" s="2953">
        <v>501</v>
      </c>
      <c r="C67" s="2953">
        <v>5</v>
      </c>
      <c r="D67" s="2953">
        <v>443.62</v>
      </c>
      <c r="E67" s="3415"/>
    </row>
    <row r="68" spans="1:5">
      <c r="A68" s="2953" t="s">
        <v>3068</v>
      </c>
      <c r="B68" s="2953">
        <v>101</v>
      </c>
      <c r="C68" s="2953">
        <v>1</v>
      </c>
      <c r="D68" s="2953">
        <v>62.17</v>
      </c>
      <c r="E68" s="3413">
        <f>SUM(D68:D74)</f>
        <v>3602</v>
      </c>
    </row>
    <row r="69" spans="1:5">
      <c r="A69" s="2953"/>
      <c r="B69" s="2953">
        <v>102</v>
      </c>
      <c r="C69" s="2953">
        <v>1</v>
      </c>
      <c r="D69" s="2953">
        <v>46.52</v>
      </c>
      <c r="E69" s="3414"/>
    </row>
    <row r="70" spans="1:5">
      <c r="A70" s="2953"/>
      <c r="B70" s="2953">
        <v>103</v>
      </c>
      <c r="C70" s="2953">
        <v>1</v>
      </c>
      <c r="D70" s="2953">
        <v>24.35</v>
      </c>
      <c r="E70" s="3414"/>
    </row>
    <row r="71" spans="1:5">
      <c r="A71" s="2953"/>
      <c r="B71" s="2953">
        <v>201</v>
      </c>
      <c r="C71" s="2953">
        <v>2</v>
      </c>
      <c r="D71" s="2953">
        <v>890.26</v>
      </c>
      <c r="E71" s="3414"/>
    </row>
    <row r="72" spans="1:5">
      <c r="A72" s="2953"/>
      <c r="B72" s="2953">
        <v>301</v>
      </c>
      <c r="C72" s="2953">
        <v>3</v>
      </c>
      <c r="D72" s="2953">
        <v>910.45</v>
      </c>
      <c r="E72" s="3414"/>
    </row>
    <row r="73" spans="1:5">
      <c r="A73" s="2953"/>
      <c r="B73" s="2953">
        <v>401</v>
      </c>
      <c r="C73" s="2953">
        <v>4</v>
      </c>
      <c r="D73" s="2953">
        <v>843.16</v>
      </c>
      <c r="E73" s="3414"/>
    </row>
    <row r="74" spans="1:5">
      <c r="A74" s="2953"/>
      <c r="B74" s="2953">
        <v>501</v>
      </c>
      <c r="C74" s="2953">
        <v>5</v>
      </c>
      <c r="D74" s="2953">
        <v>825.09</v>
      </c>
      <c r="E74" s="3415"/>
    </row>
    <row r="75" spans="1:5">
      <c r="A75" s="2953" t="s">
        <v>3081</v>
      </c>
      <c r="B75" s="2953"/>
      <c r="C75" s="2953"/>
      <c r="D75" s="2955">
        <f>SUM(D2:D74)</f>
        <v>20753.039999999994</v>
      </c>
    </row>
    <row r="76" spans="1:5">
      <c r="D76" s="2954">
        <f>I39+M13+Q13+U13+Y5</f>
        <v>20753.039999999997</v>
      </c>
    </row>
    <row r="77" spans="1:5">
      <c r="A77" s="2958" t="s">
        <v>3089</v>
      </c>
      <c r="B77" s="2953">
        <v>101</v>
      </c>
      <c r="C77" s="2953">
        <v>1</v>
      </c>
      <c r="D77" s="2953">
        <v>73.3</v>
      </c>
    </row>
    <row r="78" spans="1:5">
      <c r="A78" s="2958"/>
      <c r="B78" s="2953">
        <v>105</v>
      </c>
      <c r="C78" s="2953">
        <v>1</v>
      </c>
      <c r="D78" s="2953">
        <v>175.72</v>
      </c>
    </row>
    <row r="79" spans="1:5">
      <c r="A79" s="2958"/>
      <c r="B79" s="2953">
        <v>201</v>
      </c>
      <c r="C79" s="2953">
        <v>2</v>
      </c>
      <c r="D79" s="2953">
        <v>174.76</v>
      </c>
    </row>
    <row r="80" spans="1:5">
      <c r="A80" s="2958"/>
      <c r="B80" s="2953">
        <v>202</v>
      </c>
      <c r="C80" s="2953">
        <v>2</v>
      </c>
      <c r="D80" s="2953">
        <v>191.37</v>
      </c>
    </row>
    <row r="81" spans="1:4">
      <c r="A81" s="2958"/>
      <c r="B81" s="2953">
        <v>203</v>
      </c>
      <c r="C81" s="2953">
        <v>2</v>
      </c>
      <c r="D81" s="2953">
        <v>238.65</v>
      </c>
    </row>
    <row r="82" spans="1:4">
      <c r="A82" s="2958"/>
      <c r="B82" s="2953">
        <v>204</v>
      </c>
      <c r="C82" s="2953">
        <v>2</v>
      </c>
      <c r="D82" s="2953">
        <v>760.23</v>
      </c>
    </row>
    <row r="83" spans="1:4">
      <c r="A83" s="2958"/>
      <c r="B83" s="2953">
        <v>205</v>
      </c>
      <c r="C83" s="2953">
        <v>2</v>
      </c>
      <c r="D83" s="2953">
        <v>801.04</v>
      </c>
    </row>
    <row r="84" spans="1:4">
      <c r="A84" s="2958"/>
      <c r="B84" s="2953">
        <v>206</v>
      </c>
      <c r="C84" s="2953">
        <v>2</v>
      </c>
      <c r="D84" s="2953">
        <v>54.46</v>
      </c>
    </row>
    <row r="85" spans="1:4">
      <c r="A85" s="2958"/>
      <c r="B85" s="2953">
        <v>301</v>
      </c>
      <c r="C85" s="2953">
        <v>3</v>
      </c>
      <c r="D85" s="2953">
        <v>115.65</v>
      </c>
    </row>
    <row r="86" spans="1:4">
      <c r="A86" s="2958"/>
      <c r="B86" s="2953">
        <v>302</v>
      </c>
      <c r="C86" s="2953">
        <v>3</v>
      </c>
      <c r="D86" s="2953">
        <v>222.45</v>
      </c>
    </row>
    <row r="87" spans="1:4">
      <c r="A87" s="2958"/>
      <c r="B87" s="2953">
        <v>303</v>
      </c>
      <c r="C87" s="2953">
        <v>3</v>
      </c>
      <c r="D87" s="2953">
        <v>299.01</v>
      </c>
    </row>
    <row r="88" spans="1:4">
      <c r="A88" s="2958"/>
      <c r="B88" s="2953">
        <v>304</v>
      </c>
      <c r="C88" s="2953">
        <v>3</v>
      </c>
      <c r="D88" s="2953">
        <v>382.44</v>
      </c>
    </row>
    <row r="89" spans="1:4">
      <c r="A89" s="2958"/>
      <c r="B89" s="2953"/>
      <c r="C89" s="2953"/>
      <c r="D89" s="2955">
        <f>SUM(D77:D88)</f>
        <v>3489.0799999999995</v>
      </c>
    </row>
    <row r="90" spans="1:4">
      <c r="A90" s="2957"/>
    </row>
    <row r="91" spans="1:4" ht="14.1" customHeight="1">
      <c r="A91" s="2953" t="s">
        <v>3088</v>
      </c>
      <c r="B91" s="2953">
        <v>202</v>
      </c>
      <c r="C91" s="2953">
        <v>2</v>
      </c>
      <c r="D91" s="2953">
        <v>88.32</v>
      </c>
    </row>
    <row r="92" spans="1:4" ht="14.1" customHeight="1">
      <c r="A92" s="2953"/>
      <c r="B92" s="2953">
        <v>203</v>
      </c>
      <c r="C92" s="2953">
        <v>2</v>
      </c>
      <c r="D92" s="2953">
        <v>223.84</v>
      </c>
    </row>
    <row r="93" spans="1:4" ht="14.1" customHeight="1">
      <c r="A93" s="2953"/>
      <c r="B93" s="2953">
        <v>204</v>
      </c>
      <c r="C93" s="2953">
        <v>2</v>
      </c>
      <c r="D93" s="2953">
        <v>348.68</v>
      </c>
    </row>
    <row r="94" spans="1:4" ht="14.1" customHeight="1">
      <c r="A94" s="2953"/>
      <c r="B94" s="2953">
        <v>207</v>
      </c>
      <c r="C94" s="2953">
        <v>2</v>
      </c>
      <c r="D94" s="2953">
        <v>104.87</v>
      </c>
    </row>
    <row r="95" spans="1:4" ht="14.1" customHeight="1">
      <c r="A95" s="2953"/>
      <c r="B95" s="2953">
        <v>208</v>
      </c>
      <c r="C95" s="2953">
        <v>2</v>
      </c>
      <c r="D95" s="2953">
        <v>26.97</v>
      </c>
    </row>
    <row r="96" spans="1:4" ht="14.1" customHeight="1">
      <c r="A96" s="2953"/>
      <c r="B96" s="2953">
        <v>209</v>
      </c>
      <c r="C96" s="2953">
        <v>2</v>
      </c>
      <c r="D96" s="2953">
        <v>17.399999999999999</v>
      </c>
    </row>
    <row r="97" spans="1:5" ht="14.1" customHeight="1">
      <c r="A97" s="2953"/>
      <c r="B97" s="2953">
        <v>210</v>
      </c>
      <c r="C97" s="2953">
        <v>2</v>
      </c>
      <c r="D97" s="2953">
        <v>23.18</v>
      </c>
    </row>
    <row r="98" spans="1:5" ht="14.1" customHeight="1">
      <c r="A98" s="2953"/>
      <c r="B98" s="2953">
        <v>211</v>
      </c>
      <c r="C98" s="2953">
        <v>2</v>
      </c>
      <c r="D98" s="2953">
        <v>24.84</v>
      </c>
    </row>
    <row r="99" spans="1:5" ht="14.1" customHeight="1">
      <c r="A99" s="2953"/>
      <c r="B99" s="2953">
        <v>215</v>
      </c>
      <c r="C99" s="2953">
        <v>2</v>
      </c>
      <c r="D99" s="2953">
        <v>17.559999999999999</v>
      </c>
    </row>
    <row r="100" spans="1:5" ht="14.1" customHeight="1">
      <c r="A100" s="2953"/>
      <c r="B100" s="2953">
        <v>216</v>
      </c>
      <c r="C100" s="2953">
        <v>2</v>
      </c>
      <c r="D100" s="2953">
        <v>72.42</v>
      </c>
    </row>
    <row r="101" spans="1:5" ht="14.1" customHeight="1">
      <c r="A101" s="2953"/>
      <c r="B101" s="2953">
        <v>217</v>
      </c>
      <c r="C101" s="2953">
        <v>2</v>
      </c>
      <c r="D101" s="2953">
        <v>32.15</v>
      </c>
    </row>
    <row r="102" spans="1:5" ht="14.1" customHeight="1">
      <c r="A102" s="2953"/>
      <c r="B102" s="2953">
        <v>218</v>
      </c>
      <c r="C102" s="2953">
        <v>2</v>
      </c>
      <c r="D102" s="2953">
        <v>19.73</v>
      </c>
      <c r="E102" s="2954" t="s">
        <v>3093</v>
      </c>
    </row>
    <row r="103" spans="1:5" ht="14.1" customHeight="1">
      <c r="A103" s="2953"/>
      <c r="B103" s="2953">
        <v>219</v>
      </c>
      <c r="C103" s="2953">
        <v>2</v>
      </c>
      <c r="D103" s="2953">
        <v>163.97</v>
      </c>
    </row>
    <row r="104" spans="1:5" ht="14.1" customHeight="1">
      <c r="A104" s="2953"/>
      <c r="B104" s="2953">
        <v>301</v>
      </c>
      <c r="C104" s="2953">
        <v>3</v>
      </c>
      <c r="D104" s="2953">
        <v>330</v>
      </c>
    </row>
    <row r="105" spans="1:5" ht="14.1" customHeight="1">
      <c r="A105" s="2953"/>
      <c r="B105" s="2953">
        <v>302</v>
      </c>
      <c r="C105" s="2953">
        <v>3</v>
      </c>
      <c r="D105" s="2953">
        <v>425.87</v>
      </c>
    </row>
    <row r="106" spans="1:5" ht="14.1" customHeight="1">
      <c r="A106" s="2953"/>
      <c r="B106" s="2953">
        <v>303</v>
      </c>
      <c r="C106" s="2953">
        <v>3</v>
      </c>
      <c r="D106" s="2953">
        <v>220.58</v>
      </c>
    </row>
    <row r="107" spans="1:5">
      <c r="A107" s="2953"/>
      <c r="B107" s="2953"/>
      <c r="C107" s="2953"/>
      <c r="D107" s="2955">
        <f>SUM(D91:D106)</f>
        <v>2140.3799999999997</v>
      </c>
    </row>
    <row r="108" spans="1:5">
      <c r="A108" s="2959"/>
      <c r="B108" s="2959"/>
      <c r="C108" s="2959"/>
      <c r="D108" s="2960"/>
    </row>
    <row r="109" spans="1:5">
      <c r="A109" s="2953" t="s">
        <v>3087</v>
      </c>
      <c r="B109" s="2953">
        <v>102</v>
      </c>
      <c r="C109" s="2953">
        <v>1</v>
      </c>
      <c r="D109" s="2955">
        <v>266.82</v>
      </c>
    </row>
    <row r="110" spans="1:5">
      <c r="A110" s="2959"/>
      <c r="B110" s="2959"/>
      <c r="C110" s="2959"/>
      <c r="D110" s="2960"/>
    </row>
    <row r="111" spans="1:5" ht="35.1" customHeight="1">
      <c r="A111" s="2963" t="s">
        <v>3092</v>
      </c>
      <c r="B111" s="2964"/>
      <c r="C111" s="2964"/>
      <c r="D111" s="2964">
        <f>D75+D89+D107+D109</f>
        <v>26649.319999999992</v>
      </c>
    </row>
    <row r="112" spans="1:5">
      <c r="A112" s="2959"/>
      <c r="B112" s="2959"/>
      <c r="C112" s="2959"/>
      <c r="D112" s="2960"/>
    </row>
    <row r="113" spans="1:4">
      <c r="A113" s="2959"/>
      <c r="B113" s="2959"/>
      <c r="C113" s="2959"/>
      <c r="D113" s="2960"/>
    </row>
    <row r="114" spans="1:4">
      <c r="A114" s="2959"/>
      <c r="B114" s="2959"/>
      <c r="C114" s="2959"/>
      <c r="D114" s="2960"/>
    </row>
    <row r="115" spans="1:4">
      <c r="A115" s="2959"/>
      <c r="B115" s="2959"/>
      <c r="C115" s="2959"/>
      <c r="D115" s="2960"/>
    </row>
    <row r="116" spans="1:4">
      <c r="A116" s="2959"/>
      <c r="B116" s="2959"/>
      <c r="C116" s="2959"/>
      <c r="D116" s="2960"/>
    </row>
    <row r="117" spans="1:4">
      <c r="A117" s="2959"/>
      <c r="B117" s="2959"/>
      <c r="C117" s="2959"/>
      <c r="D117" s="2960"/>
    </row>
    <row r="118" spans="1:4">
      <c r="A118" s="2959"/>
      <c r="B118" s="2959"/>
      <c r="C118" s="2959"/>
      <c r="D118" s="2960"/>
    </row>
    <row r="119" spans="1:4">
      <c r="A119" s="2959"/>
      <c r="B119" s="2959"/>
      <c r="C119" s="2959"/>
      <c r="D119" s="2960"/>
    </row>
    <row r="120" spans="1:4">
      <c r="A120" s="2959"/>
      <c r="B120" s="2959"/>
      <c r="C120" s="2959"/>
      <c r="D120" s="2960"/>
    </row>
    <row r="121" spans="1:4">
      <c r="A121" s="2959"/>
      <c r="B121" s="2959"/>
      <c r="C121" s="2959"/>
      <c r="D121" s="2960"/>
    </row>
    <row r="122" spans="1:4">
      <c r="A122" s="2959"/>
      <c r="B122" s="2959"/>
      <c r="C122" s="2959"/>
      <c r="D122" s="2960"/>
    </row>
    <row r="123" spans="1:4">
      <c r="A123" s="2959"/>
      <c r="B123" s="2959"/>
      <c r="C123" s="2959"/>
      <c r="D123" s="2960"/>
    </row>
    <row r="124" spans="1:4">
      <c r="A124" s="2959"/>
      <c r="B124" s="2959"/>
      <c r="C124" s="2959"/>
      <c r="D124" s="2960"/>
    </row>
    <row r="125" spans="1:4">
      <c r="A125" s="2959"/>
      <c r="B125" s="2959"/>
      <c r="C125" s="2959"/>
      <c r="D125" s="2960"/>
    </row>
    <row r="126" spans="1:4">
      <c r="A126" s="2959"/>
      <c r="B126" s="2959"/>
      <c r="C126" s="2959"/>
      <c r="D126" s="2960"/>
    </row>
    <row r="127" spans="1:4">
      <c r="A127" s="2959"/>
      <c r="B127" s="2959"/>
      <c r="C127" s="2959"/>
      <c r="D127" s="2960"/>
    </row>
    <row r="128" spans="1:4">
      <c r="A128" s="2959"/>
      <c r="B128" s="2959"/>
      <c r="C128" s="2959"/>
      <c r="D128" s="2960"/>
    </row>
    <row r="129" spans="1:4">
      <c r="A129" s="2959"/>
      <c r="B129" s="2959"/>
      <c r="C129" s="2959"/>
      <c r="D129" s="2960"/>
    </row>
    <row r="130" spans="1:4">
      <c r="A130" s="2959"/>
      <c r="B130" s="2959"/>
      <c r="C130" s="2959"/>
      <c r="D130" s="2960"/>
    </row>
    <row r="131" spans="1:4">
      <c r="D131" s="2961"/>
    </row>
  </sheetData>
  <mergeCells count="11">
    <mergeCell ref="E34:E40"/>
    <mergeCell ref="E2:E6"/>
    <mergeCell ref="E7:E12"/>
    <mergeCell ref="E13:E17"/>
    <mergeCell ref="E18:E24"/>
    <mergeCell ref="E25:E33"/>
    <mergeCell ref="E41:E47"/>
    <mergeCell ref="E48:E54"/>
    <mergeCell ref="E55:E60"/>
    <mergeCell ref="E61:E67"/>
    <mergeCell ref="E68:E74"/>
  </mergeCells>
  <phoneticPr fontId="143" type="noConversion"/>
  <pageMargins left="0.7" right="0.7" top="0.75" bottom="0.75" header="0.3" footer="0.3"/>
  <pageSetup paperSize="9" orientation="landscape"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U60"/>
  <sheetViews>
    <sheetView workbookViewId="0">
      <selection sqref="A1:G10"/>
    </sheetView>
  </sheetViews>
  <sheetFormatPr defaultColWidth="11" defaultRowHeight="13.5"/>
  <cols>
    <col min="1" max="1" width="15.625" style="3038" customWidth="1"/>
    <col min="2" max="2" width="14" style="3038" customWidth="1"/>
    <col min="3" max="3" width="20.125" style="3038" customWidth="1"/>
    <col min="4" max="4" width="13.125" style="3038" customWidth="1"/>
    <col min="5" max="5" width="8.375" style="3038" customWidth="1"/>
    <col min="6" max="6" width="20.125" style="3038" customWidth="1"/>
    <col min="7" max="16384" width="11" style="3038"/>
  </cols>
  <sheetData>
    <row r="1" spans="1:20">
      <c r="A1" s="2953" t="s">
        <v>3250</v>
      </c>
      <c r="B1" s="3037"/>
      <c r="C1" s="2953" t="s">
        <v>3255</v>
      </c>
      <c r="D1" s="2953" t="s">
        <v>3257</v>
      </c>
      <c r="E1" s="2953" t="s">
        <v>3253</v>
      </c>
      <c r="F1" s="2953" t="s">
        <v>3254</v>
      </c>
      <c r="G1" s="3037" t="s">
        <v>3260</v>
      </c>
    </row>
    <row r="2" spans="1:20">
      <c r="A2" s="2953" t="s">
        <v>3252</v>
      </c>
      <c r="B2" s="2953" t="s">
        <v>3251</v>
      </c>
      <c r="C2" s="2955">
        <v>102704.8</v>
      </c>
      <c r="D2" s="3416" t="s">
        <v>3258</v>
      </c>
      <c r="E2" s="2953">
        <v>-213</v>
      </c>
      <c r="F2" s="2953">
        <v>16585.34</v>
      </c>
      <c r="G2" s="3413">
        <f>SUM(F2:F5)</f>
        <v>52856.979999999996</v>
      </c>
    </row>
    <row r="3" spans="1:20">
      <c r="A3" s="2953"/>
      <c r="B3" s="2953"/>
      <c r="C3" s="2953"/>
      <c r="D3" s="3416"/>
      <c r="E3" s="2953">
        <v>-247</v>
      </c>
      <c r="F3" s="2953">
        <v>15723.39</v>
      </c>
      <c r="G3" s="3414"/>
    </row>
    <row r="4" spans="1:20">
      <c r="A4" s="2953"/>
      <c r="B4" s="2953"/>
      <c r="C4" s="2953"/>
      <c r="D4" s="3416"/>
      <c r="E4" s="2953">
        <v>-259</v>
      </c>
      <c r="F4" s="2953">
        <v>2754.04</v>
      </c>
      <c r="G4" s="3414"/>
    </row>
    <row r="5" spans="1:20">
      <c r="A5" s="2953"/>
      <c r="B5" s="2953"/>
      <c r="C5" s="2953"/>
      <c r="D5" s="3416"/>
      <c r="E5" s="2953">
        <v>-275</v>
      </c>
      <c r="F5" s="2953">
        <v>17794.21</v>
      </c>
      <c r="G5" s="3415"/>
    </row>
    <row r="6" spans="1:20">
      <c r="A6" s="2953"/>
      <c r="B6" s="2953"/>
      <c r="C6" s="2953"/>
      <c r="D6" s="3417" t="s">
        <v>3259</v>
      </c>
      <c r="E6" s="2953">
        <v>-109</v>
      </c>
      <c r="F6" s="2953">
        <v>17173.29</v>
      </c>
      <c r="G6" s="3413">
        <f>SUM(F6:F9)</f>
        <v>49847.820000000007</v>
      </c>
    </row>
    <row r="7" spans="1:20">
      <c r="A7" s="2953"/>
      <c r="B7" s="2953"/>
      <c r="C7" s="2953"/>
      <c r="D7" s="3417"/>
      <c r="E7" s="2953">
        <v>-134</v>
      </c>
      <c r="F7" s="2953">
        <v>14584.69</v>
      </c>
      <c r="G7" s="3414"/>
    </row>
    <row r="8" spans="1:20">
      <c r="A8" s="2953"/>
      <c r="B8" s="2953"/>
      <c r="C8" s="2953"/>
      <c r="D8" s="3417"/>
      <c r="E8" s="2953">
        <v>-142</v>
      </c>
      <c r="F8" s="2953">
        <v>2621.12</v>
      </c>
      <c r="G8" s="3414"/>
      <c r="T8" s="3038">
        <v>1177.26</v>
      </c>
    </row>
    <row r="9" spans="1:20">
      <c r="A9" s="2953"/>
      <c r="B9" s="2953"/>
      <c r="C9" s="2953"/>
      <c r="D9" s="3417"/>
      <c r="E9" s="2953">
        <v>-157</v>
      </c>
      <c r="F9" s="2953">
        <v>15468.72</v>
      </c>
      <c r="G9" s="3415"/>
    </row>
    <row r="10" spans="1:20">
      <c r="A10" s="2954"/>
      <c r="B10" s="2954"/>
      <c r="C10" s="2954"/>
      <c r="D10" s="2954"/>
      <c r="E10" s="2954"/>
      <c r="F10" s="3039">
        <f>SUM(F2:F9)</f>
        <v>102704.79999999999</v>
      </c>
    </row>
    <row r="15" spans="1:20">
      <c r="T15" s="3038">
        <v>1157.43</v>
      </c>
    </row>
    <row r="16" spans="1:20">
      <c r="T16" s="3038">
        <v>361.2</v>
      </c>
    </row>
    <row r="17" spans="20:20">
      <c r="T17" s="3038">
        <v>361.3</v>
      </c>
    </row>
    <row r="18" spans="20:20">
      <c r="T18" s="3038">
        <v>361.4</v>
      </c>
    </row>
    <row r="19" spans="20:20">
      <c r="T19" s="3038">
        <v>361.5</v>
      </c>
    </row>
    <row r="20" spans="20:20">
      <c r="T20" s="3038">
        <v>361.6</v>
      </c>
    </row>
    <row r="21" spans="20:20">
      <c r="T21" s="3038">
        <v>361.7</v>
      </c>
    </row>
    <row r="22" spans="20:20">
      <c r="T22" s="3038">
        <v>361.76</v>
      </c>
    </row>
    <row r="23" spans="20:20">
      <c r="T23" s="3038">
        <v>361.77</v>
      </c>
    </row>
    <row r="27" spans="20:20">
      <c r="T27" s="3038">
        <v>6702</v>
      </c>
    </row>
    <row r="28" spans="20:20">
      <c r="T28" s="3038">
        <v>4589</v>
      </c>
    </row>
    <row r="29" spans="20:20">
      <c r="T29" s="3038">
        <v>3978</v>
      </c>
    </row>
    <row r="30" spans="20:20">
      <c r="T30" s="3038">
        <v>3831</v>
      </c>
    </row>
    <row r="31" spans="20:20">
      <c r="T31" s="3038">
        <v>6202</v>
      </c>
    </row>
    <row r="32" spans="20:20">
      <c r="T32" s="3038">
        <v>4333</v>
      </c>
    </row>
    <row r="33" spans="20:20">
      <c r="T33" s="3040">
        <f>SUM(T8:T32)</f>
        <v>34861.919999999998</v>
      </c>
    </row>
    <row r="47" spans="20:20">
      <c r="T47" s="3037"/>
    </row>
    <row r="48" spans="20:20">
      <c r="T48" s="3037"/>
    </row>
    <row r="49" spans="20:21">
      <c r="T49" s="3037">
        <v>37560</v>
      </c>
      <c r="U49" s="3038" t="s">
        <v>3097</v>
      </c>
    </row>
    <row r="50" spans="20:21">
      <c r="T50" s="3037"/>
    </row>
    <row r="51" spans="20:21">
      <c r="T51" s="3037"/>
    </row>
    <row r="52" spans="20:21">
      <c r="T52" s="3037"/>
    </row>
    <row r="53" spans="20:21">
      <c r="T53" s="3037"/>
    </row>
    <row r="54" spans="20:21">
      <c r="T54" s="3037"/>
    </row>
    <row r="55" spans="20:21">
      <c r="T55" s="3037">
        <v>43385</v>
      </c>
      <c r="U55" s="3038" t="s">
        <v>3098</v>
      </c>
    </row>
    <row r="56" spans="20:21">
      <c r="T56" s="3037"/>
    </row>
    <row r="57" spans="20:21">
      <c r="T57" s="3037"/>
    </row>
    <row r="58" spans="20:21">
      <c r="T58" s="3037"/>
    </row>
    <row r="59" spans="20:21">
      <c r="T59" s="3041">
        <f>T49+T55</f>
        <v>80945</v>
      </c>
      <c r="U59" s="3038" t="s">
        <v>3096</v>
      </c>
    </row>
    <row r="60" spans="20:21">
      <c r="T60" s="3037"/>
    </row>
  </sheetData>
  <mergeCells count="4">
    <mergeCell ref="D2:D5"/>
    <mergeCell ref="D6:D9"/>
    <mergeCell ref="G2:G5"/>
    <mergeCell ref="G6:G9"/>
  </mergeCells>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4"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875" style="2382" customWidth="1"/>
    <col min="10" max="10" width="2.625" style="2381" customWidth="1"/>
    <col min="11" max="11" width="11.875" style="2381" customWidth="1"/>
    <col min="12" max="12" width="16.875" style="2382" customWidth="1"/>
    <col min="13" max="13" width="2.625" style="2381" customWidth="1"/>
    <col min="14" max="14" width="11.875" style="2381" customWidth="1"/>
    <col min="15" max="15" width="16.875" style="2382" customWidth="1"/>
    <col min="16" max="16" width="2.625" style="2381" customWidth="1"/>
    <col min="17" max="17" width="11.875" style="2381" customWidth="1"/>
    <col min="18" max="18" width="16.875" style="2383" customWidth="1"/>
    <col min="19" max="29" width="9" style="2353"/>
    <col min="30" max="16384" width="9" style="2354"/>
  </cols>
  <sheetData>
    <row r="1" spans="1:29" s="2347" customFormat="1" ht="19.5" thickBot="1">
      <c r="A1" s="3418" t="s">
        <v>2079</v>
      </c>
      <c r="B1" s="3419"/>
      <c r="C1" s="3419"/>
      <c r="D1" s="3419"/>
      <c r="E1" s="3419"/>
      <c r="F1" s="3419"/>
      <c r="G1" s="3419"/>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2080</v>
      </c>
      <c r="D2" s="2351"/>
      <c r="E2" s="2352"/>
      <c r="F2" s="2272"/>
      <c r="G2" s="2350" t="s">
        <v>2081</v>
      </c>
      <c r="H2" s="2353"/>
      <c r="I2" s="2353"/>
      <c r="J2" s="2353"/>
      <c r="K2" s="2353"/>
      <c r="L2" s="2353"/>
      <c r="M2" s="2353"/>
      <c r="N2" s="2353"/>
      <c r="O2" s="2353"/>
      <c r="P2" s="2353"/>
      <c r="Q2" s="2353"/>
      <c r="R2" s="2353"/>
    </row>
    <row r="3" spans="1:29" ht="54">
      <c r="A3" s="414" t="s">
        <v>2082</v>
      </c>
      <c r="B3" s="1264" t="s">
        <v>2083</v>
      </c>
      <c r="C3" s="2355" t="s">
        <v>2084</v>
      </c>
      <c r="D3" s="2356"/>
      <c r="E3" s="430" t="s">
        <v>2082</v>
      </c>
      <c r="F3" s="2357" t="s">
        <v>2085</v>
      </c>
      <c r="G3" s="2358" t="s">
        <v>2086</v>
      </c>
      <c r="H3" s="2353"/>
      <c r="I3" s="2353"/>
      <c r="J3" s="2353"/>
      <c r="K3" s="2353"/>
      <c r="L3" s="2353"/>
      <c r="M3" s="2353"/>
      <c r="N3" s="2353"/>
      <c r="O3" s="2353"/>
      <c r="P3" s="2353"/>
      <c r="Q3" s="2353"/>
      <c r="R3" s="2353"/>
    </row>
    <row r="4" spans="1:29" ht="41.25">
      <c r="A4" s="430"/>
      <c r="B4" s="1783" t="s">
        <v>2087</v>
      </c>
      <c r="C4" s="2359" t="s">
        <v>2088</v>
      </c>
      <c r="D4" s="2356"/>
      <c r="E4" s="2360"/>
      <c r="F4" s="42" t="s">
        <v>2089</v>
      </c>
      <c r="G4" s="2361" t="s">
        <v>2090</v>
      </c>
      <c r="H4" s="2353"/>
      <c r="I4" s="2353"/>
      <c r="J4" s="2353"/>
      <c r="K4" s="2353"/>
      <c r="L4" s="2353"/>
      <c r="M4" s="2353"/>
      <c r="N4" s="2353"/>
      <c r="O4" s="2353"/>
      <c r="P4" s="2353"/>
      <c r="Q4" s="2353"/>
      <c r="R4" s="2353"/>
    </row>
    <row r="5" spans="1:29" ht="41.25">
      <c r="A5" s="430"/>
      <c r="B5" s="1783" t="s">
        <v>2091</v>
      </c>
      <c r="C5" s="2359" t="s">
        <v>2092</v>
      </c>
      <c r="D5" s="2356"/>
      <c r="E5" s="2360"/>
      <c r="F5" s="1783" t="s">
        <v>2093</v>
      </c>
      <c r="G5" s="2361" t="s">
        <v>2094</v>
      </c>
      <c r="H5" s="2353"/>
      <c r="I5" s="2353"/>
      <c r="J5" s="2353"/>
      <c r="K5" s="2353"/>
      <c r="L5" s="2353"/>
      <c r="M5" s="2353"/>
      <c r="N5" s="2353"/>
      <c r="O5" s="2353"/>
      <c r="P5" s="2353"/>
      <c r="Q5" s="2353"/>
      <c r="R5" s="2353"/>
    </row>
    <row r="6" spans="1:29" ht="54">
      <c r="A6" s="430"/>
      <c r="B6" s="1783" t="s">
        <v>2095</v>
      </c>
      <c r="C6" s="2361" t="s">
        <v>2090</v>
      </c>
      <c r="D6" s="2356"/>
      <c r="E6" s="2360"/>
      <c r="F6" s="1783" t="s">
        <v>2096</v>
      </c>
      <c r="G6" s="2361" t="s">
        <v>2097</v>
      </c>
      <c r="H6" s="2353"/>
      <c r="I6" s="2353"/>
      <c r="J6" s="2353"/>
      <c r="K6" s="2353"/>
      <c r="L6" s="2353"/>
      <c r="M6" s="2353"/>
      <c r="N6" s="2353"/>
      <c r="O6" s="2353"/>
      <c r="P6" s="2353"/>
      <c r="Q6" s="2353"/>
      <c r="R6" s="2353"/>
    </row>
    <row r="7" spans="1:29" ht="41.25" thickBot="1">
      <c r="A7" s="430"/>
      <c r="B7" s="1783" t="s">
        <v>2093</v>
      </c>
      <c r="C7" s="2361" t="s">
        <v>2094</v>
      </c>
      <c r="D7" s="2362"/>
      <c r="E7" s="2363"/>
      <c r="F7" s="2364" t="s">
        <v>2098</v>
      </c>
      <c r="G7" s="2365" t="s">
        <v>2099</v>
      </c>
      <c r="H7" s="2353"/>
      <c r="I7" s="2353"/>
      <c r="J7" s="2353"/>
      <c r="K7" s="2353"/>
      <c r="L7" s="2353"/>
      <c r="M7" s="2353"/>
      <c r="N7" s="2353"/>
      <c r="O7" s="2353"/>
      <c r="P7" s="2353"/>
      <c r="Q7" s="2353"/>
      <c r="R7" s="2353"/>
    </row>
    <row r="8" spans="1:29" ht="27">
      <c r="A8" s="430"/>
      <c r="B8" s="1783" t="s">
        <v>2096</v>
      </c>
      <c r="C8" s="2361" t="s">
        <v>2097</v>
      </c>
      <c r="D8" s="2362"/>
      <c r="E8" s="2362"/>
      <c r="F8" s="1132"/>
      <c r="G8" s="1132"/>
      <c r="H8" s="2353"/>
      <c r="I8" s="2353"/>
      <c r="J8" s="2353"/>
      <c r="K8" s="2353"/>
      <c r="L8" s="2353"/>
      <c r="M8" s="2353"/>
      <c r="N8" s="2353"/>
      <c r="O8" s="2353"/>
      <c r="P8" s="2353"/>
      <c r="Q8" s="2353"/>
      <c r="R8" s="2353"/>
    </row>
    <row r="9" spans="1:29" ht="27">
      <c r="A9" s="430"/>
      <c r="B9" s="1783" t="s">
        <v>2100</v>
      </c>
      <c r="C9" s="2359" t="s">
        <v>2101</v>
      </c>
      <c r="D9" s="2356"/>
      <c r="E9" s="2362"/>
      <c r="F9" s="1132"/>
      <c r="G9" s="1132"/>
      <c r="H9" s="2353"/>
      <c r="I9" s="2353"/>
      <c r="J9" s="2353"/>
      <c r="K9" s="2353"/>
      <c r="L9" s="2353"/>
      <c r="M9" s="2353"/>
      <c r="N9" s="2353"/>
      <c r="O9" s="2353"/>
      <c r="P9" s="2353"/>
      <c r="Q9" s="2353"/>
      <c r="R9" s="2353"/>
    </row>
    <row r="10" spans="1:29" s="116" customFormat="1" ht="15.75" thickBot="1">
      <c r="A10" s="2366"/>
      <c r="B10" s="2367" t="s">
        <v>2102</v>
      </c>
      <c r="C10" s="2368"/>
      <c r="D10" s="2356"/>
      <c r="E10" s="2356"/>
      <c r="F10" s="1132"/>
      <c r="G10" s="1132"/>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6" customFormat="1" ht="15">
      <c r="A11" s="2372"/>
      <c r="B11" s="2362"/>
      <c r="C11" s="2356"/>
      <c r="D11" s="2356"/>
      <c r="E11" s="2356"/>
      <c r="F11" s="2362"/>
      <c r="G11" s="1150"/>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8">
      <c r="A12" s="2372"/>
      <c r="B12" s="2362"/>
      <c r="C12" s="2356"/>
      <c r="D12" s="2373"/>
      <c r="E12" s="2356"/>
      <c r="F12" s="2362"/>
      <c r="G12" s="1150"/>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9.5" thickBot="1">
      <c r="A13" s="2379" t="s">
        <v>2103</v>
      </c>
      <c r="B13" s="2373"/>
      <c r="C13" s="2373"/>
      <c r="D13" s="2380"/>
      <c r="E13" s="2373"/>
      <c r="F13" s="2373"/>
      <c r="G13" s="2373"/>
    </row>
    <row r="14" spans="1:29" ht="15.75" thickBot="1">
      <c r="A14" s="2384"/>
      <c r="B14" s="2385"/>
      <c r="C14" s="2386" t="s">
        <v>2104</v>
      </c>
      <c r="D14" s="2356"/>
      <c r="E14" s="2387"/>
      <c r="F14" s="2387"/>
      <c r="G14" s="2350" t="s">
        <v>2105</v>
      </c>
    </row>
    <row r="15" spans="1:29" ht="57">
      <c r="A15" s="67" t="s">
        <v>2106</v>
      </c>
      <c r="B15" s="1263" t="s">
        <v>2083</v>
      </c>
      <c r="C15" s="2388" t="str">
        <f>C3</f>
        <v>估价对象周边居住用地比例、居住小区规模和社区发展完善程度，综合评价居住社区成熟度一般</v>
      </c>
      <c r="D15" s="2356"/>
      <c r="E15" s="2389" t="s">
        <v>2107</v>
      </c>
      <c r="F15" s="1263" t="s">
        <v>2108</v>
      </c>
      <c r="G15" s="134" t="str">
        <f>G3</f>
        <v>估价对象位于XX开发区，园区建设成熟度XX，产业集聚程度XX</v>
      </c>
    </row>
    <row r="16" spans="1:29" ht="42.75">
      <c r="A16" s="644"/>
      <c r="B16" s="2390" t="s">
        <v>2087</v>
      </c>
      <c r="C16" s="2391" t="str">
        <f>C4</f>
        <v>估价对象位于XX商圈，周边商业氛围成熟，人流量大，商业繁华度好</v>
      </c>
      <c r="D16" s="2356"/>
      <c r="E16" s="2392"/>
      <c r="F16" s="2393" t="s">
        <v>2089</v>
      </c>
      <c r="G16" s="135" t="str">
        <f>G4</f>
        <v>估价对象周边道路状况、公共交通通达情况、停车便捷程度，综合评价交通便捷度较好</v>
      </c>
    </row>
    <row r="17" spans="1:18" ht="42.75">
      <c r="A17" s="644"/>
      <c r="B17" s="2390" t="s">
        <v>2091</v>
      </c>
      <c r="C17" s="2391" t="str">
        <f>C5</f>
        <v>估价对象位于XX商圈，周边办公楼项目较多，入驻率高，办公集聚程度较好</v>
      </c>
      <c r="D17" s="2362"/>
      <c r="E17" s="2392"/>
      <c r="F17" s="2393" t="s">
        <v>2109</v>
      </c>
      <c r="G17" s="1565"/>
    </row>
    <row r="18" spans="1:18" ht="57">
      <c r="A18" s="644"/>
      <c r="B18" s="2393" t="s">
        <v>2095</v>
      </c>
      <c r="C18" s="135" t="str">
        <f>C6</f>
        <v>估价对象周边道路状况、公共交通通达情况、停车便捷程度，综合评价交通便捷度较好</v>
      </c>
      <c r="D18" s="2362"/>
      <c r="E18" s="2392"/>
      <c r="F18" s="2393" t="s">
        <v>2098</v>
      </c>
      <c r="G18" s="135" t="str">
        <f>G7</f>
        <v>该园区内是否有污染型企业，绿化情况，卫生条件，整体环境状况判断</v>
      </c>
    </row>
    <row r="19" spans="1:18" ht="28.5">
      <c r="A19" s="644"/>
      <c r="B19" s="2393" t="s">
        <v>2110</v>
      </c>
      <c r="C19" s="1565"/>
      <c r="D19" s="2356"/>
      <c r="E19" s="2392"/>
      <c r="F19" s="1783" t="s">
        <v>2093</v>
      </c>
      <c r="G19" s="135" t="str">
        <f>G5</f>
        <v>估价对象所在区域公共配套设施齐备情况</v>
      </c>
    </row>
    <row r="20" spans="1:18" ht="28.5">
      <c r="A20" s="644"/>
      <c r="B20" s="2393" t="s">
        <v>2111</v>
      </c>
      <c r="C20" s="2391" t="str">
        <f>C9</f>
        <v>区域自然环境：；人文环境；综合评价环境状况一般</v>
      </c>
      <c r="D20" s="2362"/>
      <c r="E20" s="2392"/>
      <c r="F20" s="1783" t="s">
        <v>2112</v>
      </c>
      <c r="G20" s="135" t="str">
        <f>G6</f>
        <v>估价对象所在区域基础设施水平</v>
      </c>
    </row>
    <row r="21" spans="1:18" ht="28.5">
      <c r="A21" s="644"/>
      <c r="B21" s="1783" t="s">
        <v>2093</v>
      </c>
      <c r="C21" s="135" t="str">
        <f>C7</f>
        <v>估价对象所在区域公共配套设施齐备情况</v>
      </c>
      <c r="D21" s="2356"/>
      <c r="E21" s="2392"/>
      <c r="F21" s="2393" t="s">
        <v>2113</v>
      </c>
      <c r="G21" s="2394"/>
    </row>
    <row r="22" spans="1:18" ht="13.5" customHeight="1">
      <c r="A22" s="644"/>
      <c r="B22" s="1783" t="s">
        <v>2096</v>
      </c>
      <c r="C22" s="135" t="str">
        <f>C8</f>
        <v>估价对象所在区域基础设施水平</v>
      </c>
      <c r="D22" s="2356"/>
      <c r="E22" s="2392"/>
      <c r="F22" s="2393" t="s">
        <v>2102</v>
      </c>
      <c r="G22" s="1565"/>
    </row>
    <row r="23" spans="1:18" s="2353" customFormat="1" ht="15.75" thickBot="1">
      <c r="A23" s="644"/>
      <c r="B23" s="2393" t="s">
        <v>2113</v>
      </c>
      <c r="C23" s="2394"/>
      <c r="D23" s="2381"/>
      <c r="E23" s="2395"/>
      <c r="F23" s="2396" t="s">
        <v>2114</v>
      </c>
      <c r="G23" s="2397"/>
      <c r="H23" s="2381"/>
      <c r="I23" s="2382"/>
      <c r="J23" s="2381"/>
      <c r="K23" s="2381"/>
      <c r="L23" s="2382"/>
      <c r="M23" s="2381"/>
      <c r="N23" s="2381"/>
      <c r="O23" s="2382"/>
      <c r="P23" s="2381"/>
      <c r="Q23" s="2381"/>
      <c r="R23" s="2383"/>
    </row>
    <row r="24" spans="1:18" s="2353" customFormat="1" ht="15.75" thickBot="1">
      <c r="A24" s="2398"/>
      <c r="B24" s="2396" t="s">
        <v>2115</v>
      </c>
      <c r="C24" s="136">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47"/>
  <sheetViews>
    <sheetView tabSelected="1" view="pageBreakPreview" topLeftCell="A16" zoomScaleSheetLayoutView="100" workbookViewId="0">
      <selection activeCell="F46" sqref="F46"/>
    </sheetView>
  </sheetViews>
  <sheetFormatPr defaultColWidth="9" defaultRowHeight="13.5"/>
  <cols>
    <col min="1" max="1" width="6.375" style="2968" customWidth="1"/>
    <col min="2" max="2" width="19.375" style="3034" customWidth="1"/>
    <col min="3" max="3" width="6.125" style="3035" customWidth="1"/>
    <col min="4" max="4" width="6.375" style="3035" customWidth="1"/>
    <col min="5" max="5" width="7.375" style="3035" customWidth="1"/>
    <col min="6" max="6" width="10.125" style="3035" customWidth="1"/>
    <col min="7" max="7" width="19.375" style="3036" customWidth="1"/>
    <col min="8" max="8" width="19.5" style="2968" customWidth="1"/>
    <col min="9" max="9" width="8.625" style="2968" customWidth="1"/>
    <col min="10" max="10" width="10.5" style="2965" customWidth="1"/>
    <col min="11" max="11" width="4.875" style="2995" customWidth="1"/>
    <col min="12" max="12" width="16.375" style="2995" customWidth="1"/>
    <col min="13" max="16" width="8.125" style="2968" customWidth="1"/>
    <col min="17" max="16384" width="9" style="2968"/>
  </cols>
  <sheetData>
    <row r="1" spans="1:16">
      <c r="A1" s="3420" t="s">
        <v>3102</v>
      </c>
      <c r="B1" s="3420"/>
      <c r="C1" s="3420"/>
      <c r="D1" s="3420"/>
      <c r="E1" s="3420"/>
      <c r="F1" s="3420"/>
      <c r="G1" s="3420"/>
      <c r="H1" s="3420"/>
      <c r="I1" s="3420"/>
      <c r="K1" s="3421" t="s">
        <v>3103</v>
      </c>
      <c r="L1" s="2966" t="s">
        <v>3104</v>
      </c>
      <c r="M1" s="2967">
        <v>0</v>
      </c>
      <c r="N1" s="1631"/>
      <c r="O1" s="1631"/>
    </row>
    <row r="2" spans="1:16" ht="15.75" customHeight="1">
      <c r="A2" s="2969" t="s">
        <v>3105</v>
      </c>
      <c r="B2" s="2970" t="s">
        <v>3106</v>
      </c>
      <c r="C2" s="3422" t="s">
        <v>3107</v>
      </c>
      <c r="D2" s="3423"/>
      <c r="E2" s="3423"/>
      <c r="F2" s="3424"/>
      <c r="G2" s="2971" t="s">
        <v>3108</v>
      </c>
      <c r="H2" s="3425" t="s">
        <v>1076</v>
      </c>
      <c r="I2" s="3425"/>
      <c r="K2" s="3421"/>
      <c r="L2" s="2966" t="s">
        <v>3109</v>
      </c>
      <c r="M2" s="2972" t="s">
        <v>3110</v>
      </c>
      <c r="N2" s="2973"/>
      <c r="O2" s="2973"/>
    </row>
    <row r="3" spans="1:16">
      <c r="A3" s="2974" t="s">
        <v>3111</v>
      </c>
      <c r="B3" s="2975" t="s">
        <v>3112</v>
      </c>
      <c r="C3" s="3426">
        <f ca="1">收益法倒推租金!F46</f>
        <v>1577.5200000000004</v>
      </c>
      <c r="D3" s="3427"/>
      <c r="E3" s="3427"/>
      <c r="F3" s="3428"/>
      <c r="G3" s="2974" t="s">
        <v>3113</v>
      </c>
      <c r="H3" s="2976" t="s">
        <v>3114</v>
      </c>
      <c r="I3" s="3046">
        <f>1</f>
        <v>1</v>
      </c>
      <c r="K3" s="3421"/>
      <c r="L3" s="2966" t="s">
        <v>3115</v>
      </c>
      <c r="M3" s="2972" t="s">
        <v>3116</v>
      </c>
      <c r="N3" s="2973"/>
      <c r="O3" s="2977"/>
    </row>
    <row r="4" spans="1:16">
      <c r="A4" s="3429" t="s">
        <v>3117</v>
      </c>
      <c r="B4" s="3430" t="s">
        <v>3118</v>
      </c>
      <c r="C4" s="3431">
        <f ca="1">ROUND(C3*(I4-I6)/(1-((1+I6)/(1+I4))^I5),0)</f>
        <v>86</v>
      </c>
      <c r="D4" s="3432"/>
      <c r="E4" s="3432"/>
      <c r="F4" s="3433"/>
      <c r="G4" s="3429" t="s">
        <v>3119</v>
      </c>
      <c r="H4" s="2978" t="s">
        <v>3120</v>
      </c>
      <c r="I4" s="2979">
        <v>0.05</v>
      </c>
      <c r="K4" s="3421"/>
      <c r="L4" s="2966" t="s">
        <v>1077</v>
      </c>
      <c r="M4" s="2980">
        <f>ROUND(1-(1-M1)*M2/M3,2)</f>
        <v>0.55000000000000004</v>
      </c>
      <c r="N4" s="2973"/>
      <c r="O4" s="2973"/>
    </row>
    <row r="5" spans="1:16" s="2984" customFormat="1" ht="18" customHeight="1">
      <c r="A5" s="3429"/>
      <c r="B5" s="3430"/>
      <c r="C5" s="3434"/>
      <c r="D5" s="3435"/>
      <c r="E5" s="3435"/>
      <c r="F5" s="3436"/>
      <c r="G5" s="3429"/>
      <c r="H5" s="2975" t="s">
        <v>3121</v>
      </c>
      <c r="I5" s="2981">
        <v>40</v>
      </c>
      <c r="J5" s="2982"/>
      <c r="K5" s="3421"/>
      <c r="L5" s="2966" t="s">
        <v>3122</v>
      </c>
      <c r="M5" s="2983">
        <v>0.5</v>
      </c>
      <c r="N5" s="2973"/>
      <c r="O5" s="2973"/>
    </row>
    <row r="6" spans="1:16" s="2984" customFormat="1" ht="18" customHeight="1">
      <c r="A6" s="3429"/>
      <c r="B6" s="3430"/>
      <c r="C6" s="3437"/>
      <c r="D6" s="3438"/>
      <c r="E6" s="3438"/>
      <c r="F6" s="3439"/>
      <c r="G6" s="3429"/>
      <c r="H6" s="2975" t="s">
        <v>3123</v>
      </c>
      <c r="I6" s="2979">
        <v>5.0000000000000001E-3</v>
      </c>
      <c r="J6" s="2985"/>
      <c r="K6" s="3440" t="s">
        <v>3124</v>
      </c>
      <c r="L6" s="2986" t="s">
        <v>3125</v>
      </c>
      <c r="M6" s="2987" t="s">
        <v>3126</v>
      </c>
      <c r="N6" s="2987" t="s">
        <v>3127</v>
      </c>
      <c r="O6" s="2987" t="s">
        <v>3128</v>
      </c>
      <c r="P6" s="2987" t="s">
        <v>3129</v>
      </c>
    </row>
    <row r="7" spans="1:16" s="2984" customFormat="1" ht="17.25" customHeight="1">
      <c r="A7" s="2974" t="s">
        <v>3130</v>
      </c>
      <c r="B7" s="2975" t="s">
        <v>3131</v>
      </c>
      <c r="C7" s="3422">
        <f>ROUND(C23*I7,0)</f>
        <v>4181</v>
      </c>
      <c r="D7" s="3423"/>
      <c r="E7" s="3423"/>
      <c r="F7" s="3424"/>
      <c r="G7" s="2971" t="s">
        <v>3132</v>
      </c>
      <c r="H7" s="2975" t="s">
        <v>3133</v>
      </c>
      <c r="I7" s="2988">
        <v>1</v>
      </c>
      <c r="K7" s="3440"/>
      <c r="L7" s="2986" t="s">
        <v>3134</v>
      </c>
      <c r="M7" s="2987">
        <v>100</v>
      </c>
      <c r="N7" s="2987" t="s">
        <v>3135</v>
      </c>
      <c r="O7" s="2987">
        <v>80</v>
      </c>
      <c r="P7" s="2989">
        <v>0.3</v>
      </c>
    </row>
    <row r="8" spans="1:16" s="2984" customFormat="1" ht="18" customHeight="1">
      <c r="A8" s="2969" t="s">
        <v>3136</v>
      </c>
      <c r="B8" s="2975" t="s">
        <v>3137</v>
      </c>
      <c r="C8" s="3422">
        <f>ROUND(I8*I3,0)</f>
        <v>3000</v>
      </c>
      <c r="D8" s="3423"/>
      <c r="E8" s="3423"/>
      <c r="F8" s="3424"/>
      <c r="G8" s="2971" t="s">
        <v>3138</v>
      </c>
      <c r="H8" s="2975" t="s">
        <v>3139</v>
      </c>
      <c r="I8" s="2971">
        <v>3000</v>
      </c>
      <c r="J8" s="2990">
        <f>D36</f>
        <v>9.33</v>
      </c>
      <c r="K8" s="3440"/>
      <c r="L8" s="2986" t="s">
        <v>3140</v>
      </c>
      <c r="M8" s="2987">
        <v>100</v>
      </c>
      <c r="N8" s="2987" t="s">
        <v>3135</v>
      </c>
      <c r="O8" s="2987">
        <v>80</v>
      </c>
      <c r="P8" s="2989">
        <v>0.5</v>
      </c>
    </row>
    <row r="9" spans="1:16" s="2984" customFormat="1" ht="18" customHeight="1">
      <c r="A9" s="2969" t="s">
        <v>3141</v>
      </c>
      <c r="B9" s="2975" t="s">
        <v>3142</v>
      </c>
      <c r="C9" s="3422">
        <f>ROUND(C8*H9,0)</f>
        <v>90</v>
      </c>
      <c r="D9" s="3423"/>
      <c r="E9" s="3423"/>
      <c r="F9" s="3424"/>
      <c r="G9" s="2971" t="s">
        <v>3143</v>
      </c>
      <c r="H9" s="3441">
        <v>0.03</v>
      </c>
      <c r="I9" s="3441"/>
      <c r="J9" s="2990">
        <f ca="1">D37</f>
        <v>0.52</v>
      </c>
      <c r="K9" s="3440"/>
      <c r="L9" s="2986" t="s">
        <v>3144</v>
      </c>
      <c r="M9" s="2987">
        <v>100</v>
      </c>
      <c r="N9" s="2987" t="s">
        <v>3135</v>
      </c>
      <c r="O9" s="2987">
        <v>80</v>
      </c>
      <c r="P9" s="2989">
        <f>1-P7-P8</f>
        <v>0.19999999999999996</v>
      </c>
    </row>
    <row r="10" spans="1:16" s="2984" customFormat="1" ht="18" customHeight="1">
      <c r="A10" s="2969" t="s">
        <v>3145</v>
      </c>
      <c r="B10" s="2975" t="s">
        <v>3146</v>
      </c>
      <c r="C10" s="3422">
        <f>ROUND(C8*H10,0)</f>
        <v>0</v>
      </c>
      <c r="D10" s="3423"/>
      <c r="E10" s="3423"/>
      <c r="F10" s="3424"/>
      <c r="G10" s="2971" t="s">
        <v>3143</v>
      </c>
      <c r="H10" s="3441">
        <v>0</v>
      </c>
      <c r="I10" s="3441"/>
      <c r="J10" s="2990">
        <f ca="1">D38</f>
        <v>4.9000000000000004</v>
      </c>
      <c r="K10" s="3440"/>
      <c r="L10" s="2991" t="s">
        <v>3122</v>
      </c>
      <c r="M10" s="2992">
        <f>1-M5</f>
        <v>0.5</v>
      </c>
      <c r="N10" s="2987" t="s">
        <v>1077</v>
      </c>
      <c r="O10" s="2993">
        <f>ROUND((O7*P7+O8*P8+O9*P9)/100,2)</f>
        <v>0.8</v>
      </c>
      <c r="P10" s="2994"/>
    </row>
    <row r="11" spans="1:16" s="2984" customFormat="1" ht="29.25" customHeight="1">
      <c r="A11" s="2969" t="s">
        <v>3147</v>
      </c>
      <c r="B11" s="2975" t="s">
        <v>3148</v>
      </c>
      <c r="C11" s="3422">
        <f>ROUND(I11*I3,0)</f>
        <v>200</v>
      </c>
      <c r="D11" s="3423"/>
      <c r="E11" s="3423"/>
      <c r="F11" s="3424"/>
      <c r="G11" s="2971" t="s">
        <v>3149</v>
      </c>
      <c r="H11" s="2975" t="s">
        <v>3150</v>
      </c>
      <c r="I11" s="2971">
        <v>200</v>
      </c>
      <c r="J11" s="2982"/>
      <c r="K11" s="2995"/>
      <c r="L11" s="2995"/>
    </row>
    <row r="12" spans="1:16" s="2984" customFormat="1" ht="18" customHeight="1">
      <c r="A12" s="2969" t="s">
        <v>3151</v>
      </c>
      <c r="B12" s="2975" t="s">
        <v>3152</v>
      </c>
      <c r="C12" s="3422">
        <f>ROUND(C8*H12,0)</f>
        <v>45</v>
      </c>
      <c r="D12" s="3423"/>
      <c r="E12" s="3423"/>
      <c r="F12" s="3424"/>
      <c r="G12" s="2971" t="s">
        <v>3143</v>
      </c>
      <c r="H12" s="3441">
        <v>1.4999999999999999E-2</v>
      </c>
      <c r="I12" s="3441"/>
      <c r="J12" s="2996" t="s">
        <v>3153</v>
      </c>
      <c r="L12" s="2997"/>
    </row>
    <row r="13" spans="1:16" s="2984" customFormat="1" ht="18" customHeight="1">
      <c r="A13" s="2969" t="s">
        <v>3154</v>
      </c>
      <c r="B13" s="2975" t="s">
        <v>3155</v>
      </c>
      <c r="C13" s="3422">
        <f>SUM(C8:F12)</f>
        <v>3335</v>
      </c>
      <c r="D13" s="3423"/>
      <c r="E13" s="3423"/>
      <c r="F13" s="3424"/>
      <c r="G13" s="3425" t="s">
        <v>3156</v>
      </c>
      <c r="H13" s="3425"/>
      <c r="I13" s="3425"/>
      <c r="J13" s="2996" t="s">
        <v>3157</v>
      </c>
      <c r="L13" s="2997"/>
    </row>
    <row r="14" spans="1:16" s="2984" customFormat="1" ht="18" customHeight="1">
      <c r="A14" s="2969" t="s">
        <v>3158</v>
      </c>
      <c r="B14" s="2975" t="s">
        <v>3159</v>
      </c>
      <c r="C14" s="3422">
        <f>ROUND(C13*H14,0)</f>
        <v>67</v>
      </c>
      <c r="D14" s="3423"/>
      <c r="E14" s="3423"/>
      <c r="F14" s="3424"/>
      <c r="G14" s="2971" t="s">
        <v>3160</v>
      </c>
      <c r="H14" s="3446">
        <v>0.02</v>
      </c>
      <c r="I14" s="3446"/>
      <c r="J14" s="2982"/>
      <c r="L14" s="2997"/>
    </row>
    <row r="15" spans="1:16" s="2984" customFormat="1" ht="18" customHeight="1">
      <c r="A15" s="2969" t="s">
        <v>3161</v>
      </c>
      <c r="B15" s="2975" t="s">
        <v>3162</v>
      </c>
      <c r="C15" s="3447">
        <f>H15</f>
        <v>0.02</v>
      </c>
      <c r="D15" s="3448"/>
      <c r="E15" s="3444" t="str">
        <f>E18</f>
        <v>V</v>
      </c>
      <c r="F15" s="3445"/>
      <c r="G15" s="2971" t="s">
        <v>3163</v>
      </c>
      <c r="H15" s="3446">
        <v>0.02</v>
      </c>
      <c r="I15" s="3446"/>
      <c r="J15" s="2998"/>
      <c r="K15" s="2999"/>
    </row>
    <row r="16" spans="1:16" s="2984" customFormat="1" ht="18" customHeight="1">
      <c r="A16" s="3000" t="s">
        <v>3164</v>
      </c>
      <c r="B16" s="3001" t="s">
        <v>3165</v>
      </c>
      <c r="C16" s="3002">
        <f>C17</f>
        <v>121</v>
      </c>
      <c r="D16" s="3003" t="s">
        <v>3166</v>
      </c>
      <c r="E16" s="3004">
        <f>C18</f>
        <v>7.1250000000000003E-4</v>
      </c>
      <c r="F16" s="3005" t="str">
        <f>E18</f>
        <v>V</v>
      </c>
      <c r="G16" s="3422" t="s">
        <v>3167</v>
      </c>
      <c r="H16" s="3423"/>
      <c r="I16" s="3424"/>
      <c r="J16" s="2982"/>
      <c r="K16" s="2995"/>
    </row>
    <row r="17" spans="1:12" s="2984" customFormat="1" ht="18" customHeight="1">
      <c r="A17" s="2969" t="s">
        <v>3168</v>
      </c>
      <c r="B17" s="2975" t="s">
        <v>3169</v>
      </c>
      <c r="C17" s="3422">
        <f>ROUND((C13+C14)*I18*(I17/2),0)</f>
        <v>121</v>
      </c>
      <c r="D17" s="3423"/>
      <c r="E17" s="3423"/>
      <c r="F17" s="3424"/>
      <c r="G17" s="3002" t="s">
        <v>3170</v>
      </c>
      <c r="H17" s="2975" t="s">
        <v>3171</v>
      </c>
      <c r="I17" s="3006">
        <f>'数据-取费表'!B20</f>
        <v>1.5</v>
      </c>
      <c r="J17" s="2996" t="s">
        <v>3172</v>
      </c>
      <c r="K17" s="2995"/>
      <c r="L17" s="2995"/>
    </row>
    <row r="18" spans="1:12" s="2984" customFormat="1" ht="18" customHeight="1">
      <c r="A18" s="2969" t="s">
        <v>3173</v>
      </c>
      <c r="B18" s="2975" t="s">
        <v>3174</v>
      </c>
      <c r="C18" s="3442">
        <f>H15*I18*I17/2</f>
        <v>7.1250000000000003E-4</v>
      </c>
      <c r="D18" s="3443"/>
      <c r="E18" s="3444" t="s">
        <v>3175</v>
      </c>
      <c r="F18" s="3445"/>
      <c r="G18" s="3002" t="s">
        <v>3176</v>
      </c>
      <c r="H18" s="2975" t="s">
        <v>3177</v>
      </c>
      <c r="I18" s="3007">
        <v>4.7500000000000001E-2</v>
      </c>
      <c r="J18" s="2996" t="s">
        <v>3178</v>
      </c>
      <c r="K18" s="2995"/>
      <c r="L18" s="2995"/>
    </row>
    <row r="19" spans="1:12" s="2984" customFormat="1" ht="27" customHeight="1">
      <c r="A19" s="2969" t="s">
        <v>3179</v>
      </c>
      <c r="B19" s="2975" t="s">
        <v>3180</v>
      </c>
      <c r="C19" s="3002">
        <f>C20</f>
        <v>340</v>
      </c>
      <c r="D19" s="3003" t="s">
        <v>3166</v>
      </c>
      <c r="E19" s="3003">
        <f>C21</f>
        <v>2E-3</v>
      </c>
      <c r="F19" s="3005" t="str">
        <f>E21</f>
        <v>V</v>
      </c>
      <c r="G19" s="3422" t="s">
        <v>3181</v>
      </c>
      <c r="H19" s="3423"/>
      <c r="I19" s="3424"/>
      <c r="J19" s="2982"/>
      <c r="K19" s="2995"/>
      <c r="L19" s="2995"/>
    </row>
    <row r="20" spans="1:12" s="2984" customFormat="1" ht="26.25" customHeight="1">
      <c r="A20" s="2969" t="s">
        <v>3182</v>
      </c>
      <c r="B20" s="2975" t="s">
        <v>3183</v>
      </c>
      <c r="C20" s="3422">
        <f>ROUND((C13+C14)*I20,0)</f>
        <v>340</v>
      </c>
      <c r="D20" s="3423"/>
      <c r="E20" s="3423"/>
      <c r="F20" s="3424"/>
      <c r="G20" s="2971" t="s">
        <v>3184</v>
      </c>
      <c r="H20" s="3451" t="s">
        <v>3185</v>
      </c>
      <c r="I20" s="3453">
        <v>0.1</v>
      </c>
      <c r="J20" s="2996" t="s">
        <v>3186</v>
      </c>
      <c r="K20" s="2995"/>
      <c r="L20" s="2995"/>
    </row>
    <row r="21" spans="1:12" s="2984" customFormat="1" ht="27" customHeight="1">
      <c r="A21" s="2969" t="s">
        <v>3182</v>
      </c>
      <c r="B21" s="2975" t="s">
        <v>3187</v>
      </c>
      <c r="C21" s="3454">
        <f>H15*I20</f>
        <v>2E-3</v>
      </c>
      <c r="D21" s="3455"/>
      <c r="E21" s="3444" t="s">
        <v>3175</v>
      </c>
      <c r="F21" s="3445"/>
      <c r="G21" s="2971" t="s">
        <v>3188</v>
      </c>
      <c r="H21" s="3452"/>
      <c r="I21" s="3453"/>
      <c r="J21" s="2982"/>
      <c r="K21" s="2995"/>
      <c r="L21" s="2995"/>
    </row>
    <row r="22" spans="1:12" s="2984" customFormat="1" ht="18" customHeight="1">
      <c r="A22" s="2969" t="s">
        <v>1029</v>
      </c>
      <c r="B22" s="2975" t="s">
        <v>3189</v>
      </c>
      <c r="C22" s="3454">
        <f>ROUND(H22/1.05,4)</f>
        <v>5.33E-2</v>
      </c>
      <c r="D22" s="3455"/>
      <c r="E22" s="3444" t="s">
        <v>3175</v>
      </c>
      <c r="F22" s="3445"/>
      <c r="G22" s="2971" t="s">
        <v>3190</v>
      </c>
      <c r="H22" s="3441">
        <v>5.6000000000000001E-2</v>
      </c>
      <c r="I22" s="3441"/>
      <c r="J22" s="3008"/>
      <c r="K22" s="2995"/>
      <c r="L22" s="2995"/>
    </row>
    <row r="23" spans="1:12" s="2984" customFormat="1" ht="18" customHeight="1">
      <c r="A23" s="2969" t="s">
        <v>3191</v>
      </c>
      <c r="B23" s="2975" t="s">
        <v>3192</v>
      </c>
      <c r="C23" s="3422">
        <f>ROUND((C13+C14+C17+C20)/(1-H15-C18-C21-C22),0)</f>
        <v>4181</v>
      </c>
      <c r="D23" s="3423"/>
      <c r="E23" s="3423"/>
      <c r="F23" s="3424"/>
      <c r="G23" s="3422" t="s">
        <v>3193</v>
      </c>
      <c r="H23" s="3423"/>
      <c r="I23" s="3424"/>
      <c r="J23" s="3008"/>
      <c r="K23" s="2995"/>
      <c r="L23" s="2995"/>
    </row>
    <row r="24" spans="1:12" s="2984" customFormat="1" ht="18" customHeight="1">
      <c r="A24" s="2969" t="s">
        <v>3194</v>
      </c>
      <c r="B24" s="2975" t="s">
        <v>3195</v>
      </c>
      <c r="C24" s="3009">
        <f>C27+C28</f>
        <v>46</v>
      </c>
      <c r="D24" s="3010" t="s">
        <v>3196</v>
      </c>
      <c r="E24" s="3449">
        <f>H29+E26+H25</f>
        <v>0.186</v>
      </c>
      <c r="F24" s="3450"/>
      <c r="G24" s="3425" t="s">
        <v>3197</v>
      </c>
      <c r="H24" s="3425"/>
      <c r="I24" s="3425"/>
      <c r="J24" s="3008"/>
      <c r="K24" s="2995"/>
      <c r="L24" s="2995"/>
    </row>
    <row r="25" spans="1:12" s="2984" customFormat="1" ht="18" customHeight="1">
      <c r="A25" s="2969" t="s">
        <v>3154</v>
      </c>
      <c r="B25" s="2975" t="s">
        <v>3198</v>
      </c>
      <c r="C25" s="3447" t="s">
        <v>3199</v>
      </c>
      <c r="D25" s="3448"/>
      <c r="E25" s="3456">
        <f>ROUND(H25/1.05,4)</f>
        <v>5.33E-2</v>
      </c>
      <c r="F25" s="3457"/>
      <c r="G25" s="2971" t="s">
        <v>3200</v>
      </c>
      <c r="H25" s="3458">
        <v>5.6000000000000001E-2</v>
      </c>
      <c r="I25" s="3458"/>
      <c r="J25" s="2998"/>
      <c r="K25" s="2995"/>
      <c r="L25" s="2995"/>
    </row>
    <row r="26" spans="1:12" s="2984" customFormat="1" ht="18" customHeight="1">
      <c r="A26" s="2969" t="s">
        <v>3158</v>
      </c>
      <c r="B26" s="2975" t="s">
        <v>3201</v>
      </c>
      <c r="C26" s="3447" t="s">
        <v>3199</v>
      </c>
      <c r="D26" s="3448"/>
      <c r="E26" s="3459">
        <v>0.12</v>
      </c>
      <c r="F26" s="3450"/>
      <c r="G26" s="2971"/>
      <c r="H26" s="3460">
        <v>0.12</v>
      </c>
      <c r="I26" s="3461"/>
      <c r="J26" s="3011"/>
      <c r="K26" s="2995"/>
      <c r="L26" s="2995"/>
    </row>
    <row r="27" spans="1:12" s="2984" customFormat="1" ht="18" customHeight="1">
      <c r="A27" s="2969" t="s">
        <v>3161</v>
      </c>
      <c r="B27" s="2975" t="s">
        <v>3202</v>
      </c>
      <c r="C27" s="3422">
        <f>ROUND(C23*H27,0)</f>
        <v>42</v>
      </c>
      <c r="D27" s="3423"/>
      <c r="E27" s="3423"/>
      <c r="F27" s="3424"/>
      <c r="G27" s="2971" t="s">
        <v>3203</v>
      </c>
      <c r="H27" s="3462">
        <v>0.01</v>
      </c>
      <c r="I27" s="3462"/>
      <c r="J27" s="3012" t="s">
        <v>3211</v>
      </c>
      <c r="K27" s="2995"/>
      <c r="L27" s="2995"/>
    </row>
    <row r="28" spans="1:12" s="2984" customFormat="1" ht="18" customHeight="1">
      <c r="A28" s="2969" t="s">
        <v>3164</v>
      </c>
      <c r="B28" s="2975" t="s">
        <v>3204</v>
      </c>
      <c r="C28" s="3422">
        <f>ROUND(C7*H28,0)</f>
        <v>4</v>
      </c>
      <c r="D28" s="3423"/>
      <c r="E28" s="3423"/>
      <c r="F28" s="3424"/>
      <c r="G28" s="2971" t="s">
        <v>3205</v>
      </c>
      <c r="H28" s="3463">
        <v>1E-3</v>
      </c>
      <c r="I28" s="3463"/>
      <c r="J28" s="3013"/>
      <c r="K28" s="2995"/>
      <c r="L28" s="2995"/>
    </row>
    <row r="29" spans="1:12" s="2984" customFormat="1" ht="18" customHeight="1">
      <c r="A29" s="2969" t="s">
        <v>3179</v>
      </c>
      <c r="B29" s="2975" t="s">
        <v>3206</v>
      </c>
      <c r="C29" s="3447" t="s">
        <v>3199</v>
      </c>
      <c r="D29" s="3448"/>
      <c r="E29" s="3459">
        <f>H29</f>
        <v>0.01</v>
      </c>
      <c r="F29" s="3450"/>
      <c r="G29" s="2971" t="s">
        <v>3207</v>
      </c>
      <c r="H29" s="3462">
        <v>0.01</v>
      </c>
      <c r="I29" s="3462"/>
      <c r="J29" s="3015"/>
      <c r="K29" s="2995"/>
      <c r="L29" s="2995"/>
    </row>
    <row r="30" spans="1:12" s="2984" customFormat="1" ht="18" customHeight="1">
      <c r="A30" s="2974" t="s">
        <v>3208</v>
      </c>
      <c r="B30" s="2975" t="s">
        <v>3209</v>
      </c>
      <c r="C30" s="3422">
        <f ca="1">ROUND((C4+C24)/(1-E24),0)</f>
        <v>162</v>
      </c>
      <c r="D30" s="3423"/>
      <c r="E30" s="3423"/>
      <c r="F30" s="3424"/>
      <c r="G30" s="3429" t="s">
        <v>3210</v>
      </c>
      <c r="H30" s="3429"/>
      <c r="I30" s="3429"/>
      <c r="J30" s="3019"/>
      <c r="K30" s="2995"/>
      <c r="L30" s="2995"/>
    </row>
    <row r="31" spans="1:12" s="2984" customFormat="1" ht="18" customHeight="1">
      <c r="A31" s="3429" t="s">
        <v>3212</v>
      </c>
      <c r="B31" s="3430" t="s">
        <v>3213</v>
      </c>
      <c r="C31" s="3464">
        <f ca="1">ROUND(C30/I31/I32/I3,2)</f>
        <v>0.52</v>
      </c>
      <c r="D31" s="3465"/>
      <c r="E31" s="3465"/>
      <c r="F31" s="3466"/>
      <c r="G31" s="3425" t="s">
        <v>3214</v>
      </c>
      <c r="H31" s="2975" t="s">
        <v>3215</v>
      </c>
      <c r="I31" s="2971">
        <v>365</v>
      </c>
      <c r="J31" s="2982"/>
      <c r="K31" s="2995"/>
      <c r="L31" s="2995"/>
    </row>
    <row r="32" spans="1:12" s="2984" customFormat="1" ht="18" customHeight="1">
      <c r="A32" s="3429"/>
      <c r="B32" s="3430"/>
      <c r="C32" s="3467"/>
      <c r="D32" s="3468"/>
      <c r="E32" s="3468"/>
      <c r="F32" s="3469"/>
      <c r="G32" s="3425"/>
      <c r="H32" s="2975" t="s">
        <v>3216</v>
      </c>
      <c r="I32" s="3014">
        <v>0.85</v>
      </c>
      <c r="J32" s="3008"/>
      <c r="K32" s="2968"/>
      <c r="L32" s="2968"/>
    </row>
    <row r="33" spans="1:13" s="2984" customFormat="1" ht="18" customHeight="1">
      <c r="A33" s="2968"/>
      <c r="B33" s="3016"/>
      <c r="C33" s="3017"/>
      <c r="D33" s="3017"/>
      <c r="E33" s="3017"/>
      <c r="F33" s="3017"/>
      <c r="G33" s="3018"/>
      <c r="H33" s="3"/>
      <c r="I33" s="2968"/>
      <c r="J33" s="2965"/>
      <c r="K33" s="2968"/>
      <c r="L33" s="2968"/>
    </row>
    <row r="34" spans="1:13" s="2984" customFormat="1" ht="18" customHeight="1">
      <c r="A34" s="2968"/>
      <c r="B34" s="3472" t="s">
        <v>3217</v>
      </c>
      <c r="C34" s="3472"/>
      <c r="D34" s="3472"/>
      <c r="E34" s="3472"/>
      <c r="F34" s="3472"/>
      <c r="G34" s="3020"/>
      <c r="H34" s="3021"/>
      <c r="I34" s="2968"/>
      <c r="J34" s="3045">
        <f ca="1">C31*0.5</f>
        <v>0.26</v>
      </c>
      <c r="K34" s="2968"/>
      <c r="L34" s="2968"/>
      <c r="M34" s="2968"/>
    </row>
    <row r="35" spans="1:13" s="2984" customFormat="1" ht="18" customHeight="1">
      <c r="A35" s="2968"/>
      <c r="B35" s="3022" t="s">
        <v>3218</v>
      </c>
      <c r="C35" s="3023" t="s">
        <v>3129</v>
      </c>
      <c r="D35" s="3473" t="s">
        <v>3219</v>
      </c>
      <c r="E35" s="3473"/>
      <c r="F35" s="3473"/>
      <c r="G35" s="3020"/>
      <c r="H35" s="3024" t="s">
        <v>3220</v>
      </c>
      <c r="I35" s="3025"/>
      <c r="J35" s="3045">
        <f ca="1">C31*0.4</f>
        <v>0.20800000000000002</v>
      </c>
      <c r="K35" s="2968"/>
      <c r="L35" s="2968"/>
      <c r="M35" s="2968"/>
    </row>
    <row r="36" spans="1:13">
      <c r="B36" s="3022" t="s">
        <v>3221</v>
      </c>
      <c r="C36" s="3026">
        <v>0.5</v>
      </c>
      <c r="D36" s="3474">
        <f>[1]比较法—租金!N39</f>
        <v>9.33</v>
      </c>
      <c r="E36" s="3474"/>
      <c r="F36" s="3474"/>
      <c r="G36" s="3020">
        <f ca="1">(D36-D37)/D37</f>
        <v>16.942307692307693</v>
      </c>
      <c r="H36" s="3024" t="s">
        <v>3222</v>
      </c>
      <c r="I36" s="3027"/>
      <c r="J36" s="2968"/>
      <c r="K36" s="2968"/>
      <c r="L36" s="2968"/>
    </row>
    <row r="37" spans="1:13" ht="20.100000000000001" customHeight="1">
      <c r="B37" s="3022" t="s">
        <v>3101</v>
      </c>
      <c r="C37" s="3026">
        <f>1-C36</f>
        <v>0.5</v>
      </c>
      <c r="D37" s="3474">
        <f ca="1">C31</f>
        <v>0.52</v>
      </c>
      <c r="E37" s="3474"/>
      <c r="F37" s="3474"/>
      <c r="G37" s="3020"/>
      <c r="H37" s="3021"/>
      <c r="J37" s="2968"/>
      <c r="K37" s="2968"/>
      <c r="L37" s="2968"/>
    </row>
    <row r="38" spans="1:13" ht="22.5" customHeight="1">
      <c r="B38" s="3475" t="s">
        <v>3223</v>
      </c>
      <c r="C38" s="3475"/>
      <c r="D38" s="3471">
        <f ca="1">ROUND(C36*D36+C37*D37,1)</f>
        <v>4.9000000000000004</v>
      </c>
      <c r="E38" s="3471"/>
      <c r="F38" s="3471"/>
      <c r="G38" s="3020"/>
      <c r="H38" s="3021"/>
      <c r="J38" s="2968"/>
    </row>
    <row r="39" spans="1:13" ht="22.5" customHeight="1">
      <c r="B39" s="3022" t="s">
        <v>3224</v>
      </c>
      <c r="C39" s="3022">
        <f ca="1">ROUND(D38*0.9,1)</f>
        <v>4.4000000000000004</v>
      </c>
      <c r="D39" s="3028" t="s">
        <v>3225</v>
      </c>
      <c r="E39" s="3471">
        <f ca="1">ROUND(D38*1.1,1)</f>
        <v>5.4</v>
      </c>
      <c r="F39" s="3471"/>
      <c r="G39" s="3020" t="s">
        <v>3226</v>
      </c>
      <c r="H39" s="3029">
        <v>11.48</v>
      </c>
      <c r="J39" s="2968"/>
    </row>
    <row r="40" spans="1:13" ht="18" customHeight="1">
      <c r="B40" s="3022" t="s">
        <v>3227</v>
      </c>
      <c r="C40" s="3022">
        <f ca="1">ROUND(C39+H40,1)</f>
        <v>4.4000000000000004</v>
      </c>
      <c r="D40" s="3028" t="s">
        <v>3225</v>
      </c>
      <c r="E40" s="3471">
        <f ca="1">ROUND(E39+H40,1)</f>
        <v>5.4</v>
      </c>
      <c r="F40" s="3471"/>
      <c r="G40" s="3030" t="s">
        <v>3228</v>
      </c>
      <c r="H40" s="3030"/>
    </row>
    <row r="41" spans="1:13" ht="18" customHeight="1">
      <c r="B41" s="3031"/>
      <c r="C41" s="3032"/>
      <c r="D41" s="3033"/>
      <c r="E41" s="3033"/>
      <c r="F41" s="3033"/>
      <c r="G41" s="3020"/>
      <c r="H41" s="3021"/>
    </row>
    <row r="42" spans="1:13" ht="18" customHeight="1">
      <c r="B42" s="3020" t="s">
        <v>3229</v>
      </c>
      <c r="C42" s="3033"/>
      <c r="D42" s="3033"/>
      <c r="E42" s="3020" t="s">
        <v>3230</v>
      </c>
      <c r="F42" s="3033"/>
      <c r="G42" s="3020"/>
      <c r="H42" s="3020" t="s">
        <v>3231</v>
      </c>
    </row>
    <row r="43" spans="1:13" ht="29.25" customHeight="1"/>
    <row r="44" spans="1:13">
      <c r="B44" s="3470" t="s">
        <v>3426</v>
      </c>
      <c r="C44" s="3470"/>
      <c r="D44" s="3470"/>
      <c r="E44" s="3236"/>
      <c r="F44" s="3071" t="s">
        <v>3429</v>
      </c>
      <c r="G44" s="2954"/>
    </row>
    <row r="45" spans="1:13">
      <c r="B45" s="2955" t="s">
        <v>3354</v>
      </c>
      <c r="C45" s="2962" t="s">
        <v>3355</v>
      </c>
      <c r="D45" s="2962" t="s">
        <v>3356</v>
      </c>
      <c r="E45" s="3236" t="s">
        <v>3427</v>
      </c>
      <c r="F45" s="3071"/>
      <c r="G45" s="2954"/>
    </row>
    <row r="46" spans="1:13">
      <c r="B46" s="2962">
        <v>0.5</v>
      </c>
      <c r="C46" s="2962">
        <v>0.8</v>
      </c>
      <c r="D46" s="2962">
        <v>0.8</v>
      </c>
      <c r="E46" s="3236">
        <v>0.25</v>
      </c>
      <c r="F46" s="2962">
        <f ca="1">结果表!G20*收益法倒推租金!C46*收益法倒推租金!B46*收益法倒推租金!D46-结果表!G20*收益法倒推租金!E46</f>
        <v>1577.5200000000004</v>
      </c>
      <c r="G46" s="2954" t="s">
        <v>3428</v>
      </c>
    </row>
    <row r="47" spans="1:13">
      <c r="B47" s="2954"/>
      <c r="C47" s="2954"/>
      <c r="D47" s="2954"/>
      <c r="E47" s="3208"/>
      <c r="F47" s="3145"/>
      <c r="G47" s="3039"/>
    </row>
  </sheetData>
  <mergeCells count="71">
    <mergeCell ref="B44:D44"/>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3" type="noConversion"/>
  <pageMargins left="0.7" right="0.7" top="0.75" bottom="0.75" header="0.3" footer="0.3"/>
  <pageSetup paperSize="9" scale="80" orientation="portrait" r:id="rId1"/>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92D050"/>
  </sheetPr>
  <dimension ref="A1:AI512"/>
  <sheetViews>
    <sheetView view="pageBreakPreview" zoomScaleSheetLayoutView="100" zoomScalePageLayoutView="80" workbookViewId="0">
      <selection activeCell="F36" sqref="F36"/>
    </sheetView>
  </sheetViews>
  <sheetFormatPr defaultColWidth="12.625" defaultRowHeight="21.75" customHeight="1"/>
  <cols>
    <col min="1" max="2" width="12.625" style="2410"/>
    <col min="3" max="4" width="12.625" style="2410" customWidth="1"/>
    <col min="5" max="9" width="12.625" style="2410"/>
    <col min="10" max="11" width="12.625" style="794" customWidth="1"/>
    <col min="12" max="12" width="12.625" style="794"/>
    <col min="13" max="13" width="14.125" style="794" bestFit="1" customWidth="1"/>
    <col min="14" max="26" width="12.625" style="794"/>
    <col min="27" max="35" width="12.625" style="2409"/>
    <col min="36" max="16384" width="12.625" style="2410"/>
  </cols>
  <sheetData>
    <row r="1" spans="1:12" ht="21.75" customHeight="1" thickBot="1">
      <c r="A1" s="2212" t="s">
        <v>2116</v>
      </c>
      <c r="B1" s="2404"/>
      <c r="C1" s="2405" t="s">
        <v>3099</v>
      </c>
      <c r="D1" s="2404"/>
      <c r="E1" s="2404"/>
      <c r="F1" s="2406" t="s">
        <v>2117</v>
      </c>
      <c r="G1" s="2057" t="s">
        <v>3430</v>
      </c>
      <c r="H1" s="2407" t="str">
        <f>IF(G1="现房","——","估价对象范围")</f>
        <v>——</v>
      </c>
      <c r="I1" s="2408"/>
    </row>
    <row r="2" spans="1:12" ht="21.75" customHeight="1" thickBot="1">
      <c r="A2" s="3550" t="str">
        <f>项目基本情况!S2</f>
        <v>北京市房地产</v>
      </c>
      <c r="B2" s="3551"/>
      <c r="C2" s="3551"/>
      <c r="D2" s="3551"/>
      <c r="E2" s="3551"/>
      <c r="F2" s="3551"/>
      <c r="G2" s="3551"/>
      <c r="H2" s="3551"/>
      <c r="I2" s="3552"/>
    </row>
    <row r="3" spans="1:12" ht="12.75">
      <c r="A3" s="3553" t="s">
        <v>2118</v>
      </c>
      <c r="B3" s="3554"/>
      <c r="C3" s="3554"/>
      <c r="D3" s="3554"/>
      <c r="E3" s="3554"/>
      <c r="F3" s="3554"/>
      <c r="G3" s="3554"/>
      <c r="H3" s="3554"/>
      <c r="I3" s="3554"/>
    </row>
    <row r="4" spans="1:12" ht="14.25">
      <c r="A4" s="2411" t="s">
        <v>2119</v>
      </c>
      <c r="B4" s="2412" t="s">
        <v>2120</v>
      </c>
      <c r="C4" s="2413" t="s">
        <v>3382</v>
      </c>
      <c r="D4" s="2413" t="s">
        <v>3383</v>
      </c>
      <c r="E4" s="3534" t="s">
        <v>2121</v>
      </c>
      <c r="F4" s="3547"/>
      <c r="G4" s="3547"/>
      <c r="H4" s="3547"/>
      <c r="I4" s="3535"/>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成本法</v>
      </c>
    </row>
    <row r="5" spans="1:12" ht="12.75">
      <c r="A5" s="3525" t="s">
        <v>2122</v>
      </c>
      <c r="B5" s="3335">
        <v>25</v>
      </c>
      <c r="C5" s="3555">
        <v>60</v>
      </c>
      <c r="D5" s="3543">
        <f>100-C5</f>
        <v>40</v>
      </c>
      <c r="E5" s="139" t="s">
        <v>2123</v>
      </c>
      <c r="F5" s="2415"/>
      <c r="G5" s="2415"/>
      <c r="H5" s="2415"/>
      <c r="I5" s="1819"/>
    </row>
    <row r="6" spans="1:12" ht="12.75">
      <c r="A6" s="3525"/>
      <c r="B6" s="3335"/>
      <c r="C6" s="3557"/>
      <c r="D6" s="3543"/>
      <c r="E6" s="139" t="s">
        <v>2124</v>
      </c>
      <c r="F6" s="2415"/>
      <c r="G6" s="2415"/>
      <c r="H6" s="2415"/>
      <c r="I6" s="1819"/>
    </row>
    <row r="7" spans="1:12" ht="12.75">
      <c r="A7" s="3525"/>
      <c r="B7" s="3335"/>
      <c r="C7" s="3556"/>
      <c r="D7" s="3543"/>
      <c r="E7" s="139" t="s">
        <v>2125</v>
      </c>
      <c r="F7" s="2415"/>
      <c r="G7" s="2415"/>
      <c r="H7" s="2415"/>
      <c r="I7" s="1819"/>
    </row>
    <row r="8" spans="1:12" ht="12.75">
      <c r="A8" s="3525" t="s">
        <v>2126</v>
      </c>
      <c r="B8" s="3335">
        <v>15</v>
      </c>
      <c r="C8" s="3555"/>
      <c r="D8" s="3543"/>
      <c r="E8" s="139" t="s">
        <v>2127</v>
      </c>
      <c r="F8" s="2415"/>
      <c r="G8" s="2415"/>
      <c r="H8" s="2415"/>
      <c r="I8" s="1819"/>
    </row>
    <row r="9" spans="1:12" ht="12.75">
      <c r="A9" s="3525"/>
      <c r="B9" s="3335"/>
      <c r="C9" s="3556"/>
      <c r="D9" s="3543"/>
      <c r="E9" s="139" t="s">
        <v>2128</v>
      </c>
      <c r="F9" s="2415"/>
      <c r="G9" s="2415"/>
      <c r="H9" s="2415"/>
      <c r="I9" s="1819"/>
    </row>
    <row r="10" spans="1:12" ht="12.75">
      <c r="A10" s="3525" t="s">
        <v>2129</v>
      </c>
      <c r="B10" s="3335">
        <v>15</v>
      </c>
      <c r="C10" s="3555"/>
      <c r="D10" s="3543"/>
      <c r="E10" s="139" t="s">
        <v>2130</v>
      </c>
      <c r="F10" s="2415"/>
      <c r="G10" s="2415"/>
      <c r="H10" s="2415"/>
      <c r="I10" s="1819"/>
    </row>
    <row r="11" spans="1:12" ht="12.75">
      <c r="A11" s="3525"/>
      <c r="B11" s="3335"/>
      <c r="C11" s="3556"/>
      <c r="D11" s="3543"/>
      <c r="E11" s="139" t="s">
        <v>2131</v>
      </c>
      <c r="F11" s="2415"/>
      <c r="G11" s="2415"/>
      <c r="H11" s="2415"/>
      <c r="I11" s="1819"/>
    </row>
    <row r="12" spans="1:12" ht="12.75">
      <c r="A12" s="3525" t="s">
        <v>2132</v>
      </c>
      <c r="B12" s="3335">
        <v>15</v>
      </c>
      <c r="C12" s="3555"/>
      <c r="D12" s="3543"/>
      <c r="E12" s="139" t="s">
        <v>2133</v>
      </c>
      <c r="F12" s="2415"/>
      <c r="G12" s="2415"/>
      <c r="H12" s="2415"/>
      <c r="I12" s="1819"/>
    </row>
    <row r="13" spans="1:12" ht="12.75">
      <c r="A13" s="3525"/>
      <c r="B13" s="3335"/>
      <c r="C13" s="3556"/>
      <c r="D13" s="3543"/>
      <c r="E13" s="139" t="s">
        <v>2134</v>
      </c>
      <c r="F13" s="2415"/>
      <c r="G13" s="2415"/>
      <c r="H13" s="2415"/>
      <c r="I13" s="1819"/>
    </row>
    <row r="14" spans="1:12" ht="12.75">
      <c r="A14" s="3525" t="s">
        <v>2135</v>
      </c>
      <c r="B14" s="3335">
        <v>30</v>
      </c>
      <c r="C14" s="3555"/>
      <c r="D14" s="3543"/>
      <c r="E14" s="139" t="s">
        <v>2136</v>
      </c>
      <c r="F14" s="2415"/>
      <c r="G14" s="2415"/>
      <c r="H14" s="2415"/>
      <c r="I14" s="1819"/>
    </row>
    <row r="15" spans="1:12" ht="12.75">
      <c r="A15" s="3525"/>
      <c r="B15" s="3335"/>
      <c r="C15" s="3557"/>
      <c r="D15" s="3543"/>
      <c r="E15" s="139" t="s">
        <v>2137</v>
      </c>
      <c r="F15" s="2415"/>
      <c r="G15" s="2415"/>
      <c r="H15" s="2415"/>
      <c r="I15" s="1819"/>
    </row>
    <row r="16" spans="1:12" ht="12.75">
      <c r="A16" s="3525"/>
      <c r="B16" s="3335"/>
      <c r="C16" s="3556"/>
      <c r="D16" s="3543"/>
      <c r="E16" s="139" t="s">
        <v>2138</v>
      </c>
      <c r="F16" s="2415"/>
      <c r="G16" s="2415"/>
      <c r="H16" s="2415"/>
      <c r="I16" s="1819"/>
    </row>
    <row r="17" spans="1:35" ht="15">
      <c r="A17" s="2416" t="s">
        <v>2139</v>
      </c>
      <c r="B17" s="63"/>
      <c r="C17" s="140">
        <f>SUM(C5:C16)</f>
        <v>60</v>
      </c>
      <c r="D17" s="140">
        <f>SUM(D5:D16)</f>
        <v>40</v>
      </c>
      <c r="E17" s="137"/>
      <c r="F17" s="137"/>
      <c r="G17" s="137"/>
      <c r="H17" s="137"/>
      <c r="I17" s="137"/>
      <c r="K17" s="2414"/>
      <c r="L17" s="2417" t="s">
        <v>2140</v>
      </c>
      <c r="M17" s="2417" t="s">
        <v>2141</v>
      </c>
    </row>
    <row r="18" spans="1:35" ht="15.75" thickBot="1">
      <c r="A18" s="2418" t="s">
        <v>2142</v>
      </c>
      <c r="B18" s="2419"/>
      <c r="C18" s="141">
        <f>ROUND(C17/SUM(C17:D17),2)</f>
        <v>0.6</v>
      </c>
      <c r="D18" s="141">
        <f>1-C18</f>
        <v>0.4</v>
      </c>
      <c r="E18" s="137"/>
      <c r="F18" s="137"/>
      <c r="G18" s="137"/>
      <c r="H18" s="137"/>
      <c r="I18" s="137"/>
      <c r="K18" s="2414" t="s">
        <v>2143</v>
      </c>
      <c r="L18" s="2414">
        <f>IF(C1="",'数据-汇总表'!E3,SUMIF(项目类型,C1,'数据-汇总表'!E17:E26)+SUMIF(项目类型,C1,'数据-汇总表'!I17:I26))</f>
        <v>135636.54000000004</v>
      </c>
      <c r="M18" s="2414">
        <f>IF(C1="",'数据-汇总表'!E3,SUMIF(项目类型,C1,'数据-汇总表'!E17:E26))</f>
        <v>135636.54000000004</v>
      </c>
    </row>
    <row r="19" spans="1:35" ht="15">
      <c r="A19" s="2420" t="s">
        <v>2144</v>
      </c>
      <c r="B19" s="2421" t="s">
        <v>2145</v>
      </c>
      <c r="C19" s="142">
        <f ca="1">SUMIF(INDIRECT("'"&amp;C4&amp;"'"&amp;"!A:A"),结果表!B19,INDIRECT("'"&amp;C4&amp;"'"&amp;"!B:B"))</f>
        <v>356214</v>
      </c>
      <c r="D19" s="143">
        <f ca="1">SUMIF(INDIRECT("'"&amp;D4&amp;"'"&amp;"!A:A"),结果表!B19,INDIRECT("'"&amp;D4&amp;"'"&amp;"!B:B"))</f>
        <v>229868</v>
      </c>
      <c r="E19" s="2420" t="s">
        <v>2146</v>
      </c>
      <c r="F19" s="2421" t="s">
        <v>2145</v>
      </c>
      <c r="G19" s="144">
        <f ca="1">ROUND(C19*$C$18+D19*$D$18,0)</f>
        <v>305676</v>
      </c>
      <c r="H19" s="2422" t="s">
        <v>2147</v>
      </c>
      <c r="I19" s="137"/>
      <c r="K19" s="2414" t="s">
        <v>2148</v>
      </c>
      <c r="L19" s="2414">
        <f>IF(C1="",'数据-汇总表'!D3,SUMIF(项目类型,C1,'数据-汇总表'!D17:D26)+SUMIF(项目类型,C1,'数据-汇总表'!H17:H27))</f>
        <v>45212.18</v>
      </c>
      <c r="M19" s="2414">
        <f>IF(C1="",'数据-汇总表'!D3,SUMIF(项目类型,C1,'数据-汇总表'!D17:D26))</f>
        <v>45212.18</v>
      </c>
    </row>
    <row r="20" spans="1:35" ht="15">
      <c r="A20" s="2423"/>
      <c r="B20" s="1243" t="s">
        <v>2149</v>
      </c>
      <c r="C20" s="145">
        <f ca="1">SUMIF(INDIRECT("'"&amp;C4&amp;"'"&amp;"!A:A"),结果表!B20,INDIRECT("'"&amp;C4&amp;"'"&amp;"!B:B"))</f>
        <v>26262.400000000001</v>
      </c>
      <c r="D20" s="146">
        <f ca="1">SUMIF(INDIRECT("'"&amp;D4&amp;"'"&amp;"!A:A"),结果表!B20,INDIRECT("'"&amp;D4&amp;"'"&amp;"!B:B"))</f>
        <v>16947</v>
      </c>
      <c r="E20" s="2423"/>
      <c r="F20" s="1243" t="s">
        <v>2149</v>
      </c>
      <c r="G20" s="147">
        <f ca="1">ROUND(C20*$C$18+D20*$D$18,0)</f>
        <v>22536</v>
      </c>
      <c r="H20" s="979" t="s">
        <v>2150</v>
      </c>
      <c r="I20" s="137"/>
    </row>
    <row r="21" spans="1:35" ht="15" customHeight="1" thickBot="1">
      <c r="A21" s="999"/>
      <c r="B21" s="2424" t="s">
        <v>2151</v>
      </c>
      <c r="C21" s="788">
        <f ca="1">ROUND(C19*10000/L19,0)</f>
        <v>78787</v>
      </c>
      <c r="D21" s="789">
        <f ca="1">ROUND(D19*10000/L19,0)</f>
        <v>50842</v>
      </c>
      <c r="E21" s="999"/>
      <c r="F21" s="2424" t="s">
        <v>2151</v>
      </c>
      <c r="G21" s="148">
        <f ca="1">ROUND(G19*10000/L19,0)</f>
        <v>67609</v>
      </c>
      <c r="H21" s="2425" t="s">
        <v>2150</v>
      </c>
      <c r="I21" s="137"/>
    </row>
    <row r="22" spans="1:35" ht="15" thickBot="1">
      <c r="A22" s="2267" t="s">
        <v>2152</v>
      </c>
      <c r="B22" s="2426"/>
      <c r="C22" s="2427"/>
      <c r="D22" s="790">
        <f ca="1">IF(C19&lt;D19,D19/C19-1,C19/D19-1)</f>
        <v>0.54964588372457235</v>
      </c>
      <c r="E22" s="137"/>
      <c r="F22" s="137"/>
      <c r="G22" s="137"/>
      <c r="H22" s="137"/>
      <c r="I22" s="137"/>
    </row>
    <row r="23" spans="1:35" ht="13.5" thickBot="1">
      <c r="A23" s="2404"/>
      <c r="B23" s="2404"/>
      <c r="C23" s="2404"/>
      <c r="D23" s="2404"/>
      <c r="E23" s="137"/>
      <c r="F23" s="137"/>
      <c r="G23" s="137"/>
      <c r="H23" s="137"/>
      <c r="I23" s="137"/>
    </row>
    <row r="24" spans="1:35" ht="14.25">
      <c r="A24" s="3564" t="s">
        <v>2153</v>
      </c>
      <c r="B24" s="2421" t="s">
        <v>2145</v>
      </c>
      <c r="C24" s="144">
        <f>IF(B30=0,0,D30)</f>
        <v>0</v>
      </c>
      <c r="D24" s="2428"/>
      <c r="E24" s="137"/>
      <c r="F24" s="137"/>
      <c r="G24" s="137"/>
      <c r="H24" s="137"/>
      <c r="I24" s="137"/>
    </row>
    <row r="25" spans="1:35" ht="14.25">
      <c r="A25" s="3565"/>
      <c r="B25" s="1243" t="s">
        <v>2149</v>
      </c>
      <c r="C25" s="149">
        <f>IF(B30=0,0,C30)</f>
        <v>0</v>
      </c>
      <c r="D25" s="2429"/>
      <c r="E25" s="137"/>
      <c r="F25" s="137"/>
      <c r="G25" s="137"/>
      <c r="H25" s="137"/>
      <c r="I25" s="137"/>
    </row>
    <row r="26" spans="1:35" ht="13.5" customHeight="1">
      <c r="A26" s="2430" t="s">
        <v>2154</v>
      </c>
      <c r="B26" s="150" t="s">
        <v>2155</v>
      </c>
      <c r="C26" s="150" t="s">
        <v>2156</v>
      </c>
      <c r="D26" s="151" t="s">
        <v>2157</v>
      </c>
      <c r="E26" s="137"/>
      <c r="F26" s="137"/>
      <c r="G26" s="137"/>
      <c r="H26" s="137"/>
      <c r="I26" s="137"/>
    </row>
    <row r="27" spans="1:35" ht="14.25">
      <c r="A27" s="2430"/>
      <c r="B27" s="150">
        <v>0</v>
      </c>
      <c r="C27" s="150">
        <v>0</v>
      </c>
      <c r="D27" s="151">
        <f>ROUND(C27*B27/10000,0)</f>
        <v>0</v>
      </c>
      <c r="E27" s="137"/>
      <c r="F27" s="137"/>
      <c r="G27" s="137"/>
      <c r="H27" s="137"/>
      <c r="I27" s="137"/>
    </row>
    <row r="28" spans="1:35" ht="14.25">
      <c r="A28" s="2430"/>
      <c r="B28" s="150"/>
      <c r="C28" s="150"/>
      <c r="D28" s="151"/>
      <c r="E28" s="137"/>
      <c r="F28" s="137"/>
      <c r="G28" s="137"/>
      <c r="H28" s="137"/>
      <c r="I28" s="137"/>
    </row>
    <row r="29" spans="1:35" ht="14.25">
      <c r="A29" s="2430"/>
      <c r="B29" s="150"/>
      <c r="C29" s="150"/>
      <c r="D29" s="151"/>
      <c r="E29" s="137"/>
      <c r="F29" s="137"/>
      <c r="G29" s="137"/>
      <c r="H29" s="137"/>
      <c r="I29" s="137"/>
    </row>
    <row r="30" spans="1:35" ht="14.25">
      <c r="A30" s="150" t="s">
        <v>2158</v>
      </c>
      <c r="B30" s="150"/>
      <c r="C30" s="150"/>
      <c r="D30" s="150"/>
      <c r="E30" s="2902" t="s">
        <v>3031</v>
      </c>
      <c r="F30" s="137"/>
      <c r="G30" s="137"/>
      <c r="H30" s="137"/>
      <c r="I30" s="137"/>
    </row>
    <row r="31" spans="1:35" s="2432" customFormat="1" ht="15" thickBot="1">
      <c r="A31" s="2431"/>
      <c r="B31" s="2431"/>
      <c r="C31" s="2431"/>
      <c r="D31" s="2431"/>
      <c r="E31" s="137"/>
      <c r="F31" s="137"/>
      <c r="G31" s="137"/>
      <c r="H31" s="137"/>
      <c r="I31" s="137"/>
      <c r="J31" s="794"/>
      <c r="K31" s="794"/>
      <c r="L31" s="794"/>
      <c r="M31" s="794"/>
      <c r="N31" s="794"/>
      <c r="O31" s="794"/>
      <c r="P31" s="794"/>
      <c r="Q31" s="794"/>
      <c r="R31" s="794"/>
      <c r="S31" s="794"/>
      <c r="T31" s="794"/>
      <c r="U31" s="794"/>
      <c r="V31" s="794"/>
      <c r="W31" s="794"/>
      <c r="X31" s="794"/>
      <c r="Y31" s="794"/>
      <c r="Z31" s="794"/>
      <c r="AA31" s="2409"/>
      <c r="AB31" s="2409"/>
      <c r="AC31" s="2409"/>
      <c r="AD31" s="2409"/>
      <c r="AE31" s="2409"/>
      <c r="AF31" s="2409"/>
      <c r="AG31" s="2409"/>
      <c r="AH31" s="2409"/>
      <c r="AI31" s="2409"/>
    </row>
    <row r="32" spans="1:35" ht="15.75" thickBot="1">
      <c r="A32" s="2433" t="s">
        <v>2159</v>
      </c>
      <c r="B32" s="2434"/>
      <c r="C32" s="152">
        <f ca="1">IF(D32="总价",G19-C24,G20-C25)</f>
        <v>305676</v>
      </c>
      <c r="D32" s="2435" t="s">
        <v>2160</v>
      </c>
      <c r="E32" s="137"/>
      <c r="F32" s="137"/>
      <c r="G32" s="137"/>
      <c r="H32" s="137"/>
      <c r="I32" s="137"/>
    </row>
    <row r="33" spans="1:15" ht="15">
      <c r="A33" s="956" t="s">
        <v>2161</v>
      </c>
      <c r="B33" s="2436"/>
      <c r="C33" s="2437"/>
      <c r="D33" s="2438"/>
      <c r="E33" s="2439" t="s">
        <v>2162</v>
      </c>
      <c r="F33" s="2440" t="str">
        <f>IF(D32="楼面单价","取值（单价）","取值（总价）")</f>
        <v>取值（总价）</v>
      </c>
      <c r="G33" s="137"/>
      <c r="H33" s="137"/>
      <c r="I33" s="137"/>
    </row>
    <row r="34" spans="1:15" ht="15">
      <c r="A34" s="2441"/>
      <c r="B34" s="2442"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43" t="s">
        <v>2164</v>
      </c>
      <c r="F34" s="1732"/>
      <c r="G34" s="137"/>
      <c r="H34" s="137"/>
      <c r="I34" s="137"/>
    </row>
    <row r="35" spans="1:15" ht="15.75" thickBot="1">
      <c r="A35" s="2444"/>
      <c r="B35" s="2445" t="s">
        <v>2165</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46" t="s">
        <v>2166</v>
      </c>
      <c r="F35" s="162"/>
      <c r="G35" s="137"/>
      <c r="H35" s="137"/>
      <c r="I35" s="137"/>
    </row>
    <row r="36" spans="1:15" ht="15.75" thickBot="1">
      <c r="A36" s="3544" t="s">
        <v>2167</v>
      </c>
      <c r="B36" s="2447" t="s">
        <v>2168</v>
      </c>
      <c r="C36" s="153"/>
      <c r="D36" s="2448"/>
      <c r="E36" s="2449"/>
      <c r="F36" s="2450"/>
      <c r="G36" s="137"/>
      <c r="H36" s="137"/>
      <c r="I36" s="137"/>
    </row>
    <row r="37" spans="1:15" ht="15.75" thickBot="1">
      <c r="A37" s="3545"/>
      <c r="B37" s="2253" t="s">
        <v>2169</v>
      </c>
      <c r="C37" s="155"/>
      <c r="D37" s="1388"/>
      <c r="E37" s="1388"/>
      <c r="F37" s="2450"/>
      <c r="G37" s="137"/>
      <c r="H37" s="137"/>
      <c r="I37" s="137"/>
    </row>
    <row r="38" spans="1:15" ht="15.75" thickBot="1">
      <c r="A38" s="3546"/>
      <c r="B38" s="2451" t="s">
        <v>2170</v>
      </c>
      <c r="C38" s="726"/>
      <c r="D38" s="2452" t="s">
        <v>2171</v>
      </c>
      <c r="E38" s="1388"/>
      <c r="F38" s="2450"/>
      <c r="G38" s="137"/>
      <c r="H38" s="137"/>
      <c r="I38" s="137"/>
    </row>
    <row r="39" spans="1:15" ht="15">
      <c r="A39" s="2423" t="s">
        <v>2172</v>
      </c>
      <c r="B39" s="2453" t="s">
        <v>2173</v>
      </c>
      <c r="C39" s="2454" t="s">
        <v>2174</v>
      </c>
      <c r="D39" s="2454" t="s">
        <v>2175</v>
      </c>
      <c r="E39" s="2455" t="s">
        <v>2176</v>
      </c>
      <c r="F39" s="2450"/>
      <c r="G39" s="137"/>
      <c r="H39" s="137"/>
      <c r="I39" s="137"/>
    </row>
    <row r="40" spans="1:15" ht="14.25">
      <c r="A40" s="2456" t="s">
        <v>2177</v>
      </c>
      <c r="B40" s="157"/>
      <c r="C40" s="158"/>
      <c r="D40" s="158"/>
      <c r="E40" s="159"/>
      <c r="F40" s="2450"/>
      <c r="G40" s="137"/>
      <c r="H40" s="137"/>
      <c r="I40" s="137"/>
    </row>
    <row r="41" spans="1:15" ht="14.25">
      <c r="A41" s="2456" t="s">
        <v>2178</v>
      </c>
      <c r="B41" s="157"/>
      <c r="C41" s="158"/>
      <c r="D41" s="158"/>
      <c r="E41" s="159"/>
      <c r="F41" s="2450"/>
      <c r="G41" s="137"/>
      <c r="H41" s="137"/>
      <c r="I41" s="137"/>
    </row>
    <row r="42" spans="1:15" ht="15" thickBot="1">
      <c r="A42" s="2457"/>
      <c r="B42" s="160"/>
      <c r="C42" s="161"/>
      <c r="D42" s="161"/>
      <c r="E42" s="162"/>
      <c r="F42" s="2450"/>
      <c r="G42" s="137"/>
      <c r="H42" s="137"/>
      <c r="I42" s="137"/>
    </row>
    <row r="43" spans="1:15" ht="12.75">
      <c r="A43" s="2152"/>
      <c r="B43" s="2152"/>
      <c r="C43" s="2152"/>
      <c r="D43" s="2152"/>
      <c r="E43" s="2152"/>
      <c r="F43" s="2458"/>
      <c r="G43" s="2458"/>
      <c r="H43" s="2458"/>
      <c r="I43" s="2459"/>
    </row>
    <row r="44" spans="1:15" ht="18.75">
      <c r="A44" s="2460" t="s">
        <v>2179</v>
      </c>
      <c r="B44" s="2461"/>
      <c r="C44" s="2461"/>
      <c r="D44" s="2462"/>
      <c r="E44" s="2462"/>
      <c r="F44" s="2463"/>
      <c r="G44" s="2463"/>
      <c r="H44" s="2463"/>
      <c r="I44" s="2463"/>
      <c r="J44" s="2464" t="s">
        <v>2180</v>
      </c>
      <c r="K44" s="2465"/>
      <c r="L44" s="2465"/>
      <c r="M44" s="2465"/>
      <c r="N44" s="2465"/>
      <c r="O44" s="2465"/>
    </row>
    <row r="45" spans="1:15" ht="14.25" customHeight="1" thickBot="1">
      <c r="A45" s="3561" t="s">
        <v>2181</v>
      </c>
      <c r="B45" s="3562"/>
      <c r="C45" s="3563"/>
      <c r="D45" s="163">
        <f ca="1">ROUND(H101*F45,0)</f>
        <v>305676</v>
      </c>
      <c r="E45" s="164" t="s">
        <v>2182</v>
      </c>
      <c r="F45" s="165">
        <v>1</v>
      </c>
      <c r="G45" s="166" t="s">
        <v>2183</v>
      </c>
      <c r="H45" s="137"/>
      <c r="I45" s="137"/>
      <c r="J45" s="3478" t="s">
        <v>2184</v>
      </c>
      <c r="K45" s="3478"/>
      <c r="L45" s="3478"/>
      <c r="M45" s="3478"/>
      <c r="N45" s="3478"/>
      <c r="O45" s="3478"/>
    </row>
    <row r="46" spans="1:15" ht="14.25" customHeight="1">
      <c r="A46" s="3558" t="s">
        <v>2185</v>
      </c>
      <c r="B46" s="3559"/>
      <c r="C46" s="3559"/>
      <c r="D46" s="3559"/>
      <c r="E46" s="3559"/>
      <c r="F46" s="3559"/>
      <c r="G46" s="3560"/>
      <c r="H46" s="2466"/>
      <c r="I46" s="167"/>
      <c r="J46" s="1797">
        <v>1</v>
      </c>
      <c r="K46" s="3478" t="s">
        <v>2186</v>
      </c>
      <c r="L46" s="3478"/>
      <c r="M46" s="3479"/>
      <c r="N46" s="3479"/>
      <c r="O46" s="3479"/>
    </row>
    <row r="47" spans="1:15" ht="12" customHeight="1">
      <c r="A47" s="168" t="s">
        <v>2187</v>
      </c>
      <c r="B47" s="169"/>
      <c r="C47" s="170"/>
      <c r="D47" s="171" t="s">
        <v>2188</v>
      </c>
      <c r="E47" s="24" t="s">
        <v>2189</v>
      </c>
      <c r="F47" s="172" t="s">
        <v>2190</v>
      </c>
      <c r="G47" s="173" t="s">
        <v>2191</v>
      </c>
      <c r="H47" s="2466"/>
      <c r="I47" s="167"/>
      <c r="J47" s="1797">
        <v>2</v>
      </c>
      <c r="K47" s="3478" t="s">
        <v>2192</v>
      </c>
      <c r="L47" s="3478"/>
      <c r="M47" s="3480">
        <f>'数据-取费表'!B2</f>
        <v>44011</v>
      </c>
      <c r="N47" s="3480"/>
      <c r="O47" s="3480"/>
    </row>
    <row r="48" spans="1:15" ht="25.5">
      <c r="A48" s="3548" t="s">
        <v>2193</v>
      </c>
      <c r="B48" s="3549"/>
      <c r="C48" s="3549"/>
      <c r="D48" s="139">
        <f>IF(H48="情况1",0,IF(H48="情况2",D52,IF(H48="情况3",D53,IF(H48="情况4",D54))))</f>
        <v>0</v>
      </c>
      <c r="E48" s="1786" t="str">
        <f>IF(H48="情况4","(销售额-原购置价)×税（费）率","销售额×税（费）率")</f>
        <v>销售额×税（费）率</v>
      </c>
      <c r="F48" s="174" t="str">
        <f>IF(H48="情况1","免征",'数据-取费表'!B41)</f>
        <v>免征</v>
      </c>
      <c r="G48" s="2467" t="s">
        <v>2194</v>
      </c>
      <c r="H48" s="2468" t="s">
        <v>2195</v>
      </c>
      <c r="I48" s="2466"/>
      <c r="J48" s="1797">
        <v>3</v>
      </c>
      <c r="K48" s="3478" t="s">
        <v>2196</v>
      </c>
      <c r="L48" s="3478"/>
      <c r="M48" s="3481">
        <f ca="1">H101</f>
        <v>305676</v>
      </c>
      <c r="N48" s="3481"/>
      <c r="O48" s="3481"/>
    </row>
    <row r="49" spans="1:35" ht="25.5" customHeight="1">
      <c r="A49" s="175" t="s">
        <v>2197</v>
      </c>
      <c r="B49" s="3528" t="s">
        <v>2198</v>
      </c>
      <c r="C49" s="3528"/>
      <c r="D49" s="176">
        <v>0</v>
      </c>
      <c r="E49" s="23" t="s">
        <v>2199</v>
      </c>
      <c r="F49" s="28" t="s">
        <v>34</v>
      </c>
      <c r="G49" s="3509"/>
      <c r="H49" s="137"/>
      <c r="I49" s="2469"/>
      <c r="J49" s="1797">
        <v>4</v>
      </c>
      <c r="K49" s="3478" t="str">
        <f>IF(项目基本情况!E8="房地产抵押价值","房地产抵押价值","抵押担保权已注销时的房地产抵押价值")</f>
        <v>抵押担保权已注销时的房地产抵押价值</v>
      </c>
      <c r="L49" s="3478"/>
      <c r="M49" s="3481" t="str">
        <f>IF(项目基本情况!E8="房地产抵押价值",H107,H109)</f>
        <v>——</v>
      </c>
      <c r="N49" s="3481"/>
      <c r="O49" s="3481"/>
    </row>
    <row r="50" spans="1:35" ht="25.5" customHeight="1">
      <c r="A50" s="177"/>
      <c r="B50" s="3528" t="s">
        <v>2200</v>
      </c>
      <c r="C50" s="3528"/>
      <c r="D50" s="178"/>
      <c r="E50" s="31"/>
      <c r="F50" s="179"/>
      <c r="G50" s="3510"/>
      <c r="H50" s="137"/>
      <c r="I50" s="2469"/>
      <c r="J50" s="3478" t="s">
        <v>2201</v>
      </c>
      <c r="K50" s="3478"/>
      <c r="L50" s="3478"/>
      <c r="M50" s="3478"/>
      <c r="N50" s="3478"/>
      <c r="O50" s="3478"/>
    </row>
    <row r="51" spans="1:35" ht="12" customHeight="1">
      <c r="A51" s="180"/>
      <c r="B51" s="3528" t="s">
        <v>2202</v>
      </c>
      <c r="C51" s="3528"/>
      <c r="D51" s="181"/>
      <c r="E51" s="30"/>
      <c r="F51" s="179"/>
      <c r="G51" s="3511"/>
      <c r="H51" s="137"/>
      <c r="I51" s="2469"/>
      <c r="J51" s="2470" t="s">
        <v>2203</v>
      </c>
      <c r="K51" s="3478" t="s">
        <v>2204</v>
      </c>
      <c r="L51" s="3478"/>
      <c r="M51" s="2470" t="s">
        <v>2205</v>
      </c>
      <c r="N51" s="2470" t="s">
        <v>2206</v>
      </c>
      <c r="O51" s="2470" t="s">
        <v>2207</v>
      </c>
    </row>
    <row r="52" spans="1:35" ht="24" customHeight="1">
      <c r="A52" s="182" t="s">
        <v>2208</v>
      </c>
      <c r="B52" s="3528" t="s">
        <v>2209</v>
      </c>
      <c r="C52" s="3528"/>
      <c r="D52" s="181">
        <f ca="1">ROUND(D45*'数据-取费表'!B41/(1+'数据-取费表'!C42),0)</f>
        <v>16303</v>
      </c>
      <c r="E52" s="11" t="s">
        <v>2210</v>
      </c>
      <c r="F52" s="183">
        <f>'数据-取费表'!B41</f>
        <v>5.6000000000000001E-2</v>
      </c>
      <c r="G52" s="2471"/>
      <c r="H52" s="137"/>
      <c r="I52" s="2469"/>
      <c r="J52" s="1797">
        <v>1</v>
      </c>
      <c r="K52" s="3503" t="s">
        <v>2211</v>
      </c>
      <c r="L52" s="3503"/>
      <c r="M52" s="1739">
        <f>D48</f>
        <v>0</v>
      </c>
      <c r="N52" s="1797" t="str">
        <f>E48</f>
        <v>销售额×税（费）率</v>
      </c>
      <c r="O52" s="1740" t="str">
        <f>F48</f>
        <v>免征</v>
      </c>
    </row>
    <row r="53" spans="1:35" ht="12" customHeight="1">
      <c r="A53" s="182" t="s">
        <v>2212</v>
      </c>
      <c r="B53" s="3529" t="s">
        <v>2213</v>
      </c>
      <c r="C53" s="3530"/>
      <c r="D53" s="181">
        <f ca="1">ROUND(D45*'数据-取费表'!B41/(1+'数据-取费表'!C42),0)</f>
        <v>16303</v>
      </c>
      <c r="E53" s="11" t="s">
        <v>2210</v>
      </c>
      <c r="F53" s="183">
        <f>'数据-取费表'!B41</f>
        <v>5.6000000000000001E-2</v>
      </c>
      <c r="G53" s="2471"/>
      <c r="H53" s="137"/>
      <c r="I53" s="2469"/>
      <c r="J53" s="1797">
        <v>2</v>
      </c>
      <c r="K53" s="3503" t="s">
        <v>2214</v>
      </c>
      <c r="L53" s="3503"/>
      <c r="M53" s="1739">
        <f t="shared" ref="M53:O54" ca="1" si="0">D55</f>
        <v>153</v>
      </c>
      <c r="N53" s="1797" t="str">
        <f t="shared" si="0"/>
        <v>销售额×税（费）率</v>
      </c>
      <c r="O53" s="1740">
        <f t="shared" si="0"/>
        <v>5.0000000000000001E-4</v>
      </c>
    </row>
    <row r="54" spans="1:35" ht="12" customHeight="1">
      <c r="A54" s="182" t="s">
        <v>2215</v>
      </c>
      <c r="B54" s="3529" t="s">
        <v>2216</v>
      </c>
      <c r="C54" s="3530"/>
      <c r="D54" s="181">
        <f ca="1">C68</f>
        <v>16303</v>
      </c>
      <c r="E54" s="30" t="s">
        <v>2217</v>
      </c>
      <c r="F54" s="183">
        <f>'数据-取费表'!B41</f>
        <v>5.6000000000000001E-2</v>
      </c>
      <c r="G54" s="2471"/>
      <c r="H54" s="2472"/>
      <c r="I54" s="2469"/>
      <c r="J54" s="1797">
        <v>3</v>
      </c>
      <c r="K54" s="3503" t="s">
        <v>2218</v>
      </c>
      <c r="L54" s="3503"/>
      <c r="M54" s="1739">
        <f t="shared" ca="1" si="0"/>
        <v>173012</v>
      </c>
      <c r="N54" s="1797" t="str">
        <f t="shared" si="0"/>
        <v>增值额×税（费）率</v>
      </c>
      <c r="O54" s="1741" t="str">
        <f t="shared" si="0"/>
        <v>——</v>
      </c>
    </row>
    <row r="55" spans="1:35" ht="24" customHeight="1">
      <c r="A55" s="3567" t="s">
        <v>2219</v>
      </c>
      <c r="B55" s="3549"/>
      <c r="C55" s="3549"/>
      <c r="D55" s="184">
        <f ca="1">IF(H55="个人住宅",0,ROUND(D45*I55,0))</f>
        <v>153</v>
      </c>
      <c r="E55" s="11" t="s">
        <v>2220</v>
      </c>
      <c r="F55" s="183">
        <f>IF(H55="正常",I55,"免征")</f>
        <v>5.0000000000000001E-4</v>
      </c>
      <c r="G55" s="2471"/>
      <c r="H55" s="2468" t="s">
        <v>2221</v>
      </c>
      <c r="I55" s="185">
        <f>'数据-取费表'!B49</f>
        <v>5.0000000000000001E-4</v>
      </c>
      <c r="J55" s="1797" t="str">
        <f>IF(H59="非个人房产","",4)</f>
        <v/>
      </c>
      <c r="K55" s="3503" t="str">
        <f>IF(H59="非个人房产","——","个人所得税")</f>
        <v>——</v>
      </c>
      <c r="L55" s="3503"/>
      <c r="M55" s="1742" t="str">
        <f>D59</f>
        <v>——</v>
      </c>
      <c r="N55" s="1795" t="str">
        <f>E59</f>
        <v>——</v>
      </c>
      <c r="O55" s="1743" t="str">
        <f>F59</f>
        <v>——</v>
      </c>
    </row>
    <row r="56" spans="1:35" ht="24.75">
      <c r="A56" s="3567" t="s">
        <v>2222</v>
      </c>
      <c r="B56" s="3549"/>
      <c r="C56" s="3549"/>
      <c r="D56" s="184">
        <f ca="1">IF(H56="个人住宅",D57,D58)</f>
        <v>173012</v>
      </c>
      <c r="E56" s="11" t="s">
        <v>2223</v>
      </c>
      <c r="F56" s="183" t="str">
        <f>IF(H56="正常",F58,"免征")</f>
        <v>——</v>
      </c>
      <c r="G56" s="2473" t="s">
        <v>2224</v>
      </c>
      <c r="H56" s="2474" t="s">
        <v>2221</v>
      </c>
      <c r="I56" s="2475"/>
      <c r="J56" s="1797" t="str">
        <f>IF(项目基本情况!K6="上海银行",IF(J55="",4,J55+1),"")</f>
        <v/>
      </c>
      <c r="K56" s="3484" t="str">
        <f>IF(项目基本情况!K6="上海银行","其他处置费用","")</f>
        <v/>
      </c>
      <c r="L56" s="3485"/>
      <c r="M56" s="1739" t="str">
        <f>IF(项目基本情况!K6="上海银行",M69,"")</f>
        <v/>
      </c>
      <c r="N56" s="3487" t="str">
        <f>IF(项目基本情况!K6="上海银行","包含处置中涉及的律师、诉讼、拍卖、评估等费用","")</f>
        <v/>
      </c>
      <c r="O56" s="3488"/>
    </row>
    <row r="57" spans="1:35" ht="12.75">
      <c r="A57" s="182" t="s">
        <v>2197</v>
      </c>
      <c r="B57" s="3534" t="s">
        <v>2225</v>
      </c>
      <c r="C57" s="3535"/>
      <c r="D57" s="186">
        <v>0</v>
      </c>
      <c r="E57" s="23" t="s">
        <v>2199</v>
      </c>
      <c r="F57" s="154"/>
      <c r="G57" s="2471"/>
      <c r="H57" s="2475"/>
      <c r="I57" s="2475"/>
      <c r="J57" s="3503">
        <f>IF(AND(J55="",J56=""),4,IF(项目基本情况!K6="上海银行",结果表!J56+1,结果表!J55+1))</f>
        <v>4</v>
      </c>
      <c r="K57" s="3503" t="s">
        <v>2226</v>
      </c>
      <c r="L57" s="2476" t="s">
        <v>2227</v>
      </c>
      <c r="M57" s="1744"/>
      <c r="N57" s="1745">
        <f ca="1">SUMIF(M52:M56,"&lt;9e307")</f>
        <v>173165</v>
      </c>
      <c r="O57" s="2477"/>
      <c r="P57" s="1738" t="e">
        <f ca="1">N57/M49</f>
        <v>#VALUE!</v>
      </c>
    </row>
    <row r="58" spans="1:35" ht="24.75">
      <c r="A58" s="182" t="s">
        <v>2208</v>
      </c>
      <c r="B58" s="3534" t="s">
        <v>2228</v>
      </c>
      <c r="C58" s="3547"/>
      <c r="D58" s="184">
        <f ca="1">IF(H58="转让取得",C81,C97)</f>
        <v>173012</v>
      </c>
      <c r="E58" s="11" t="s">
        <v>2223</v>
      </c>
      <c r="F58" s="24" t="s">
        <v>34</v>
      </c>
      <c r="G58" s="2471"/>
      <c r="H58" s="2474" t="s">
        <v>2229</v>
      </c>
      <c r="I58" s="2475"/>
      <c r="J58" s="3503"/>
      <c r="K58" s="3503"/>
      <c r="L58" s="2476" t="s">
        <v>2230</v>
      </c>
      <c r="M58" s="1746"/>
      <c r="N58" s="2478" t="str">
        <f ca="1">NUMBERSTRING(INT(N57*10000),2)&amp;"元整"</f>
        <v>壹拾柒亿叁仟壹佰陆拾伍万元整</v>
      </c>
      <c r="O58" s="2479"/>
    </row>
    <row r="59" spans="1:35" ht="24.75" thickBot="1">
      <c r="A59" s="3507" t="s">
        <v>2231</v>
      </c>
      <c r="B59" s="3508"/>
      <c r="C59" s="3508"/>
      <c r="D59" s="187" t="str">
        <f>IF(H59="非个人房产","——",IF(H59="个人住宅",0,ROUND(D45*I59,0)))</f>
        <v>——</v>
      </c>
      <c r="E59" s="188" t="str">
        <f>IF(H59="非个人房产","——","销售额×税（费）率")</f>
        <v>——</v>
      </c>
      <c r="F59" s="189" t="str">
        <f>IF(H59="非个人房产","——",IF(H59="个人住宅","免征",I59))</f>
        <v>——</v>
      </c>
      <c r="G59" s="2480" t="s">
        <v>2224</v>
      </c>
      <c r="H59" s="2474" t="s">
        <v>2232</v>
      </c>
      <c r="I59" s="190">
        <v>0.01</v>
      </c>
      <c r="J59" s="3505">
        <f>J57+1</f>
        <v>5</v>
      </c>
      <c r="K59" s="3503" t="s">
        <v>2233</v>
      </c>
      <c r="L59" s="1797" t="s">
        <v>2227</v>
      </c>
      <c r="M59" s="1747"/>
      <c r="N59" s="1748" t="e">
        <f ca="1">M49-N57</f>
        <v>#VALUE!</v>
      </c>
      <c r="O59" s="2481"/>
    </row>
    <row r="60" spans="1:35" ht="12" customHeight="1">
      <c r="A60" s="2482"/>
      <c r="B60" s="2404"/>
      <c r="C60" s="2404"/>
      <c r="D60" s="2404"/>
      <c r="E60" s="2153"/>
      <c r="F60" s="2475"/>
      <c r="G60" s="2475"/>
      <c r="H60" s="2483"/>
      <c r="I60" s="137"/>
      <c r="J60" s="3506"/>
      <c r="K60" s="3503"/>
      <c r="L60" s="2476" t="s">
        <v>2230</v>
      </c>
      <c r="M60" s="1746"/>
      <c r="N60" s="2478" t="e">
        <f ca="1">NUMBERSTRING(INT(N59*10000),2)&amp;"元整"</f>
        <v>#VALUE!</v>
      </c>
      <c r="O60" s="2479"/>
    </row>
    <row r="61" spans="1:35" ht="13.5" thickBot="1">
      <c r="A61" s="3566" t="s">
        <v>2234</v>
      </c>
      <c r="B61" s="3566"/>
      <c r="C61" s="3566"/>
      <c r="D61" s="3566"/>
      <c r="E61" s="3566"/>
      <c r="F61" s="2475"/>
      <c r="G61" s="2475"/>
      <c r="H61" s="2483"/>
      <c r="I61" s="137"/>
      <c r="J61" s="1797">
        <f>J59+1</f>
        <v>6</v>
      </c>
      <c r="K61" s="3503" t="s">
        <v>2235</v>
      </c>
      <c r="L61" s="3503"/>
      <c r="M61" s="1749"/>
      <c r="N61" s="1750" t="e">
        <f ca="1">ROUND(N59*10000/'数据-汇总表'!E3,0)</f>
        <v>#VALUE!</v>
      </c>
      <c r="O61" s="2484"/>
    </row>
    <row r="62" spans="1:35" ht="12.75">
      <c r="A62" s="3523" t="s">
        <v>2236</v>
      </c>
      <c r="B62" s="3524"/>
      <c r="C62" s="1789"/>
      <c r="D62" s="1789" t="s">
        <v>2237</v>
      </c>
      <c r="E62" s="191" t="s">
        <v>2238</v>
      </c>
      <c r="F62" s="2475"/>
      <c r="G62" s="2475"/>
      <c r="H62" s="2483"/>
      <c r="I62" s="137"/>
    </row>
    <row r="63" spans="1:35" ht="12.75">
      <c r="A63" s="202" t="s">
        <v>775</v>
      </c>
      <c r="B63" s="192" t="s">
        <v>2239</v>
      </c>
      <c r="C63" s="193">
        <f ca="1">ROUND((C64+C65)/(1+'数据-取费表'!C42),0)</f>
        <v>291120</v>
      </c>
      <c r="D63" s="194"/>
      <c r="E63" s="195"/>
      <c r="F63" s="2475"/>
      <c r="G63" s="2475"/>
      <c r="H63" s="2483"/>
      <c r="I63" s="137"/>
      <c r="J63" s="3486" t="s">
        <v>2240</v>
      </c>
      <c r="K63" s="2485" t="s">
        <v>2241</v>
      </c>
      <c r="L63" s="1737" t="e">
        <f>IF(M49&gt;10000,M49*0.5%,IF(AND(M49&gt;1000,M49&lt;=10000),M49*1%,IF(AND(M49&gt;100,M49&lt;=1000),M49*3%,IF(AND(M49&gt;10,M49&lt;=100),M49*5%,M49*8%))))</f>
        <v>#VALUE!</v>
      </c>
      <c r="M63" s="24" t="e">
        <f>ROUND(L63,1)</f>
        <v>#VALUE!</v>
      </c>
      <c r="Z63" s="2409"/>
      <c r="AI63" s="2410"/>
    </row>
    <row r="64" spans="1:35" ht="14.25" customHeight="1">
      <c r="A64" s="196" t="s">
        <v>770</v>
      </c>
      <c r="B64" s="197" t="s">
        <v>2242</v>
      </c>
      <c r="C64" s="198">
        <f ca="1">D45</f>
        <v>305676</v>
      </c>
      <c r="D64" s="199" t="s">
        <v>32</v>
      </c>
      <c r="E64" s="200"/>
      <c r="F64" s="2475"/>
      <c r="G64" s="2475"/>
      <c r="H64" s="2483"/>
      <c r="I64" s="137"/>
      <c r="J64" s="3486"/>
      <c r="K64" s="2485" t="s">
        <v>2243</v>
      </c>
      <c r="L64" s="173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2244</v>
      </c>
      <c r="Z64" s="2409"/>
      <c r="AI64" s="2410"/>
    </row>
    <row r="65" spans="1:35" ht="14.25" customHeight="1">
      <c r="A65" s="196" t="s">
        <v>771</v>
      </c>
      <c r="B65" s="197" t="s">
        <v>2245</v>
      </c>
      <c r="C65" s="201"/>
      <c r="D65" s="199"/>
      <c r="E65" s="200"/>
      <c r="F65" s="2475"/>
      <c r="G65" s="2475"/>
      <c r="H65" s="2483"/>
      <c r="I65" s="137"/>
      <c r="J65" s="3486"/>
      <c r="K65" s="2485" t="s">
        <v>2246</v>
      </c>
      <c r="L65" s="1737" t="e">
        <f>IF(M49&gt;1000,M49*0.1%,IF(AND(M49&gt;500,M49&lt;=1000),M49*0.5%,IF(AND(M49&gt;50,M49&lt;=500),M49*1%,IF(AND(M49&gt;1,M49&lt;=50),M49*1.5%))))</f>
        <v>#VALUE!</v>
      </c>
      <c r="M65" s="24" t="e">
        <f t="shared" si="1"/>
        <v>#VALUE!</v>
      </c>
      <c r="N65" s="137" t="s">
        <v>2244</v>
      </c>
      <c r="Z65" s="2409"/>
      <c r="AI65" s="2410"/>
    </row>
    <row r="66" spans="1:35" ht="14.25" customHeight="1">
      <c r="A66" s="202" t="s">
        <v>772</v>
      </c>
      <c r="B66" s="203" t="s">
        <v>2247</v>
      </c>
      <c r="C66" s="204"/>
      <c r="D66" s="205" t="s">
        <v>32</v>
      </c>
      <c r="E66" s="1761" t="s">
        <v>1366</v>
      </c>
      <c r="F66" s="2475"/>
      <c r="G66" s="2475"/>
      <c r="H66" s="2483"/>
      <c r="I66" s="137"/>
      <c r="J66" s="3486"/>
      <c r="K66" s="2485" t="s">
        <v>2248</v>
      </c>
      <c r="L66" s="1737" t="e">
        <f>M49*0.5%</f>
        <v>#VALUE!</v>
      </c>
      <c r="M66" s="24" t="e">
        <f>IF(L66&gt;0.5,0.5,ROUND(L66,0))</f>
        <v>#VALUE!</v>
      </c>
      <c r="N66" s="137" t="s">
        <v>2249</v>
      </c>
      <c r="Z66" s="2409"/>
      <c r="AI66" s="2410"/>
    </row>
    <row r="67" spans="1:35" ht="14.25" customHeight="1">
      <c r="A67" s="202" t="s">
        <v>773</v>
      </c>
      <c r="B67" s="203" t="s">
        <v>2250</v>
      </c>
      <c r="C67" s="206">
        <f ca="1">C63-C66</f>
        <v>291120</v>
      </c>
      <c r="D67" s="199" t="s">
        <v>32</v>
      </c>
      <c r="E67" s="200"/>
      <c r="F67" s="2475"/>
      <c r="G67" s="2475"/>
      <c r="H67" s="2483"/>
      <c r="I67" s="137"/>
      <c r="J67" s="3486"/>
      <c r="K67" s="2485" t="s">
        <v>2251</v>
      </c>
      <c r="L67" s="173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7" t="s">
        <v>774</v>
      </c>
      <c r="B68" s="208" t="s">
        <v>2252</v>
      </c>
      <c r="C68" s="209">
        <f ca="1">IF(C67&lt;=0,0,ROUND(C67*D68,0))</f>
        <v>16303</v>
      </c>
      <c r="D68" s="210">
        <f>'数据-取费表'!B41</f>
        <v>5.6000000000000001E-2</v>
      </c>
      <c r="E68" s="211"/>
      <c r="F68" s="2475"/>
      <c r="G68" s="2475"/>
      <c r="H68" s="2483"/>
      <c r="I68" s="137"/>
      <c r="J68" s="3486"/>
      <c r="K68" s="2485" t="s">
        <v>2253</v>
      </c>
      <c r="L68" s="1737"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3"/>
      <c r="G69" s="2153"/>
      <c r="H69" s="2152"/>
      <c r="I69" s="2404"/>
      <c r="J69" s="3486"/>
      <c r="K69" s="2485" t="s">
        <v>2254</v>
      </c>
      <c r="L69" s="2491"/>
      <c r="M69" s="24" t="e">
        <f>ROUND(SUM(M63:M68),0)</f>
        <v>#VALUE!</v>
      </c>
      <c r="N69" s="1738" t="e">
        <f>M69/M49</f>
        <v>#VALUE!</v>
      </c>
      <c r="O69" s="794"/>
      <c r="P69" s="794"/>
      <c r="Q69" s="794"/>
      <c r="R69" s="794"/>
      <c r="S69" s="794"/>
      <c r="T69" s="794"/>
      <c r="U69" s="794"/>
      <c r="V69" s="794"/>
      <c r="W69" s="794"/>
      <c r="X69" s="794"/>
      <c r="Y69" s="794"/>
      <c r="Z69" s="2409"/>
      <c r="AA69" s="2409"/>
      <c r="AB69" s="2409"/>
      <c r="AC69" s="2409"/>
      <c r="AD69" s="2409"/>
      <c r="AE69" s="2409"/>
      <c r="AF69" s="2409"/>
      <c r="AG69" s="2409"/>
      <c r="AH69" s="2409"/>
    </row>
    <row r="70" spans="1:35" s="2493" customFormat="1" ht="15" thickBot="1">
      <c r="A70" s="3532" t="s">
        <v>2255</v>
      </c>
      <c r="B70" s="3533"/>
      <c r="C70" s="3533"/>
      <c r="D70" s="3533"/>
      <c r="E70" s="3533"/>
      <c r="F70" s="3533"/>
      <c r="G70" s="3533"/>
      <c r="H70" s="3533"/>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523" t="s">
        <v>2236</v>
      </c>
      <c r="B71" s="3524"/>
      <c r="C71" s="1789"/>
      <c r="D71" s="1789" t="s">
        <v>2237</v>
      </c>
      <c r="E71" s="212" t="s">
        <v>2238</v>
      </c>
      <c r="F71" s="213"/>
      <c r="G71" s="213"/>
      <c r="H71" s="214"/>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2" t="s">
        <v>775</v>
      </c>
      <c r="B72" s="203" t="s">
        <v>2256</v>
      </c>
      <c r="C72" s="206">
        <f ca="1">ROUND(D45/(1+'数据-取费表'!C42),0)</f>
        <v>291120</v>
      </c>
      <c r="D72" s="199" t="s">
        <v>32</v>
      </c>
      <c r="E72" s="1788"/>
      <c r="F72" s="1782"/>
      <c r="G72" s="1782"/>
      <c r="H72" s="215"/>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2" t="s">
        <v>772</v>
      </c>
      <c r="B73" s="172" t="s">
        <v>2257</v>
      </c>
      <c r="C73" s="206">
        <f ca="1">C74+C78</f>
        <v>1747</v>
      </c>
      <c r="D73" s="199" t="s">
        <v>32</v>
      </c>
      <c r="E73" s="1788"/>
      <c r="F73" s="1782"/>
      <c r="G73" s="1782"/>
      <c r="H73" s="215"/>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6" t="s">
        <v>770</v>
      </c>
      <c r="B74" s="197" t="s">
        <v>2258</v>
      </c>
      <c r="C74" s="199">
        <f>ROUND(IF(G77="2016年5月1日后购买",C75/(1+'数据-取费表'!C42)+C76+C77,C75+C76+C77),0)</f>
        <v>0</v>
      </c>
      <c r="D74" s="199" t="s">
        <v>32</v>
      </c>
      <c r="E74" s="1788"/>
      <c r="F74" s="1782"/>
      <c r="G74" s="1782"/>
      <c r="H74" s="215"/>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6" t="s">
        <v>776</v>
      </c>
      <c r="B75" s="197" t="s">
        <v>2259</v>
      </c>
      <c r="C75" s="217"/>
      <c r="D75" s="199" t="s">
        <v>32</v>
      </c>
      <c r="E75" s="218" t="s">
        <v>2260</v>
      </c>
      <c r="F75" s="2497" t="s">
        <v>2261</v>
      </c>
      <c r="G75" s="218" t="s">
        <v>2262</v>
      </c>
      <c r="H75" s="219"/>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6" t="s">
        <v>777</v>
      </c>
      <c r="B76" s="220" t="s">
        <v>2263</v>
      </c>
      <c r="C76" s="199">
        <f>IF(F75="购房发票",ROUND(C75*H75*D76,0),0)</f>
        <v>0</v>
      </c>
      <c r="D76" s="221">
        <v>0.05</v>
      </c>
      <c r="E76" s="3529" t="s">
        <v>2264</v>
      </c>
      <c r="F76" s="3528"/>
      <c r="G76" s="3528"/>
      <c r="H76" s="3531"/>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499" t="s">
        <v>2267</v>
      </c>
      <c r="H77" s="179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6" t="s">
        <v>771</v>
      </c>
      <c r="B78" s="197" t="s">
        <v>2268</v>
      </c>
      <c r="C78" s="224">
        <f ca="1">ROUND(D45*D78/(1+'数据-取费表'!C42),0)</f>
        <v>1747</v>
      </c>
      <c r="D78" s="225">
        <f>'数据-取费表'!B43</f>
        <v>6.000000000000001E-3</v>
      </c>
      <c r="E78" s="3520" t="s">
        <v>2269</v>
      </c>
      <c r="F78" s="3521"/>
      <c r="G78" s="3521"/>
      <c r="H78" s="3522"/>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3" t="s">
        <v>2270</v>
      </c>
      <c r="C79" s="206">
        <f ca="1">C72-C73</f>
        <v>289373</v>
      </c>
      <c r="D79" s="199" t="s">
        <v>32</v>
      </c>
      <c r="E79" s="1788"/>
      <c r="F79" s="1782"/>
      <c r="G79" s="1782"/>
      <c r="H79" s="215"/>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3" t="s">
        <v>2271</v>
      </c>
      <c r="C80" s="226">
        <f ca="1">IF(C79&lt;=0,0,C79/C73)</f>
        <v>165.63995420721236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15"/>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8" t="s">
        <v>2272</v>
      </c>
      <c r="C81" s="227">
        <f ca="1">ROUND(IF(C79&lt;=0,0,IF(C80&gt;=200%,C79*60%-C73*35%,IF(C80&gt;=100%,C79*50%-C73*15%,IF(C80&gt;=50%,C79*40%-C73*5%,IF(C80&lt;50%,C79*30%,0))))),0)</f>
        <v>173012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2"/>
      <c r="B82" s="733"/>
      <c r="C82" s="7"/>
      <c r="D82" s="7"/>
      <c r="E82" s="733"/>
      <c r="F82" s="733"/>
      <c r="G82" s="733"/>
      <c r="H82" s="734"/>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532" t="s">
        <v>2273</v>
      </c>
      <c r="B83" s="3533"/>
      <c r="C83" s="3533"/>
      <c r="D83" s="3533"/>
      <c r="E83" s="3533"/>
      <c r="F83" s="3533"/>
      <c r="G83" s="3533"/>
      <c r="H83" s="3533"/>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523" t="s">
        <v>2236</v>
      </c>
      <c r="B84" s="3524"/>
      <c r="C84" s="1789"/>
      <c r="D84" s="1789" t="s">
        <v>2237</v>
      </c>
      <c r="E84" s="212" t="s">
        <v>2238</v>
      </c>
      <c r="F84" s="213"/>
      <c r="G84" s="213"/>
      <c r="H84" s="232"/>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2" t="s">
        <v>775</v>
      </c>
      <c r="B85" s="203" t="s">
        <v>2256</v>
      </c>
      <c r="C85" s="206">
        <f ca="1">ROUND(D45/(1+'数据-取费表'!C42),0)</f>
        <v>291120</v>
      </c>
      <c r="D85" s="199" t="s">
        <v>32</v>
      </c>
      <c r="E85" s="1788"/>
      <c r="F85" s="1782"/>
      <c r="G85" s="1782"/>
      <c r="H85" s="233"/>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2" t="s">
        <v>772</v>
      </c>
      <c r="B86" s="172" t="s">
        <v>2257</v>
      </c>
      <c r="C86" s="206">
        <f ca="1">IF(H88="仅含出让金",C87+C90+C91+C92+C93+C94,C87+C91+C92+C93+C94)</f>
        <v>1747</v>
      </c>
      <c r="D86" s="234"/>
      <c r="E86" s="1788"/>
      <c r="F86" s="1782"/>
      <c r="G86" s="1782"/>
      <c r="H86" s="233"/>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6" t="s">
        <v>770</v>
      </c>
      <c r="B87" s="197" t="s">
        <v>2274</v>
      </c>
      <c r="C87" s="224">
        <f>C88+C89</f>
        <v>0</v>
      </c>
      <c r="D87" s="225"/>
      <c r="E87" s="1784"/>
      <c r="F87" s="1785"/>
      <c r="G87" s="1785"/>
      <c r="H87" s="1787"/>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6" t="s">
        <v>776</v>
      </c>
      <c r="B88" s="197" t="s">
        <v>2275</v>
      </c>
      <c r="C88" s="235"/>
      <c r="D88" s="225"/>
      <c r="E88" s="236" t="s">
        <v>2276</v>
      </c>
      <c r="F88" s="1785"/>
      <c r="G88" s="237" t="s">
        <v>2277</v>
      </c>
      <c r="H88" s="2503"/>
      <c r="I88" s="2498"/>
      <c r="J88" s="2952" t="s">
        <v>3054</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6" t="s">
        <v>777</v>
      </c>
      <c r="B89" s="197" t="s">
        <v>2265</v>
      </c>
      <c r="C89" s="224">
        <f>ROUND(C88*D89,0)</f>
        <v>0</v>
      </c>
      <c r="D89" s="225">
        <f>'数据-取费表'!B48+'数据-取费表'!B49</f>
        <v>3.0499999999999999E-2</v>
      </c>
      <c r="E89" s="236" t="s">
        <v>2278</v>
      </c>
      <c r="F89" s="1785"/>
      <c r="G89" s="1785"/>
      <c r="H89" s="1787"/>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6" t="s">
        <v>771</v>
      </c>
      <c r="B90" s="197" t="s">
        <v>2279</v>
      </c>
      <c r="C90" s="235"/>
      <c r="D90" s="225"/>
      <c r="E90" s="236" t="str">
        <f>IF(H88="-","土地取得成本中已包含该笔费用"," ")</f>
        <v xml:space="preserve"> </v>
      </c>
      <c r="F90" s="1785"/>
      <c r="G90" s="3489" t="s">
        <v>3056</v>
      </c>
      <c r="H90" s="3490"/>
      <c r="I90" s="2498"/>
      <c r="J90" s="2952" t="s">
        <v>3055</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6" t="s">
        <v>2280</v>
      </c>
      <c r="B91" s="197" t="s">
        <v>2281</v>
      </c>
      <c r="C91" s="224">
        <f>IF(H91="——",成本法!C33,I91)</f>
        <v>0</v>
      </c>
      <c r="D91" s="225"/>
      <c r="E91" s="3520" t="s">
        <v>2282</v>
      </c>
      <c r="F91" s="3521"/>
      <c r="G91" s="3521"/>
      <c r="H91" s="2504" t="s">
        <v>2283</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6" t="s">
        <v>2284</v>
      </c>
      <c r="B92" s="197" t="s">
        <v>2285</v>
      </c>
      <c r="C92" s="224">
        <f>ROUND((C87+C90+C91)*D92,0)</f>
        <v>0</v>
      </c>
      <c r="D92" s="225">
        <v>0.1</v>
      </c>
      <c r="E92" s="3520" t="s">
        <v>2286</v>
      </c>
      <c r="F92" s="3521"/>
      <c r="G92" s="3521"/>
      <c r="H92" s="3522"/>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6" t="s">
        <v>2287</v>
      </c>
      <c r="B93" s="197" t="s">
        <v>2268</v>
      </c>
      <c r="C93" s="224">
        <f ca="1">ROUND(D45*D93/(1+'数据-取费表'!C42),0)</f>
        <v>1747</v>
      </c>
      <c r="D93" s="225">
        <f>'数据-取费表'!B43</f>
        <v>6.000000000000001E-3</v>
      </c>
      <c r="E93" s="3520" t="s">
        <v>2269</v>
      </c>
      <c r="F93" s="3521"/>
      <c r="G93" s="3521"/>
      <c r="H93" s="3522"/>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6" t="s">
        <v>2288</v>
      </c>
      <c r="B94" s="197" t="s">
        <v>2289</v>
      </c>
      <c r="C94" s="235">
        <f>ROUND((C87+C90+C91)*D94,0)</f>
        <v>0</v>
      </c>
      <c r="D94" s="225">
        <v>0.2</v>
      </c>
      <c r="E94" s="3568" t="s">
        <v>2290</v>
      </c>
      <c r="F94" s="3569"/>
      <c r="G94" s="3569"/>
      <c r="H94" s="3570"/>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3" t="s">
        <v>2270</v>
      </c>
      <c r="C95" s="206">
        <f ca="1">ROUND(C85-C86,0)</f>
        <v>289373</v>
      </c>
      <c r="D95" s="199" t="s">
        <v>32</v>
      </c>
      <c r="E95" s="1788"/>
      <c r="F95" s="1782"/>
      <c r="G95" s="1782"/>
      <c r="H95" s="233"/>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3" t="s">
        <v>2271</v>
      </c>
      <c r="C96" s="226">
        <f ca="1">IF(C95&lt;=0,0,C95/C86)</f>
        <v>165.63995420721236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33"/>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8" t="s">
        <v>2272</v>
      </c>
      <c r="C97" s="227">
        <f ca="1">ROUND(IF(C95&lt;=0,0,IF(C96&gt;=200%,C95*60%-C86*35%,IF(C96&gt;=100%,C95*50%-C86*15%,IF(C96&gt;=50%,C95*40%-C86*5%,IF(C96&lt;50%,C95*30%,0))))),0)</f>
        <v>173012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3"/>
      <c r="F98" s="2153"/>
      <c r="G98" s="2153"/>
      <c r="H98" s="2152"/>
      <c r="I98" s="137"/>
    </row>
    <row r="99" spans="1:35" ht="21.75" customHeight="1" thickBot="1">
      <c r="A99" s="2460" t="s">
        <v>2291</v>
      </c>
      <c r="B99" s="2404"/>
      <c r="C99" s="2404"/>
      <c r="D99" s="2404"/>
      <c r="E99" s="2153"/>
      <c r="F99" s="2153"/>
      <c r="G99" s="2153"/>
      <c r="H99" s="2152"/>
      <c r="I99" s="137"/>
    </row>
    <row r="100" spans="1:35" ht="18.75" customHeight="1">
      <c r="A100" s="3356" t="s">
        <v>2292</v>
      </c>
      <c r="B100" s="3357"/>
      <c r="C100" s="3357"/>
      <c r="D100" s="3504"/>
      <c r="E100" s="3357" t="s">
        <v>2293</v>
      </c>
      <c r="F100" s="3357"/>
      <c r="G100" s="3357"/>
      <c r="H100" s="3504"/>
      <c r="I100" s="137"/>
    </row>
    <row r="101" spans="1:35" ht="18.75" customHeight="1">
      <c r="A101" s="3512" t="s">
        <v>2294</v>
      </c>
      <c r="B101" s="3513"/>
      <c r="C101" s="735" t="str">
        <f>C4</f>
        <v>比较法-商业</v>
      </c>
      <c r="D101" s="736" t="str">
        <f>D4</f>
        <v>成本法</v>
      </c>
      <c r="E101" s="3482" t="s">
        <v>2295</v>
      </c>
      <c r="F101" s="3483"/>
      <c r="G101" s="2506" t="s">
        <v>2296</v>
      </c>
      <c r="H101" s="1044">
        <f ca="1">H118</f>
        <v>305676</v>
      </c>
      <c r="I101" s="137"/>
    </row>
    <row r="102" spans="1:35" ht="18.75" customHeight="1">
      <c r="A102" s="3514" t="s">
        <v>2297</v>
      </c>
      <c r="B102" s="2506" t="s">
        <v>2296</v>
      </c>
      <c r="C102" s="735">
        <f ca="1">C19</f>
        <v>356214</v>
      </c>
      <c r="D102" s="736">
        <f ca="1">D19</f>
        <v>229868</v>
      </c>
      <c r="E102" s="3482"/>
      <c r="F102" s="3483"/>
      <c r="G102" s="2506" t="s">
        <v>2298</v>
      </c>
      <c r="H102" s="370">
        <f ca="1">I118</f>
        <v>22536</v>
      </c>
      <c r="I102" s="137"/>
    </row>
    <row r="103" spans="1:35" ht="42.75" customHeight="1">
      <c r="A103" s="3514"/>
      <c r="B103" s="2506" t="s">
        <v>2298</v>
      </c>
      <c r="C103" s="737">
        <f ca="1">C20</f>
        <v>26262.400000000001</v>
      </c>
      <c r="D103" s="738">
        <f ca="1">D20</f>
        <v>16947</v>
      </c>
      <c r="E103" s="3476" t="s">
        <v>2299</v>
      </c>
      <c r="F103" s="3477"/>
      <c r="G103" s="2507" t="s">
        <v>2300</v>
      </c>
      <c r="H103" s="1044">
        <f>IF(D36="正常操作",H104+H105+H106,H105+H106)</f>
        <v>0</v>
      </c>
      <c r="I103" s="137"/>
    </row>
    <row r="104" spans="1:35" ht="18.75" customHeight="1">
      <c r="A104" s="3514" t="s">
        <v>2301</v>
      </c>
      <c r="B104" s="2508" t="s">
        <v>2296</v>
      </c>
      <c r="C104" s="739">
        <f ca="1">H118</f>
        <v>305676</v>
      </c>
      <c r="D104" s="740"/>
      <c r="E104" s="2253" t="s">
        <v>2302</v>
      </c>
      <c r="F104" s="2245"/>
      <c r="G104" s="2507" t="s">
        <v>2300</v>
      </c>
      <c r="H104" s="1045">
        <f>IF(D36="同一抵押权人同一抵押物续贷",C36&amp;"（未扣减，详见特别提示）",C36)</f>
        <v>0</v>
      </c>
      <c r="I104" s="137"/>
    </row>
    <row r="105" spans="1:35" ht="18.75" customHeight="1" thickBot="1">
      <c r="A105" s="3526"/>
      <c r="B105" s="2509" t="s">
        <v>2298</v>
      </c>
      <c r="C105" s="741">
        <f ca="1">I118</f>
        <v>22536</v>
      </c>
      <c r="D105" s="742"/>
      <c r="E105" s="2253" t="s">
        <v>2303</v>
      </c>
      <c r="F105" s="2245"/>
      <c r="G105" s="2507" t="s">
        <v>2300</v>
      </c>
      <c r="H105" s="1045">
        <f>C37</f>
        <v>0</v>
      </c>
      <c r="I105" s="137"/>
    </row>
    <row r="106" spans="1:35" ht="18.75" customHeight="1">
      <c r="A106" s="2404" t="s">
        <v>2304</v>
      </c>
      <c r="B106" s="2404"/>
      <c r="C106" s="2404"/>
      <c r="D106" s="2404"/>
      <c r="E106" s="2510" t="s">
        <v>2305</v>
      </c>
      <c r="F106" s="2245"/>
      <c r="G106" s="2507" t="s">
        <v>2300</v>
      </c>
      <c r="H106" s="1045">
        <f>C38</f>
        <v>0</v>
      </c>
      <c r="I106" s="137"/>
    </row>
    <row r="107" spans="1:35" ht="18.75" customHeight="1">
      <c r="A107" s="137"/>
      <c r="B107" s="137"/>
      <c r="C107" s="137"/>
      <c r="D107" s="137"/>
      <c r="E107" s="3515" t="str">
        <f>IF(项目基本情况!E8="已注销","——","3.房地产抵押价值")</f>
        <v>3.房地产抵押价值</v>
      </c>
      <c r="F107" s="3483"/>
      <c r="G107" s="2506" t="s">
        <v>2296</v>
      </c>
      <c r="H107" s="1044">
        <f ca="1">IF(E107="——","——",H101-H103)</f>
        <v>305676</v>
      </c>
      <c r="I107" s="137"/>
    </row>
    <row r="108" spans="1:35" ht="18.75" customHeight="1">
      <c r="A108" s="137"/>
      <c r="B108" s="137"/>
      <c r="C108" s="137"/>
      <c r="D108" s="137"/>
      <c r="E108" s="3515"/>
      <c r="F108" s="3483"/>
      <c r="G108" s="2506" t="s">
        <v>2298</v>
      </c>
      <c r="H108" s="370">
        <f ca="1">ROUND(H107*10000/'数据-汇总表'!E3,0)</f>
        <v>22536</v>
      </c>
      <c r="I108" s="137"/>
    </row>
    <row r="109" spans="1:35" ht="18.75" customHeight="1">
      <c r="A109" s="137"/>
      <c r="B109" s="137"/>
      <c r="C109" s="137"/>
      <c r="D109" s="137"/>
      <c r="E109" s="3515" t="str">
        <f>IF(项目基本情况!E8="已注销及未注销","4.抵押担保权已注销时的房地产抵押价值",IF(项目基本情况!E8="已注销","3.抵押担保权已注销时的房地产抵押价值","——"))</f>
        <v>——</v>
      </c>
      <c r="F109" s="3483"/>
      <c r="G109" s="2506" t="s">
        <v>2296</v>
      </c>
      <c r="H109" s="347" t="str">
        <f>IF(E109="——","——",H101-H105-H106)</f>
        <v>——</v>
      </c>
      <c r="I109" s="137"/>
    </row>
    <row r="110" spans="1:35" ht="18.75" customHeight="1">
      <c r="A110" s="137"/>
      <c r="B110" s="137"/>
      <c r="C110" s="137"/>
      <c r="D110" s="137"/>
      <c r="E110" s="3515"/>
      <c r="F110" s="3483"/>
      <c r="G110" s="2506" t="s">
        <v>2298</v>
      </c>
      <c r="H110" s="370" t="str">
        <f>IF(H109="——","——",ROUND(H109*10000/'数据-汇总表'!E3,0))</f>
        <v>——</v>
      </c>
      <c r="I110" s="137"/>
    </row>
    <row r="111" spans="1:35" ht="18.75" customHeight="1">
      <c r="A111" s="137"/>
      <c r="B111" s="137"/>
      <c r="C111" s="137"/>
      <c r="D111" s="137"/>
      <c r="E111" s="3516" t="str">
        <f>IF(项目基本情况!E9="抵押净值",IF(OR(项目基本情况!E8="已注销",项目基本情况!E8="房地产抵押价值"),"4.抵押净值","5.抵押净值"),"——")</f>
        <v>——</v>
      </c>
      <c r="F111" s="3517"/>
      <c r="G111" s="2506" t="s">
        <v>2296</v>
      </c>
      <c r="H111" s="1044" t="str">
        <f>IF(E111="——","——",N59)</f>
        <v>——</v>
      </c>
      <c r="I111" s="137"/>
    </row>
    <row r="112" spans="1:35" ht="18.75" customHeight="1" thickBot="1">
      <c r="A112" s="137"/>
      <c r="B112" s="137"/>
      <c r="C112" s="137"/>
      <c r="D112" s="137"/>
      <c r="E112" s="3518"/>
      <c r="F112" s="3519"/>
      <c r="G112" s="2511" t="s">
        <v>2298</v>
      </c>
      <c r="H112" s="789" t="str">
        <f>IF(E111="——","——",N61)</f>
        <v>——</v>
      </c>
      <c r="I112" s="137"/>
    </row>
    <row r="113" spans="1:11" ht="18.75" customHeight="1">
      <c r="A113" s="137"/>
      <c r="B113" s="137"/>
      <c r="C113" s="137"/>
      <c r="D113" s="137"/>
      <c r="E113" s="3527" t="s">
        <v>2304</v>
      </c>
      <c r="F113" s="3527"/>
      <c r="G113" s="3527"/>
      <c r="H113" s="3527"/>
      <c r="I113" s="137"/>
    </row>
    <row r="114" spans="1:11" ht="3.75" customHeight="1">
      <c r="A114" s="2404"/>
      <c r="B114" s="2404"/>
      <c r="C114" s="2404"/>
      <c r="D114" s="2404"/>
      <c r="E114" s="2482"/>
      <c r="F114" s="2482"/>
      <c r="G114" s="2482"/>
      <c r="H114" s="2482"/>
      <c r="I114" s="2404"/>
    </row>
    <row r="115" spans="1:11" ht="18.75" customHeight="1">
      <c r="A115" s="3540" t="s">
        <v>2306</v>
      </c>
      <c r="B115" s="3541"/>
      <c r="C115" s="3541"/>
      <c r="D115" s="3541"/>
      <c r="E115" s="3541"/>
      <c r="F115" s="3541"/>
      <c r="G115" s="3541"/>
      <c r="H115" s="3541"/>
      <c r="I115" s="3542"/>
    </row>
    <row r="116" spans="1:11" ht="27" customHeight="1">
      <c r="A116" s="3335" t="s">
        <v>2307</v>
      </c>
      <c r="B116" s="3494" t="s">
        <v>2308</v>
      </c>
      <c r="C116" s="3494" t="s">
        <v>2309</v>
      </c>
      <c r="D116" s="3500" t="s">
        <v>2310</v>
      </c>
      <c r="E116" s="3501"/>
      <c r="F116" s="3536" t="s">
        <v>2311</v>
      </c>
      <c r="G116" s="3536"/>
      <c r="H116" s="3335" t="s">
        <v>2312</v>
      </c>
      <c r="I116" s="3335"/>
    </row>
    <row r="117" spans="1:11" ht="18.75" customHeight="1">
      <c r="A117" s="3335"/>
      <c r="B117" s="3495"/>
      <c r="C117" s="3495"/>
      <c r="D117" s="1783" t="s">
        <v>2313</v>
      </c>
      <c r="E117" s="1783" t="s">
        <v>2314</v>
      </c>
      <c r="F117" s="1783" t="s">
        <v>2313</v>
      </c>
      <c r="G117" s="1783" t="s">
        <v>2315</v>
      </c>
      <c r="H117" s="1783" t="s">
        <v>2313</v>
      </c>
      <c r="I117" s="1783" t="s">
        <v>2315</v>
      </c>
    </row>
    <row r="118" spans="1:11" ht="24.75" customHeight="1">
      <c r="A118" s="2512" t="str">
        <f>项目基本情况!S2</f>
        <v>北京市房地产</v>
      </c>
      <c r="B118" s="1783">
        <f>M18</f>
        <v>135636.54000000004</v>
      </c>
      <c r="C118" s="1783">
        <f>M19</f>
        <v>45212.18</v>
      </c>
      <c r="D118" s="1783" t="e">
        <f ca="1">ROUND(IF(D32="总价",C34,E118*B118/10000),0)</f>
        <v>#REF!</v>
      </c>
      <c r="E118" s="1783" t="e">
        <f ca="1">ROUND(IF(C33="自定义",IF(D32="楼面单价",C34,D118*10000/B118),I118-G118),0)</f>
        <v>#REF!</v>
      </c>
      <c r="F118" s="1783" t="e">
        <f ca="1">ROUND(IF(D32="总价",C35,G118*B118/10000),0)</f>
        <v>#REF!</v>
      </c>
      <c r="G118" s="1783" t="e">
        <f ca="1">ROUND(IF(D32="楼面单价",C35,F118*10000/B118),0)</f>
        <v>#REF!</v>
      </c>
      <c r="H118" s="1783">
        <f ca="1">ROUND(IF(D32="总价",C32,I118*B118/10000),0)</f>
        <v>305676</v>
      </c>
      <c r="I118" s="1783">
        <f ca="1">ROUND(IF(D32="楼面单价",C32,H118*10000/B118),0)</f>
        <v>22536</v>
      </c>
    </row>
    <row r="119" spans="1:11" ht="18.75" customHeight="1">
      <c r="A119" s="3335" t="s">
        <v>2316</v>
      </c>
      <c r="B119" s="3335"/>
      <c r="C119" s="3335"/>
      <c r="D119" s="3496" t="e">
        <f ca="1">NUMBERSTRING(INT(D118*10000),2)&amp;"元整"</f>
        <v>#REF!</v>
      </c>
      <c r="E119" s="3497"/>
      <c r="F119" s="3496" t="e">
        <f ca="1">NUMBERSTRING(INT(F118*10000),2)&amp;"元整"</f>
        <v>#REF!</v>
      </c>
      <c r="G119" s="3497"/>
      <c r="H119" s="3496" t="str">
        <f ca="1">NUMBERSTRING(INT(H118*10000),2)&amp;"元整"</f>
        <v>叁拾亿伍仟陆佰柒拾陆万元整</v>
      </c>
      <c r="I119" s="3497"/>
    </row>
    <row r="120" spans="1:11" ht="18.75" customHeight="1">
      <c r="A120" s="3491" t="str">
        <f>IF(项目基本情况!B9="房地产市场价值","",MID(E103,3,LEN(E103)-2))</f>
        <v/>
      </c>
      <c r="B120" s="3492"/>
      <c r="C120" s="3493"/>
      <c r="D120" s="3491">
        <f>H103</f>
        <v>0</v>
      </c>
      <c r="E120" s="3492"/>
      <c r="F120" s="3492"/>
      <c r="G120" s="3492"/>
      <c r="H120" s="3492"/>
      <c r="I120" s="3493"/>
      <c r="K120" s="2409" t="str">
        <f>IF(D120=0,"故，本次评估不存在"&amp;A120,"故，本次评估"&amp;A120&amp;"为人民币"&amp;D120&amp;"万元整。")</f>
        <v>故，本次评估不存在</v>
      </c>
    </row>
    <row r="121" spans="1:11" ht="18.75" customHeight="1">
      <c r="A121" s="3537" t="s">
        <v>2316</v>
      </c>
      <c r="B121" s="3538"/>
      <c r="C121" s="3539"/>
      <c r="D121" s="3496" t="str">
        <f>IF(D120=0,"零元整",NUMBERSTRING(INT(D120*10000),2)&amp;"元整")</f>
        <v>零元整</v>
      </c>
      <c r="E121" s="3498"/>
      <c r="F121" s="3498"/>
      <c r="G121" s="3498"/>
      <c r="H121" s="3498"/>
      <c r="I121" s="3497"/>
    </row>
    <row r="122" spans="1:11" ht="18.75" customHeight="1">
      <c r="A122" s="3502" t="str">
        <f>IF(项目基本情况!B9="房地产市场价值","",MID(E107,3,LEN(E107)-2))</f>
        <v/>
      </c>
      <c r="B122" s="3502"/>
      <c r="C122" s="3502"/>
      <c r="D122" s="3491">
        <f ca="1">H107</f>
        <v>305676</v>
      </c>
      <c r="E122" s="3492"/>
      <c r="F122" s="3492"/>
      <c r="G122" s="3492"/>
      <c r="H122" s="3492"/>
      <c r="I122" s="3493"/>
    </row>
    <row r="123" spans="1:11" ht="18.75" customHeight="1">
      <c r="A123" s="3335" t="s">
        <v>2316</v>
      </c>
      <c r="B123" s="3335"/>
      <c r="C123" s="3335"/>
      <c r="D123" s="3496" t="str">
        <f ca="1">NUMBERSTRING(INT(D122*10000),2)&amp;"元整"</f>
        <v>叁拾亿伍仟陆佰柒拾陆万元整</v>
      </c>
      <c r="E123" s="3498"/>
      <c r="F123" s="3498"/>
      <c r="G123" s="3498"/>
      <c r="H123" s="3498"/>
      <c r="I123" s="3497"/>
    </row>
    <row r="124" spans="1:11" ht="18.75" customHeight="1">
      <c r="A124" s="3502" t="str">
        <f>IF(项目基本情况!B9="房地产市场价值","",MID(E109,3,LEN(E109)-2))</f>
        <v/>
      </c>
      <c r="B124" s="3502"/>
      <c r="C124" s="3502"/>
      <c r="D124" s="3491" t="str">
        <f>H109</f>
        <v>——</v>
      </c>
      <c r="E124" s="3492"/>
      <c r="F124" s="3492"/>
      <c r="G124" s="3492"/>
      <c r="H124" s="3492"/>
      <c r="I124" s="3493"/>
    </row>
    <row r="125" spans="1:11" ht="18.75" customHeight="1">
      <c r="A125" s="3335" t="s">
        <v>2316</v>
      </c>
      <c r="B125" s="3335"/>
      <c r="C125" s="3335"/>
      <c r="D125" s="3496" t="e">
        <f>NUMBERSTRING(INT(D124*10000),2)&amp;"元整"</f>
        <v>#VALUE!</v>
      </c>
      <c r="E125" s="3498"/>
      <c r="F125" s="3498"/>
      <c r="G125" s="3498"/>
      <c r="H125" s="3498"/>
      <c r="I125" s="3497"/>
    </row>
    <row r="126" spans="1:11" ht="18.75" customHeight="1">
      <c r="A126" s="3502" t="str">
        <f>IF(项目基本情况!B9="房地产市场价值","",MID(E111,3,LEN(E111)-2))</f>
        <v/>
      </c>
      <c r="B126" s="3502"/>
      <c r="C126" s="3502"/>
      <c r="D126" s="3491" t="str">
        <f>H111</f>
        <v>——</v>
      </c>
      <c r="E126" s="3492"/>
      <c r="F126" s="3492"/>
      <c r="G126" s="3492"/>
      <c r="H126" s="3492"/>
      <c r="I126" s="3493"/>
    </row>
    <row r="127" spans="1:11" ht="18.75" customHeight="1">
      <c r="A127" s="3335" t="s">
        <v>2316</v>
      </c>
      <c r="B127" s="3335"/>
      <c r="C127" s="3335"/>
      <c r="D127" s="3496" t="e">
        <f>NUMBERSTRING(INT(D126*10000),2)&amp;"元整"</f>
        <v>#VALUE!</v>
      </c>
      <c r="E127" s="3498"/>
      <c r="F127" s="3498"/>
      <c r="G127" s="3498"/>
      <c r="H127" s="3498"/>
      <c r="I127" s="3497"/>
    </row>
    <row r="128" spans="1:11" ht="21.75" customHeight="1">
      <c r="A128" s="3499" t="s">
        <v>2317</v>
      </c>
      <c r="B128" s="3499"/>
      <c r="C128" s="3499"/>
      <c r="D128" s="3499"/>
      <c r="E128" s="3499"/>
      <c r="F128" s="3499"/>
      <c r="G128" s="3499"/>
      <c r="H128" s="3499"/>
      <c r="I128" s="3499"/>
    </row>
    <row r="129" spans="1:35" ht="21.75" customHeight="1">
      <c r="A129" s="2513" t="s">
        <v>2318</v>
      </c>
      <c r="B129" s="2514"/>
      <c r="C129" s="2515" t="s">
        <v>2319</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4"/>
    </row>
    <row r="135" spans="1:35" ht="21.75" customHeight="1">
      <c r="A135" s="794"/>
      <c r="B135" s="794"/>
      <c r="C135" s="794"/>
      <c r="D135" s="794"/>
      <c r="E135" s="794"/>
      <c r="F135" s="2529" t="s">
        <v>2320</v>
      </c>
      <c r="G135" s="2530"/>
      <c r="H135" s="2530"/>
      <c r="I135" s="2531" t="s">
        <v>2321</v>
      </c>
    </row>
    <row r="136" spans="1:35" ht="21.75" customHeight="1">
      <c r="A136" s="794"/>
      <c r="B136" s="2532"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0"/>
      <c r="C138" s="2530"/>
      <c r="D138" s="2530"/>
      <c r="E138" s="2530"/>
      <c r="F138" s="2530"/>
      <c r="G138" s="2530"/>
      <c r="H138" s="2530"/>
      <c r="I138" s="2531" t="s">
        <v>2323</v>
      </c>
    </row>
    <row r="139" spans="1:35" ht="21.75" customHeight="1">
      <c r="A139" s="794"/>
      <c r="B139" s="2532" t="s">
        <v>2324</v>
      </c>
      <c r="C139" s="794"/>
      <c r="D139" s="794"/>
      <c r="E139" s="794"/>
      <c r="F139" s="794"/>
      <c r="G139" s="794"/>
      <c r="H139" s="794"/>
      <c r="I139" s="794"/>
    </row>
    <row r="140" spans="1:35" ht="21.75" customHeight="1">
      <c r="A140" s="794"/>
      <c r="B140" s="2532"/>
      <c r="C140" s="794"/>
      <c r="D140" s="794"/>
      <c r="E140" s="794"/>
      <c r="F140" s="794"/>
      <c r="G140" s="794"/>
      <c r="H140" s="794"/>
      <c r="I140" s="794"/>
    </row>
    <row r="141" spans="1:35" ht="21.75" customHeight="1">
      <c r="A141" s="794"/>
      <c r="B141" s="2530"/>
      <c r="C141" s="2530"/>
      <c r="D141" s="2530"/>
      <c r="E141" s="2530"/>
      <c r="F141" s="2530"/>
      <c r="G141" s="2530"/>
      <c r="H141" s="2530"/>
      <c r="I141" s="2531" t="s">
        <v>2323</v>
      </c>
    </row>
    <row r="142" spans="1:35" ht="21.75" customHeight="1">
      <c r="A142" s="794"/>
      <c r="B142" s="2532"/>
      <c r="C142" s="2533"/>
      <c r="D142" s="2534"/>
      <c r="E142" s="2534"/>
      <c r="F142" s="2327"/>
      <c r="G142" s="794"/>
      <c r="H142" s="794"/>
      <c r="I142" s="794"/>
    </row>
    <row r="143" spans="1:35" s="138" customFormat="1" ht="21.75" customHeight="1">
      <c r="A143" s="794"/>
      <c r="B143" s="2532"/>
      <c r="C143" s="2533"/>
      <c r="D143" s="2534"/>
      <c r="E143" s="2534"/>
      <c r="F143" s="232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topLeftCell="A16" zoomScale="90" zoomScaleNormal="90" workbookViewId="0">
      <selection activeCell="I37" sqref="I37"/>
    </sheetView>
  </sheetViews>
  <sheetFormatPr defaultColWidth="9" defaultRowHeight="14.25"/>
  <cols>
    <col min="1" max="1" width="10.5" style="402" customWidth="1"/>
    <col min="2" max="2" width="15.87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875" style="2612" customWidth="1"/>
    <col min="17" max="17" width="19.5" style="402" customWidth="1"/>
    <col min="18" max="22" width="6.125" style="402" customWidth="1"/>
    <col min="23" max="23" width="5.875" style="402" customWidth="1"/>
    <col min="24" max="24" width="4.125" style="402" customWidth="1"/>
    <col min="25" max="25" width="3.5" style="402" customWidth="1"/>
    <col min="26" max="26" width="19.875" style="402" customWidth="1"/>
    <col min="27" max="28" width="9.375" style="402" customWidth="1"/>
    <col min="29" max="16384" width="9" style="402"/>
  </cols>
  <sheetData>
    <row r="1" spans="1:29" s="1625" customFormat="1" ht="28.5" customHeight="1" thickBot="1">
      <c r="A1" s="1614" t="s">
        <v>2527</v>
      </c>
      <c r="B1" s="2570" t="s">
        <v>2641</v>
      </c>
      <c r="C1" s="1630" t="s">
        <v>2529</v>
      </c>
      <c r="D1" s="1617" t="s">
        <v>3099</v>
      </c>
      <c r="E1" s="2645"/>
      <c r="F1" s="2572" t="s">
        <v>3232</v>
      </c>
      <c r="G1" s="1627" t="s">
        <v>2642</v>
      </c>
      <c r="H1" s="1626"/>
      <c r="I1" s="1626"/>
      <c r="J1" s="1626"/>
      <c r="K1" s="1628"/>
      <c r="L1" s="1629"/>
      <c r="M1" s="1630"/>
      <c r="N1" s="1630"/>
      <c r="O1" s="1630"/>
      <c r="P1" s="2646"/>
      <c r="Q1" s="2647"/>
      <c r="R1" s="2647"/>
      <c r="S1" s="2647"/>
      <c r="T1" s="2647"/>
      <c r="U1" s="2647"/>
      <c r="V1" s="2647"/>
      <c r="W1" s="2647"/>
      <c r="X1" s="2647"/>
      <c r="Y1" s="2647"/>
      <c r="Z1" s="2647"/>
      <c r="AA1" s="2647"/>
      <c r="AB1" s="2647"/>
      <c r="AC1" s="2648"/>
    </row>
    <row r="2" spans="1:29" s="397" customFormat="1" ht="28.5" customHeight="1" thickTop="1">
      <c r="A2" s="1613" t="s">
        <v>2326</v>
      </c>
      <c r="B2" s="1414">
        <f>IF(C2="——",ROUND(C49*D3/10000,0),ROUND(C49*D3/10000,0)-D2)</f>
        <v>356214</v>
      </c>
      <c r="C2" s="2574" t="s">
        <v>70</v>
      </c>
      <c r="D2" s="1361" t="e">
        <f ca="1">SUMIF(INDIRECT("'"&amp;F2&amp;"'"&amp;"!A:A"),"承租人权益价值",INDIRECT("'"&amp;F2&amp;"'"&amp;"!c:c"))</f>
        <v>#DIV/0!</v>
      </c>
      <c r="E2" s="2575" t="s">
        <v>2327</v>
      </c>
      <c r="F2" s="2576" t="s">
        <v>3233</v>
      </c>
      <c r="G2" s="1124"/>
      <c r="H2" s="1124"/>
      <c r="I2" s="1124"/>
      <c r="J2" s="1124"/>
      <c r="K2" s="1124"/>
      <c r="L2" s="1127"/>
      <c r="M2" s="1128"/>
      <c r="N2" s="1128"/>
      <c r="O2" s="1128"/>
      <c r="P2" s="2649"/>
      <c r="Q2" s="1128"/>
      <c r="R2" s="1128"/>
      <c r="S2" s="1128"/>
      <c r="T2" s="1128"/>
      <c r="U2" s="1128"/>
      <c r="V2" s="1128"/>
      <c r="W2" s="1128"/>
      <c r="X2" s="1128"/>
      <c r="Y2" s="1128"/>
      <c r="Z2" s="1128"/>
      <c r="AA2" s="1128"/>
      <c r="AB2" s="1128"/>
      <c r="AC2" s="2650"/>
    </row>
    <row r="3" spans="1:29" s="397" customFormat="1" ht="28.5" customHeight="1" thickBot="1">
      <c r="A3" s="246" t="s">
        <v>2328</v>
      </c>
      <c r="B3" s="608">
        <f>IF(C2="——",C49,ROUND(B2*10000/D3,0))</f>
        <v>26262.400000000001</v>
      </c>
      <c r="C3" s="399" t="s">
        <v>2643</v>
      </c>
      <c r="D3" s="398">
        <f>IF(D1="",'数据-汇总表'!E3,SUMIF('数据-汇总表'!$C19:$C33,D1,'数据-汇总表'!$E19:$E33))</f>
        <v>135636.54000000004</v>
      </c>
      <c r="E3" s="2651"/>
      <c r="F3" s="1125"/>
      <c r="G3" s="1124"/>
      <c r="H3" s="1124"/>
      <c r="I3" s="1124"/>
      <c r="J3" s="1124"/>
      <c r="K3" s="1126"/>
      <c r="L3" s="1127"/>
      <c r="M3" s="1128"/>
      <c r="N3" s="1128"/>
      <c r="O3" s="1128"/>
      <c r="P3" s="2649"/>
      <c r="Q3" s="1128"/>
      <c r="R3" s="1128"/>
      <c r="S3" s="1128"/>
      <c r="T3" s="1128"/>
      <c r="U3" s="1128"/>
      <c r="V3" s="1128"/>
      <c r="W3" s="1128"/>
      <c r="X3" s="1128"/>
      <c r="Y3" s="1128"/>
      <c r="Z3" s="1128"/>
      <c r="AA3" s="1128"/>
      <c r="AB3" s="1128"/>
      <c r="AC3" s="2651"/>
    </row>
    <row r="4" spans="1:29" ht="15">
      <c r="A4" s="400" t="s">
        <v>2644</v>
      </c>
      <c r="B4" s="401"/>
      <c r="C4" s="3591" t="s">
        <v>2645</v>
      </c>
      <c r="D4" s="3592"/>
      <c r="E4" s="3593" t="s">
        <v>2646</v>
      </c>
      <c r="F4" s="3594"/>
      <c r="G4" s="3591" t="s">
        <v>2647</v>
      </c>
      <c r="H4" s="3592"/>
      <c r="I4" s="3591" t="s">
        <v>2648</v>
      </c>
      <c r="J4" s="3592"/>
      <c r="K4" s="609" t="s">
        <v>2649</v>
      </c>
      <c r="L4" s="1129"/>
      <c r="M4" s="1130"/>
      <c r="N4" s="1130"/>
      <c r="O4" s="1130"/>
      <c r="P4" s="3595" t="s">
        <v>2650</v>
      </c>
      <c r="Q4" s="3596"/>
      <c r="R4" s="3577" t="s">
        <v>2646</v>
      </c>
      <c r="S4" s="3578"/>
      <c r="T4" s="3577" t="s">
        <v>2647</v>
      </c>
      <c r="U4" s="3578"/>
      <c r="V4" s="3574" t="s">
        <v>2648</v>
      </c>
      <c r="W4" s="3574"/>
      <c r="X4" s="1801"/>
      <c r="Y4" s="3577" t="s">
        <v>2650</v>
      </c>
      <c r="Z4" s="3578"/>
      <c r="AA4" s="3571" t="s">
        <v>2646</v>
      </c>
      <c r="AB4" s="3574" t="s">
        <v>2647</v>
      </c>
      <c r="AC4" s="3571" t="s">
        <v>2648</v>
      </c>
    </row>
    <row r="5" spans="1:29" ht="15">
      <c r="A5" s="403"/>
      <c r="B5" s="404"/>
      <c r="C5" s="3583" t="s">
        <v>2541</v>
      </c>
      <c r="D5" s="3584"/>
      <c r="E5" s="3581" t="s">
        <v>3416</v>
      </c>
      <c r="F5" s="3582"/>
      <c r="G5" s="3587" t="s">
        <v>3415</v>
      </c>
      <c r="H5" s="3584"/>
      <c r="I5" s="3587" t="s">
        <v>3414</v>
      </c>
      <c r="J5" s="3584"/>
      <c r="K5" s="609"/>
      <c r="L5" s="1129"/>
      <c r="M5" s="1130"/>
      <c r="N5" s="1130"/>
      <c r="O5" s="1130"/>
      <c r="P5" s="3597"/>
      <c r="Q5" s="3598"/>
      <c r="R5" s="3579"/>
      <c r="S5" s="3580"/>
      <c r="T5" s="3579"/>
      <c r="U5" s="3580"/>
      <c r="V5" s="3574"/>
      <c r="W5" s="3574"/>
      <c r="X5" s="1801"/>
      <c r="Y5" s="3579"/>
      <c r="Z5" s="3580"/>
      <c r="AA5" s="3572"/>
      <c r="AB5" s="3574"/>
      <c r="AC5" s="3572"/>
    </row>
    <row r="6" spans="1:29" ht="15.75" thickBot="1">
      <c r="A6" s="405"/>
      <c r="B6" s="406"/>
      <c r="C6" s="3585" t="s">
        <v>2545</v>
      </c>
      <c r="D6" s="3586"/>
      <c r="E6" s="3588" t="s">
        <v>2545</v>
      </c>
      <c r="F6" s="3589"/>
      <c r="G6" s="3585" t="s">
        <v>2545</v>
      </c>
      <c r="H6" s="3586"/>
      <c r="I6" s="3585" t="s">
        <v>2545</v>
      </c>
      <c r="J6" s="3586"/>
      <c r="K6" s="609" t="s">
        <v>2546</v>
      </c>
      <c r="L6" s="1129"/>
      <c r="M6" s="1130"/>
      <c r="N6" s="1130"/>
      <c r="O6" s="1130"/>
      <c r="P6" s="3599"/>
      <c r="Q6" s="3600"/>
      <c r="R6" s="3579"/>
      <c r="S6" s="3580"/>
      <c r="T6" s="3601"/>
      <c r="U6" s="3602"/>
      <c r="V6" s="3574"/>
      <c r="W6" s="3574"/>
      <c r="X6" s="1801"/>
      <c r="Y6" s="3601"/>
      <c r="Z6" s="3602"/>
      <c r="AA6" s="3573"/>
      <c r="AB6" s="3574"/>
      <c r="AC6" s="3573"/>
    </row>
    <row r="7" spans="1:29" s="116" customFormat="1" ht="15.75" thickBot="1">
      <c r="A7" s="407" t="s">
        <v>2547</v>
      </c>
      <c r="B7" s="408"/>
      <c r="C7" s="409">
        <f>'数据-取费表'!B2</f>
        <v>44011</v>
      </c>
      <c r="D7" s="410">
        <v>100</v>
      </c>
      <c r="E7" s="411">
        <f>C7</f>
        <v>44011</v>
      </c>
      <c r="F7" s="412">
        <f>SUMIF(58:58,YEAR(E7)&amp;"-"&amp;MONTH(E7),59:59)</f>
        <v>100</v>
      </c>
      <c r="G7" s="411">
        <f>C7</f>
        <v>44011</v>
      </c>
      <c r="H7" s="410">
        <f>SUMIF(58:58,YEAR(G7)&amp;"-"&amp;MONTH(G7),59:59)</f>
        <v>100</v>
      </c>
      <c r="I7" s="411">
        <f>C7</f>
        <v>44011</v>
      </c>
      <c r="J7" s="410">
        <f>SUMIF(58:58,YEAR(I7)&amp;"-"&amp;MONTH(I7),59:59)</f>
        <v>100</v>
      </c>
      <c r="K7" s="610"/>
      <c r="L7" s="1131"/>
      <c r="M7" s="1132"/>
      <c r="N7" s="1132"/>
      <c r="O7" s="1132"/>
      <c r="P7" s="3575" t="s">
        <v>2548</v>
      </c>
      <c r="Q7" s="3603"/>
      <c r="R7" s="769" t="s">
        <v>17</v>
      </c>
      <c r="S7" s="770">
        <f t="shared" ref="S7:S15" si="0">F7</f>
        <v>100</v>
      </c>
      <c r="T7" s="769" t="s">
        <v>17</v>
      </c>
      <c r="U7" s="770">
        <f t="shared" ref="U7:U15" si="1">H7</f>
        <v>100</v>
      </c>
      <c r="V7" s="769" t="s">
        <v>17</v>
      </c>
      <c r="W7" s="770">
        <f t="shared" ref="W7:W15" si="2">J7</f>
        <v>100</v>
      </c>
      <c r="X7" s="771"/>
      <c r="Y7" s="3575" t="s">
        <v>2548</v>
      </c>
      <c r="Z7" s="3576"/>
      <c r="AA7" s="772">
        <f>D7/F7</f>
        <v>1</v>
      </c>
      <c r="AB7" s="772">
        <f>D7/H7</f>
        <v>1</v>
      </c>
      <c r="AC7" s="772">
        <f>D7/J7</f>
        <v>1</v>
      </c>
    </row>
    <row r="8" spans="1:29" s="116" customFormat="1" ht="15.75" thickBot="1">
      <c r="A8" s="407" t="s">
        <v>2549</v>
      </c>
      <c r="B8" s="408"/>
      <c r="C8" s="413" t="s">
        <v>2651</v>
      </c>
      <c r="D8" s="410">
        <v>100</v>
      </c>
      <c r="E8" s="413" t="s">
        <v>3384</v>
      </c>
      <c r="F8" s="412">
        <f>SUMIF(61:61,E8,62:62)-SUMIF(61:61,C8,62:62)+100</f>
        <v>102</v>
      </c>
      <c r="G8" s="413" t="s">
        <v>3384</v>
      </c>
      <c r="H8" s="410">
        <f>SUMIF(61:61,G8,62:62)-SUMIF(61:61,C8,62:62)+100</f>
        <v>102</v>
      </c>
      <c r="I8" s="413" t="s">
        <v>3384</v>
      </c>
      <c r="J8" s="410">
        <f>SUMIF(61:61,I8,62:62)-SUMIF(61:61,C8,62:62)+100</f>
        <v>102</v>
      </c>
      <c r="K8" s="610"/>
      <c r="L8" s="1131"/>
      <c r="M8" s="1132"/>
      <c r="N8" s="1132"/>
      <c r="O8" s="1132"/>
      <c r="P8" s="3575" t="s">
        <v>2551</v>
      </c>
      <c r="Q8" s="3576"/>
      <c r="R8" s="769" t="s">
        <v>17</v>
      </c>
      <c r="S8" s="770">
        <f t="shared" si="0"/>
        <v>102</v>
      </c>
      <c r="T8" s="769" t="s">
        <v>17</v>
      </c>
      <c r="U8" s="770">
        <f t="shared" si="1"/>
        <v>102</v>
      </c>
      <c r="V8" s="769" t="s">
        <v>17</v>
      </c>
      <c r="W8" s="770">
        <f t="shared" si="2"/>
        <v>102</v>
      </c>
      <c r="X8" s="771"/>
      <c r="Y8" s="3575" t="s">
        <v>2551</v>
      </c>
      <c r="Z8" s="3576"/>
      <c r="AA8" s="772">
        <f t="shared" ref="AA8:AA46" si="3">D8/F8</f>
        <v>0.98039215686274506</v>
      </c>
      <c r="AB8" s="772">
        <f t="shared" ref="AB8:AB46" si="4">D8/H8</f>
        <v>0.98039215686274506</v>
      </c>
      <c r="AC8" s="772">
        <f t="shared" ref="AC8:AC46" si="5">D8/J8</f>
        <v>0.98039215686274506</v>
      </c>
    </row>
    <row r="9" spans="1:29" s="116" customFormat="1">
      <c r="A9" s="414" t="s">
        <v>2552</v>
      </c>
      <c r="B9" s="70" t="s">
        <v>2553</v>
      </c>
      <c r="C9" s="3077" t="s">
        <v>3386</v>
      </c>
      <c r="D9" s="134">
        <v>100</v>
      </c>
      <c r="E9" s="416" t="s">
        <v>1372</v>
      </c>
      <c r="F9" s="417">
        <f>SUMIF(63:63,E9,64:64)-SUMIF(63:63,C9,64:64)+100</f>
        <v>100</v>
      </c>
      <c r="G9" s="416" t="s">
        <v>1372</v>
      </c>
      <c r="H9" s="134">
        <f>SUMIF(63:63,G9,64:64)-SUMIF(63:63,C9,64:64)+100</f>
        <v>100</v>
      </c>
      <c r="I9" s="416" t="s">
        <v>1372</v>
      </c>
      <c r="J9" s="134">
        <f>SUMIF(63:63,I9,64:64)-SUMIF(63:63,C9,64:64)+100</f>
        <v>100</v>
      </c>
      <c r="K9" s="610"/>
      <c r="L9" s="1131"/>
      <c r="M9" s="1132"/>
      <c r="N9" s="1132"/>
      <c r="O9" s="1132"/>
      <c r="P9" s="3590" t="s">
        <v>2554</v>
      </c>
      <c r="Q9" s="1783" t="str">
        <f t="shared" ref="Q9:Q15" si="6">B9</f>
        <v>用途</v>
      </c>
      <c r="R9" s="769" t="s">
        <v>17</v>
      </c>
      <c r="S9" s="770">
        <f t="shared" si="0"/>
        <v>100</v>
      </c>
      <c r="T9" s="769" t="s">
        <v>17</v>
      </c>
      <c r="U9" s="770">
        <f t="shared" si="1"/>
        <v>100</v>
      </c>
      <c r="V9" s="769" t="s">
        <v>17</v>
      </c>
      <c r="W9" s="770">
        <f t="shared" si="2"/>
        <v>100</v>
      </c>
      <c r="X9" s="771"/>
      <c r="Y9" s="3335" t="s">
        <v>2555</v>
      </c>
      <c r="Z9" s="55" t="str">
        <f t="shared" ref="Z9:Z15" si="7">Q9</f>
        <v>用途</v>
      </c>
      <c r="AA9" s="772">
        <f t="shared" si="3"/>
        <v>1</v>
      </c>
      <c r="AB9" s="772">
        <f t="shared" si="4"/>
        <v>1</v>
      </c>
      <c r="AC9" s="772">
        <f t="shared" si="5"/>
        <v>1</v>
      </c>
    </row>
    <row r="10" spans="1:29" s="426" customFormat="1" ht="27.75" thickBot="1">
      <c r="A10" s="420"/>
      <c r="B10" s="421" t="s">
        <v>2556</v>
      </c>
      <c r="C10" s="422" t="s">
        <v>3387</v>
      </c>
      <c r="D10" s="135">
        <v>100</v>
      </c>
      <c r="E10" s="423" t="s">
        <v>3418</v>
      </c>
      <c r="F10" s="424">
        <f>SUMIF(65:65,E10,66:66)-SUMIF(65:65,C10,66:66)+100</f>
        <v>96</v>
      </c>
      <c r="G10" s="422" t="s">
        <v>3417</v>
      </c>
      <c r="H10" s="135">
        <f>SUMIF(65:65,G10,66:66)-SUMIF(65:65,C10,66:66)+100</f>
        <v>98</v>
      </c>
      <c r="I10" s="422" t="s">
        <v>3387</v>
      </c>
      <c r="J10" s="135">
        <f>SUMIF(65:65,I10,66:66)-SUMIF(65:65,C10,66:66)+100</f>
        <v>100</v>
      </c>
      <c r="K10" s="611">
        <v>2</v>
      </c>
      <c r="L10" s="1134"/>
      <c r="M10" s="1135"/>
      <c r="N10" s="1135"/>
      <c r="O10" s="1135"/>
      <c r="P10" s="3590"/>
      <c r="Q10" s="1783" t="str">
        <f t="shared" si="6"/>
        <v>土地使用年限（年）</v>
      </c>
      <c r="R10" s="769" t="s">
        <v>17</v>
      </c>
      <c r="S10" s="770">
        <f t="shared" si="0"/>
        <v>96</v>
      </c>
      <c r="T10" s="769" t="s">
        <v>17</v>
      </c>
      <c r="U10" s="770">
        <f t="shared" si="1"/>
        <v>98</v>
      </c>
      <c r="V10" s="769" t="s">
        <v>17</v>
      </c>
      <c r="W10" s="770">
        <f t="shared" si="2"/>
        <v>100</v>
      </c>
      <c r="X10" s="771"/>
      <c r="Y10" s="3335"/>
      <c r="Z10" s="55" t="str">
        <f t="shared" si="7"/>
        <v>土地使用年限（年）</v>
      </c>
      <c r="AA10" s="772">
        <f t="shared" si="3"/>
        <v>1.0416666666666667</v>
      </c>
      <c r="AB10" s="772">
        <f t="shared" si="4"/>
        <v>1.0204081632653061</v>
      </c>
      <c r="AC10" s="772">
        <f t="shared" si="5"/>
        <v>1</v>
      </c>
    </row>
    <row r="11" spans="1:29" ht="15" hidden="1">
      <c r="A11" s="427"/>
      <c r="B11" s="421" t="s">
        <v>2557</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v>1</v>
      </c>
      <c r="L11" s="1137"/>
      <c r="M11" s="1130"/>
      <c r="N11" s="1130"/>
      <c r="O11" s="1130"/>
      <c r="P11" s="3590"/>
      <c r="Q11" s="1783" t="str">
        <f t="shared" si="6"/>
        <v>容积率</v>
      </c>
      <c r="R11" s="769" t="s">
        <v>17</v>
      </c>
      <c r="S11" s="770">
        <f t="shared" si="0"/>
        <v>100</v>
      </c>
      <c r="T11" s="769" t="s">
        <v>17</v>
      </c>
      <c r="U11" s="770">
        <f t="shared" si="1"/>
        <v>100</v>
      </c>
      <c r="V11" s="769" t="s">
        <v>17</v>
      </c>
      <c r="W11" s="770">
        <f t="shared" si="2"/>
        <v>100</v>
      </c>
      <c r="X11" s="771"/>
      <c r="Y11" s="3335"/>
      <c r="Z11" s="55" t="str">
        <f t="shared" si="7"/>
        <v>容积率</v>
      </c>
      <c r="AA11" s="772">
        <f t="shared" si="3"/>
        <v>1</v>
      </c>
      <c r="AB11" s="772">
        <f t="shared" si="4"/>
        <v>1</v>
      </c>
      <c r="AC11" s="772">
        <f t="shared" si="5"/>
        <v>1</v>
      </c>
    </row>
    <row r="12" spans="1:29" s="116" customFormat="1" ht="15" hidden="1">
      <c r="A12" s="430"/>
      <c r="B12" s="258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590"/>
      <c r="Q12" s="1783">
        <f t="shared" si="6"/>
        <v>111</v>
      </c>
      <c r="R12" s="769" t="s">
        <v>17</v>
      </c>
      <c r="S12" s="770">
        <f t="shared" si="0"/>
        <v>100</v>
      </c>
      <c r="T12" s="769" t="s">
        <v>17</v>
      </c>
      <c r="U12" s="770">
        <f t="shared" si="1"/>
        <v>100</v>
      </c>
      <c r="V12" s="769" t="s">
        <v>17</v>
      </c>
      <c r="W12" s="770">
        <f t="shared" si="2"/>
        <v>100</v>
      </c>
      <c r="X12" s="771"/>
      <c r="Y12" s="3335"/>
      <c r="Z12" s="55">
        <f t="shared" si="7"/>
        <v>111</v>
      </c>
      <c r="AA12" s="772">
        <f>D12/F12</f>
        <v>1</v>
      </c>
      <c r="AB12" s="772">
        <f>D12/H12</f>
        <v>1</v>
      </c>
      <c r="AC12" s="772">
        <f>D12/J12</f>
        <v>1</v>
      </c>
    </row>
    <row r="13" spans="1:29" ht="15" hidden="1">
      <c r="A13" s="427"/>
      <c r="B13" s="258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590"/>
      <c r="Q13" s="1783">
        <f t="shared" si="6"/>
        <v>111</v>
      </c>
      <c r="R13" s="769" t="s">
        <v>17</v>
      </c>
      <c r="S13" s="770">
        <f t="shared" si="0"/>
        <v>100</v>
      </c>
      <c r="T13" s="769" t="s">
        <v>17</v>
      </c>
      <c r="U13" s="770">
        <f t="shared" si="1"/>
        <v>100</v>
      </c>
      <c r="V13" s="769" t="s">
        <v>17</v>
      </c>
      <c r="W13" s="770">
        <f t="shared" si="2"/>
        <v>100</v>
      </c>
      <c r="X13" s="771"/>
      <c r="Y13" s="3335"/>
      <c r="Z13" s="55">
        <f t="shared" si="7"/>
        <v>111</v>
      </c>
      <c r="AA13" s="772">
        <f t="shared" si="3"/>
        <v>1</v>
      </c>
      <c r="AB13" s="772">
        <f t="shared" si="4"/>
        <v>1</v>
      </c>
      <c r="AC13" s="772">
        <f t="shared" si="5"/>
        <v>1</v>
      </c>
    </row>
    <row r="14" spans="1:29" ht="15.75" hidden="1" thickBot="1">
      <c r="A14" s="435"/>
      <c r="B14" s="259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590"/>
      <c r="Q14" s="1783">
        <f t="shared" si="6"/>
        <v>111</v>
      </c>
      <c r="R14" s="769" t="s">
        <v>17</v>
      </c>
      <c r="S14" s="770">
        <f t="shared" si="0"/>
        <v>100</v>
      </c>
      <c r="T14" s="769" t="s">
        <v>17</v>
      </c>
      <c r="U14" s="770">
        <f t="shared" si="1"/>
        <v>100</v>
      </c>
      <c r="V14" s="769" t="s">
        <v>17</v>
      </c>
      <c r="W14" s="770">
        <f t="shared" si="2"/>
        <v>100</v>
      </c>
      <c r="X14" s="771"/>
      <c r="Y14" s="3335"/>
      <c r="Z14" s="55">
        <f t="shared" si="7"/>
        <v>111</v>
      </c>
      <c r="AA14" s="772">
        <f t="shared" si="3"/>
        <v>1</v>
      </c>
      <c r="AB14" s="772">
        <f t="shared" si="4"/>
        <v>1</v>
      </c>
      <c r="AC14" s="772">
        <f t="shared" si="5"/>
        <v>1</v>
      </c>
    </row>
    <row r="15" spans="1:29" ht="71.25">
      <c r="A15" s="439" t="s">
        <v>2558</v>
      </c>
      <c r="B15" s="68" t="s">
        <v>2652</v>
      </c>
      <c r="C15" s="2591" t="str">
        <f>估价对象房地状况!C4</f>
        <v>估价对象位于XX商圈，周边商业氛围成熟，人流量大，商业繁华度好</v>
      </c>
      <c r="D15" s="440">
        <v>100</v>
      </c>
      <c r="E15" s="441"/>
      <c r="F15" s="442">
        <f>SUMIF(76:76,E16,77:77)-SUMIF(76:76,C16,77:77)+100</f>
        <v>104</v>
      </c>
      <c r="G15" s="443"/>
      <c r="H15" s="440">
        <f>SUMIF(76:76,G16,77:77)-SUMIF(76:76,C16,77:77)+100</f>
        <v>104</v>
      </c>
      <c r="I15" s="441"/>
      <c r="J15" s="440">
        <f>SUMIF(76:76,I16,77:77)-SUMIF(76:76,C16,77:77)+100</f>
        <v>104</v>
      </c>
      <c r="K15" s="613">
        <v>2</v>
      </c>
      <c r="L15" s="1139"/>
      <c r="M15" s="1130"/>
      <c r="N15" s="1130"/>
      <c r="O15" s="1130"/>
      <c r="P15" s="3604" t="s">
        <v>2559</v>
      </c>
      <c r="Q15" s="1798" t="str">
        <f t="shared" si="6"/>
        <v>商业繁华度</v>
      </c>
      <c r="R15" s="773" t="s">
        <v>17</v>
      </c>
      <c r="S15" s="774">
        <f t="shared" si="0"/>
        <v>104</v>
      </c>
      <c r="T15" s="773" t="s">
        <v>17</v>
      </c>
      <c r="U15" s="774">
        <f t="shared" si="1"/>
        <v>104</v>
      </c>
      <c r="V15" s="773" t="s">
        <v>17</v>
      </c>
      <c r="W15" s="774">
        <f t="shared" si="2"/>
        <v>104</v>
      </c>
      <c r="X15" s="1801"/>
      <c r="Y15" s="3606" t="s">
        <v>2559</v>
      </c>
      <c r="Z15" s="1802" t="str">
        <f t="shared" si="7"/>
        <v>商业繁华度</v>
      </c>
      <c r="AA15" s="1799">
        <f t="shared" si="3"/>
        <v>0.96153846153846156</v>
      </c>
      <c r="AB15" s="1799">
        <f t="shared" si="4"/>
        <v>0.96153846153846156</v>
      </c>
      <c r="AC15" s="1799">
        <f t="shared" si="5"/>
        <v>0.96153846153846156</v>
      </c>
    </row>
    <row r="16" spans="1:29" ht="15">
      <c r="A16" s="427"/>
      <c r="B16" s="445"/>
      <c r="C16" s="446" t="s">
        <v>3388</v>
      </c>
      <c r="D16" s="447"/>
      <c r="E16" s="446" t="s">
        <v>3247</v>
      </c>
      <c r="F16" s="448"/>
      <c r="G16" s="446" t="s">
        <v>3247</v>
      </c>
      <c r="H16" s="449"/>
      <c r="I16" s="446" t="s">
        <v>3247</v>
      </c>
      <c r="J16" s="447"/>
      <c r="K16" s="614"/>
      <c r="L16" s="1139"/>
      <c r="M16" s="1130"/>
      <c r="N16" s="1130"/>
      <c r="O16" s="1130"/>
      <c r="P16" s="3605"/>
      <c r="Q16" s="1798"/>
      <c r="R16" s="773"/>
      <c r="S16" s="774"/>
      <c r="T16" s="773"/>
      <c r="U16" s="774"/>
      <c r="V16" s="773"/>
      <c r="W16" s="774"/>
      <c r="X16" s="1801"/>
      <c r="Y16" s="3607"/>
      <c r="Z16" s="1802"/>
      <c r="AA16" s="1799">
        <v>1</v>
      </c>
      <c r="AB16" s="1799">
        <v>1</v>
      </c>
      <c r="AC16" s="1799">
        <v>1</v>
      </c>
    </row>
    <row r="17" spans="1:29" ht="85.5">
      <c r="A17" s="427"/>
      <c r="B17" s="450" t="s">
        <v>2095</v>
      </c>
      <c r="C17" s="2595" t="str">
        <f>估价对象房地状况!C6</f>
        <v>估价对象周边道路状况、公共交通通达情况、停车便捷程度，综合评价交通便捷度较好</v>
      </c>
      <c r="D17" s="449">
        <v>100</v>
      </c>
      <c r="E17" s="451"/>
      <c r="F17" s="452">
        <f>SUMIF(78:78,E18,79:79)-SUMIF(78:78,C18,79:79)+100</f>
        <v>102</v>
      </c>
      <c r="G17" s="453"/>
      <c r="H17" s="454">
        <f>SUMIF(78:78,G18,79:79)-SUMIF(78:78,C18,79:79)+100</f>
        <v>102</v>
      </c>
      <c r="I17" s="451"/>
      <c r="J17" s="454">
        <f>SUMIF(78:78,I18,79:79)-SUMIF(78:78,C18,79:79)+100</f>
        <v>102</v>
      </c>
      <c r="K17" s="613">
        <v>2</v>
      </c>
      <c r="L17" s="1139"/>
      <c r="M17" s="1130"/>
      <c r="N17" s="1130"/>
      <c r="O17" s="1130"/>
      <c r="P17" s="3605"/>
      <c r="Q17" s="1798" t="str">
        <f>B17</f>
        <v>交通便捷度</v>
      </c>
      <c r="R17" s="773" t="s">
        <v>17</v>
      </c>
      <c r="S17" s="774">
        <f>F17</f>
        <v>102</v>
      </c>
      <c r="T17" s="773" t="s">
        <v>17</v>
      </c>
      <c r="U17" s="774">
        <f>H17</f>
        <v>102</v>
      </c>
      <c r="V17" s="773" t="s">
        <v>17</v>
      </c>
      <c r="W17" s="774">
        <f>J17</f>
        <v>102</v>
      </c>
      <c r="X17" s="1801"/>
      <c r="Y17" s="3607"/>
      <c r="Z17" s="1802" t="str">
        <f>Q17</f>
        <v>交通便捷度</v>
      </c>
      <c r="AA17" s="1799">
        <f t="shared" si="3"/>
        <v>0.98039215686274506</v>
      </c>
      <c r="AB17" s="1799">
        <f t="shared" si="4"/>
        <v>0.98039215686274506</v>
      </c>
      <c r="AC17" s="1799">
        <f t="shared" si="5"/>
        <v>0.98039215686274506</v>
      </c>
    </row>
    <row r="18" spans="1:29" ht="15">
      <c r="A18" s="427"/>
      <c r="B18" s="455"/>
      <c r="C18" s="2596" t="s">
        <v>3246</v>
      </c>
      <c r="D18" s="449"/>
      <c r="E18" s="2598" t="s">
        <v>3247</v>
      </c>
      <c r="F18" s="452"/>
      <c r="G18" s="2597" t="s">
        <v>3247</v>
      </c>
      <c r="H18" s="447"/>
      <c r="I18" s="2598" t="s">
        <v>3247</v>
      </c>
      <c r="J18" s="447"/>
      <c r="K18" s="614"/>
      <c r="L18" s="1139"/>
      <c r="M18" s="1130"/>
      <c r="N18" s="1130"/>
      <c r="O18" s="1130"/>
      <c r="P18" s="3605"/>
      <c r="Q18" s="1798"/>
      <c r="R18" s="773"/>
      <c r="S18" s="774"/>
      <c r="T18" s="773"/>
      <c r="U18" s="774"/>
      <c r="V18" s="773"/>
      <c r="W18" s="774"/>
      <c r="X18" s="1801"/>
      <c r="Y18" s="3607"/>
      <c r="Z18" s="1802"/>
      <c r="AA18" s="1799">
        <v>1</v>
      </c>
      <c r="AB18" s="1799">
        <v>1</v>
      </c>
      <c r="AC18" s="1799">
        <v>1</v>
      </c>
    </row>
    <row r="19" spans="1:29" ht="42.75">
      <c r="A19" s="427"/>
      <c r="B19" s="450" t="s">
        <v>2653</v>
      </c>
      <c r="C19" s="2595" t="str">
        <f>估价对象房地状况!C7</f>
        <v>估价对象所在区域公共配套设施齐备情况</v>
      </c>
      <c r="D19" s="454">
        <v>100</v>
      </c>
      <c r="E19" s="456"/>
      <c r="F19" s="457">
        <f>SUMIF(80:80,E20,81:81)-SUMIF(80:80,C20,81:81)+100</f>
        <v>102</v>
      </c>
      <c r="G19" s="458"/>
      <c r="H19" s="449">
        <f>SUMIF(80:80,G20,81:81)-SUMIF(80:80,C20,81:81)+100</f>
        <v>102</v>
      </c>
      <c r="I19" s="456"/>
      <c r="J19" s="449">
        <f>SUMIF(80:80,I20,81:81)-SUMIF(80:80,C20,81:81)+100</f>
        <v>102</v>
      </c>
      <c r="K19" s="613">
        <v>2</v>
      </c>
      <c r="L19" s="1139"/>
      <c r="M19" s="1130"/>
      <c r="N19" s="1130"/>
      <c r="O19" s="1130"/>
      <c r="P19" s="3605"/>
      <c r="Q19" s="1798" t="str">
        <f>B19</f>
        <v>公共配套设施</v>
      </c>
      <c r="R19" s="773" t="s">
        <v>17</v>
      </c>
      <c r="S19" s="774">
        <f>F19</f>
        <v>102</v>
      </c>
      <c r="T19" s="773" t="s">
        <v>17</v>
      </c>
      <c r="U19" s="774">
        <f>H19</f>
        <v>102</v>
      </c>
      <c r="V19" s="773" t="s">
        <v>17</v>
      </c>
      <c r="W19" s="774">
        <f>J19</f>
        <v>102</v>
      </c>
      <c r="X19" s="1801"/>
      <c r="Y19" s="3607"/>
      <c r="Z19" s="1802" t="str">
        <f>Q19</f>
        <v>公共配套设施</v>
      </c>
      <c r="AA19" s="1799">
        <f t="shared" si="3"/>
        <v>0.98039215686274506</v>
      </c>
      <c r="AB19" s="1799">
        <f t="shared" si="4"/>
        <v>0.98039215686274506</v>
      </c>
      <c r="AC19" s="1799">
        <f t="shared" si="5"/>
        <v>0.98039215686274506</v>
      </c>
    </row>
    <row r="20" spans="1:29" ht="15">
      <c r="A20" s="427"/>
      <c r="B20" s="455"/>
      <c r="C20" s="446" t="s">
        <v>3246</v>
      </c>
      <c r="D20" s="447"/>
      <c r="E20" s="2593" t="s">
        <v>3247</v>
      </c>
      <c r="F20" s="448"/>
      <c r="G20" s="2592" t="s">
        <v>3247</v>
      </c>
      <c r="H20" s="447"/>
      <c r="I20" s="2593" t="s">
        <v>3247</v>
      </c>
      <c r="J20" s="447"/>
      <c r="K20" s="614"/>
      <c r="L20" s="1139"/>
      <c r="M20" s="1130"/>
      <c r="N20" s="1130"/>
      <c r="O20" s="1130"/>
      <c r="P20" s="3605"/>
      <c r="Q20" s="1798"/>
      <c r="R20" s="773"/>
      <c r="S20" s="774"/>
      <c r="T20" s="773"/>
      <c r="U20" s="774"/>
      <c r="V20" s="773"/>
      <c r="W20" s="774"/>
      <c r="X20" s="1801"/>
      <c r="Y20" s="3607"/>
      <c r="Z20" s="1802"/>
      <c r="AA20" s="1799">
        <v>1</v>
      </c>
      <c r="AB20" s="1799">
        <v>1</v>
      </c>
      <c r="AC20" s="1799">
        <v>1</v>
      </c>
    </row>
    <row r="21" spans="1:29" ht="28.5">
      <c r="A21" s="427"/>
      <c r="B21" s="1380" t="s">
        <v>2654</v>
      </c>
      <c r="C21" s="259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605"/>
      <c r="Q21" s="1798" t="str">
        <f>B21</f>
        <v>基础设施水平</v>
      </c>
      <c r="R21" s="773" t="s">
        <v>17</v>
      </c>
      <c r="S21" s="774">
        <f>F21</f>
        <v>100</v>
      </c>
      <c r="T21" s="773" t="s">
        <v>17</v>
      </c>
      <c r="U21" s="774">
        <f>H21</f>
        <v>100</v>
      </c>
      <c r="V21" s="773" t="s">
        <v>17</v>
      </c>
      <c r="W21" s="774">
        <f>J21</f>
        <v>100</v>
      </c>
      <c r="X21" s="1801"/>
      <c r="Y21" s="3607"/>
      <c r="Z21" s="1802" t="str">
        <f>Q21</f>
        <v>基础设施水平</v>
      </c>
      <c r="AA21" s="1799">
        <f t="shared" ref="AA21" si="8">D21/F21</f>
        <v>1</v>
      </c>
      <c r="AB21" s="1799">
        <f t="shared" ref="AB21" si="9">D21/H21</f>
        <v>1</v>
      </c>
      <c r="AC21" s="1799">
        <f t="shared" ref="AC21" si="10">D21/J21</f>
        <v>1</v>
      </c>
    </row>
    <row r="22" spans="1:29" ht="15">
      <c r="A22" s="427"/>
      <c r="B22" s="1380"/>
      <c r="C22" s="2596" t="s">
        <v>3392</v>
      </c>
      <c r="D22" s="447"/>
      <c r="E22" s="446" t="s">
        <v>3392</v>
      </c>
      <c r="F22" s="448"/>
      <c r="G22" s="446" t="s">
        <v>3392</v>
      </c>
      <c r="H22" s="447"/>
      <c r="I22" s="446" t="s">
        <v>3392</v>
      </c>
      <c r="J22" s="447"/>
      <c r="K22" s="1379"/>
      <c r="L22" s="1139"/>
      <c r="M22" s="1130"/>
      <c r="N22" s="1130"/>
      <c r="O22" s="1130"/>
      <c r="P22" s="3605"/>
      <c r="Q22" s="1798"/>
      <c r="R22" s="773"/>
      <c r="S22" s="774"/>
      <c r="T22" s="773"/>
      <c r="U22" s="774"/>
      <c r="V22" s="773"/>
      <c r="W22" s="774"/>
      <c r="X22" s="1801"/>
      <c r="Y22" s="3607"/>
      <c r="Z22" s="1802"/>
      <c r="AA22" s="1799">
        <v>1</v>
      </c>
      <c r="AB22" s="1799">
        <v>1</v>
      </c>
      <c r="AC22" s="1799">
        <v>1</v>
      </c>
    </row>
    <row r="23" spans="1:29" ht="57">
      <c r="A23" s="427"/>
      <c r="B23" s="450" t="s">
        <v>2100</v>
      </c>
      <c r="C23" s="265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9"/>
      <c r="M23" s="1130"/>
      <c r="N23" s="1130"/>
      <c r="O23" s="1130"/>
      <c r="P23" s="3605"/>
      <c r="Q23" s="1798" t="str">
        <f>B23</f>
        <v>自然及人文环境</v>
      </c>
      <c r="R23" s="773" t="s">
        <v>17</v>
      </c>
      <c r="S23" s="774">
        <f>F23</f>
        <v>100</v>
      </c>
      <c r="T23" s="773" t="s">
        <v>17</v>
      </c>
      <c r="U23" s="774">
        <f>H23</f>
        <v>100</v>
      </c>
      <c r="V23" s="773" t="s">
        <v>17</v>
      </c>
      <c r="W23" s="774">
        <f>J23</f>
        <v>100</v>
      </c>
      <c r="X23" s="1801"/>
      <c r="Y23" s="3607"/>
      <c r="Z23" s="1802" t="str">
        <f>Q23</f>
        <v>自然及人文环境</v>
      </c>
      <c r="AA23" s="1799">
        <f t="shared" si="3"/>
        <v>1</v>
      </c>
      <c r="AB23" s="1799">
        <f t="shared" si="4"/>
        <v>1</v>
      </c>
      <c r="AC23" s="1799">
        <f t="shared" si="5"/>
        <v>1</v>
      </c>
    </row>
    <row r="24" spans="1:29" ht="15">
      <c r="A24" s="427"/>
      <c r="B24" s="455"/>
      <c r="C24" s="446" t="s">
        <v>3246</v>
      </c>
      <c r="D24" s="447"/>
      <c r="E24" s="2593" t="s">
        <v>3246</v>
      </c>
      <c r="F24" s="448"/>
      <c r="G24" s="2592" t="s">
        <v>3246</v>
      </c>
      <c r="H24" s="447"/>
      <c r="I24" s="2593" t="s">
        <v>3246</v>
      </c>
      <c r="J24" s="447"/>
      <c r="K24" s="614"/>
      <c r="L24" s="1139"/>
      <c r="M24" s="1130"/>
      <c r="N24" s="1130"/>
      <c r="O24" s="1130"/>
      <c r="P24" s="3605"/>
      <c r="Q24" s="1798"/>
      <c r="R24" s="773"/>
      <c r="S24" s="774"/>
      <c r="T24" s="773"/>
      <c r="U24" s="774"/>
      <c r="V24" s="773"/>
      <c r="W24" s="774"/>
      <c r="X24" s="1801"/>
      <c r="Y24" s="3607"/>
      <c r="Z24" s="1802"/>
      <c r="AA24" s="1799">
        <v>1</v>
      </c>
      <c r="AB24" s="1799">
        <v>1</v>
      </c>
      <c r="AC24" s="1799">
        <v>1</v>
      </c>
    </row>
    <row r="25" spans="1:29" ht="15">
      <c r="A25" s="427"/>
      <c r="B25" s="421" t="s">
        <v>2655</v>
      </c>
      <c r="C25" s="615" t="s">
        <v>3396</v>
      </c>
      <c r="D25" s="434">
        <v>100</v>
      </c>
      <c r="E25" s="615" t="s">
        <v>3393</v>
      </c>
      <c r="F25" s="460">
        <f>SUMIF(86:86,E25,87:87)-SUMIF(86:86,C25,87:87)+100</f>
        <v>102</v>
      </c>
      <c r="G25" s="615" t="s">
        <v>3393</v>
      </c>
      <c r="H25" s="434">
        <f>SUMIF(86:86,G25,87:87)-SUMIF(86:86,C25,87:87)+100</f>
        <v>102</v>
      </c>
      <c r="I25" s="615" t="s">
        <v>3393</v>
      </c>
      <c r="J25" s="434">
        <f>SUMIF(86:86,I25,87:87)-SUMIF(86:86,C25,87:87)+100</f>
        <v>102</v>
      </c>
      <c r="K25" s="611">
        <v>2</v>
      </c>
      <c r="L25" s="1139"/>
      <c r="M25" s="1130"/>
      <c r="N25" s="1130"/>
      <c r="O25" s="1130"/>
      <c r="P25" s="3605"/>
      <c r="Q25" s="1798" t="str">
        <f t="shared" ref="Q25:Q46" si="11">B25</f>
        <v>临街状况</v>
      </c>
      <c r="R25" s="773" t="s">
        <v>17</v>
      </c>
      <c r="S25" s="774">
        <f>F25</f>
        <v>102</v>
      </c>
      <c r="T25" s="773" t="s">
        <v>17</v>
      </c>
      <c r="U25" s="774">
        <f>H25</f>
        <v>102</v>
      </c>
      <c r="V25" s="773" t="s">
        <v>17</v>
      </c>
      <c r="W25" s="774">
        <f>J25</f>
        <v>102</v>
      </c>
      <c r="X25" s="1801"/>
      <c r="Y25" s="3607"/>
      <c r="Z25" s="1802" t="str">
        <f>Q25</f>
        <v>临街状况</v>
      </c>
      <c r="AA25" s="1799">
        <f t="shared" si="3"/>
        <v>0.98039215686274506</v>
      </c>
      <c r="AB25" s="1799">
        <f t="shared" si="4"/>
        <v>0.98039215686274506</v>
      </c>
      <c r="AC25" s="1799">
        <f t="shared" si="5"/>
        <v>0.98039215686274506</v>
      </c>
    </row>
    <row r="26" spans="1:29" ht="15">
      <c r="A26" s="427"/>
      <c r="B26" s="1382" t="s">
        <v>2656</v>
      </c>
      <c r="C26" s="3078" t="s">
        <v>3389</v>
      </c>
      <c r="D26" s="434">
        <v>100</v>
      </c>
      <c r="E26" s="3078" t="s">
        <v>3390</v>
      </c>
      <c r="F26" s="460">
        <f>SUMIF(88:88,E26,89:89)-SUMIF(88:88,C26,89:89)+100</f>
        <v>100</v>
      </c>
      <c r="G26" s="3078" t="s">
        <v>3390</v>
      </c>
      <c r="H26" s="434">
        <f>SUMIF(88:88,G26,89:89)-SUMIF(88:88,C26,89:89)+100</f>
        <v>100</v>
      </c>
      <c r="I26" s="3078" t="s">
        <v>3391</v>
      </c>
      <c r="J26" s="434">
        <f>SUMIF(88:88,I26,89:89)-SUMIF(88:88,C26,89:89)+100</f>
        <v>100</v>
      </c>
      <c r="K26" s="612"/>
      <c r="L26" s="1139"/>
      <c r="M26" s="1130"/>
      <c r="N26" s="1130"/>
      <c r="O26" s="1130"/>
      <c r="P26" s="3605"/>
      <c r="Q26" s="1798" t="str">
        <f t="shared" si="11"/>
        <v>平面位置/可视性</v>
      </c>
      <c r="R26" s="773" t="s">
        <v>17</v>
      </c>
      <c r="S26" s="774">
        <f>F26</f>
        <v>100</v>
      </c>
      <c r="T26" s="773" t="s">
        <v>17</v>
      </c>
      <c r="U26" s="774">
        <f>H26</f>
        <v>100</v>
      </c>
      <c r="V26" s="773" t="s">
        <v>17</v>
      </c>
      <c r="W26" s="774">
        <f>J26</f>
        <v>100</v>
      </c>
      <c r="X26" s="1801"/>
      <c r="Y26" s="3607"/>
      <c r="Z26" s="1802" t="str">
        <f>Q26</f>
        <v>平面位置/可视性</v>
      </c>
      <c r="AA26" s="1799">
        <f t="shared" si="3"/>
        <v>1</v>
      </c>
      <c r="AB26" s="1799">
        <f t="shared" si="4"/>
        <v>1</v>
      </c>
      <c r="AC26" s="1799">
        <f t="shared" si="5"/>
        <v>1</v>
      </c>
    </row>
    <row r="27" spans="1:29" s="116" customFormat="1" ht="15">
      <c r="A27" s="430"/>
      <c r="B27" s="450" t="s">
        <v>2657</v>
      </c>
      <c r="C27" s="2653" t="s">
        <v>3388</v>
      </c>
      <c r="D27" s="461">
        <v>100</v>
      </c>
      <c r="E27" s="2653" t="s">
        <v>3246</v>
      </c>
      <c r="F27" s="463">
        <f>SUMIF(90:90,E27,91:91)-SUMIF(90:90,C27,91:91)+100</f>
        <v>102</v>
      </c>
      <c r="G27" s="2653" t="s">
        <v>3246</v>
      </c>
      <c r="H27" s="461">
        <f>SUMIF(90:90,G27,91:91)-SUMIF(90:90,C27,91:91)+100</f>
        <v>102</v>
      </c>
      <c r="I27" s="2653" t="s">
        <v>3246</v>
      </c>
      <c r="J27" s="461">
        <f>SUMIF(90:90,I27,91:91)-SUMIF(90:90,C27,91:91)+100</f>
        <v>102</v>
      </c>
      <c r="K27" s="611">
        <v>2</v>
      </c>
      <c r="L27" s="1131"/>
      <c r="M27" s="1132"/>
      <c r="N27" s="1132"/>
      <c r="O27" s="1132"/>
      <c r="P27" s="3605"/>
      <c r="Q27" s="1783" t="str">
        <f t="shared" si="11"/>
        <v>人流量</v>
      </c>
      <c r="R27" s="769" t="s">
        <v>17</v>
      </c>
      <c r="S27" s="770">
        <f>F27</f>
        <v>102</v>
      </c>
      <c r="T27" s="769" t="s">
        <v>17</v>
      </c>
      <c r="U27" s="770">
        <f>H27</f>
        <v>102</v>
      </c>
      <c r="V27" s="769" t="s">
        <v>17</v>
      </c>
      <c r="W27" s="770">
        <f>J27</f>
        <v>102</v>
      </c>
      <c r="X27" s="771"/>
      <c r="Y27" s="3607"/>
      <c r="Z27" s="55" t="str">
        <f>Q27</f>
        <v>人流量</v>
      </c>
      <c r="AA27" s="1799">
        <f>D27/F27</f>
        <v>0.98039215686274506</v>
      </c>
      <c r="AB27" s="1799">
        <f>D27/H27</f>
        <v>0.98039215686274506</v>
      </c>
      <c r="AC27" s="1799">
        <f>D27/J27</f>
        <v>0.98039215686274506</v>
      </c>
    </row>
    <row r="28" spans="1:29" ht="15">
      <c r="A28" s="427"/>
      <c r="B28" s="421" t="s">
        <v>2658</v>
      </c>
      <c r="C28" s="615" t="s">
        <v>3365</v>
      </c>
      <c r="D28" s="434">
        <v>100</v>
      </c>
      <c r="E28" s="615" t="s">
        <v>3365</v>
      </c>
      <c r="F28" s="460">
        <f>SUMIF(92:92,E28,93:93)-SUMIF(92:92,C28,93:93)+100</f>
        <v>100</v>
      </c>
      <c r="G28" s="615" t="s">
        <v>3365</v>
      </c>
      <c r="H28" s="434">
        <f>SUMIF(92:92,G28,93:93)-SUMIF(92:92,C28,93:93)+100</f>
        <v>100</v>
      </c>
      <c r="I28" s="615" t="s">
        <v>3365</v>
      </c>
      <c r="J28" s="434">
        <f>SUMIF(92:92,I28,93:93)-SUMIF(92:92,C28,93:93)+100</f>
        <v>100</v>
      </c>
      <c r="K28" s="612"/>
      <c r="L28" s="1139"/>
      <c r="M28" s="1130"/>
      <c r="N28" s="1130"/>
      <c r="O28" s="1130"/>
      <c r="P28" s="3605"/>
      <c r="Q28" s="1798" t="str">
        <f t="shared" si="11"/>
        <v>楼层</v>
      </c>
      <c r="R28" s="773" t="s">
        <v>17</v>
      </c>
      <c r="S28" s="774">
        <f t="shared" ref="S28:S46" si="12">F28</f>
        <v>100</v>
      </c>
      <c r="T28" s="773" t="s">
        <v>17</v>
      </c>
      <c r="U28" s="774">
        <f t="shared" ref="U28:U46" si="13">H28</f>
        <v>100</v>
      </c>
      <c r="V28" s="773" t="s">
        <v>17</v>
      </c>
      <c r="W28" s="774">
        <f t="shared" ref="W28:W46" si="14">J28</f>
        <v>100</v>
      </c>
      <c r="X28" s="1801"/>
      <c r="Y28" s="3607"/>
      <c r="Z28" s="1802" t="str">
        <f t="shared" ref="Z28:Z46" si="15">Q28</f>
        <v>楼层</v>
      </c>
      <c r="AA28" s="1799">
        <f t="shared" si="3"/>
        <v>1</v>
      </c>
      <c r="AB28" s="1799">
        <f t="shared" si="4"/>
        <v>1</v>
      </c>
      <c r="AC28" s="1799">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605"/>
      <c r="Q29" s="1798">
        <f t="shared" si="11"/>
        <v>111</v>
      </c>
      <c r="R29" s="773" t="s">
        <v>17</v>
      </c>
      <c r="S29" s="774">
        <f t="shared" si="12"/>
        <v>100</v>
      </c>
      <c r="T29" s="773" t="s">
        <v>17</v>
      </c>
      <c r="U29" s="774">
        <f t="shared" si="13"/>
        <v>100</v>
      </c>
      <c r="V29" s="773" t="s">
        <v>17</v>
      </c>
      <c r="W29" s="774">
        <f t="shared" si="14"/>
        <v>100</v>
      </c>
      <c r="X29" s="1801"/>
      <c r="Y29" s="3607"/>
      <c r="Z29" s="1802">
        <f t="shared" si="15"/>
        <v>111</v>
      </c>
      <c r="AA29" s="1799">
        <f t="shared" si="3"/>
        <v>1</v>
      </c>
      <c r="AB29" s="1799">
        <f t="shared" si="4"/>
        <v>1</v>
      </c>
      <c r="AC29" s="1799">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605"/>
      <c r="Q30" s="1798">
        <f t="shared" si="11"/>
        <v>111</v>
      </c>
      <c r="R30" s="773" t="s">
        <v>17</v>
      </c>
      <c r="S30" s="774">
        <f t="shared" si="12"/>
        <v>100</v>
      </c>
      <c r="T30" s="773" t="s">
        <v>17</v>
      </c>
      <c r="U30" s="774">
        <f t="shared" si="13"/>
        <v>100</v>
      </c>
      <c r="V30" s="773" t="s">
        <v>17</v>
      </c>
      <c r="W30" s="774">
        <f t="shared" si="14"/>
        <v>100</v>
      </c>
      <c r="X30" s="1801"/>
      <c r="Y30" s="3607"/>
      <c r="Z30" s="1802">
        <f t="shared" si="15"/>
        <v>111</v>
      </c>
      <c r="AA30" s="1799">
        <f t="shared" si="3"/>
        <v>1</v>
      </c>
      <c r="AB30" s="1799">
        <f t="shared" si="4"/>
        <v>1</v>
      </c>
      <c r="AC30" s="1799">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605"/>
      <c r="Q31" s="1798">
        <f t="shared" si="11"/>
        <v>111</v>
      </c>
      <c r="R31" s="773" t="s">
        <v>17</v>
      </c>
      <c r="S31" s="774">
        <f t="shared" si="12"/>
        <v>100</v>
      </c>
      <c r="T31" s="773" t="s">
        <v>17</v>
      </c>
      <c r="U31" s="774">
        <f t="shared" si="13"/>
        <v>100</v>
      </c>
      <c r="V31" s="773" t="s">
        <v>17</v>
      </c>
      <c r="W31" s="774">
        <f t="shared" si="14"/>
        <v>100</v>
      </c>
      <c r="X31" s="1801"/>
      <c r="Y31" s="3607"/>
      <c r="Z31" s="1802">
        <f t="shared" si="15"/>
        <v>111</v>
      </c>
      <c r="AA31" s="1799">
        <f t="shared" si="3"/>
        <v>1</v>
      </c>
      <c r="AB31" s="1799">
        <f t="shared" si="4"/>
        <v>1</v>
      </c>
      <c r="AC31" s="1799">
        <f t="shared" si="5"/>
        <v>1</v>
      </c>
    </row>
    <row r="32" spans="1:29" ht="15">
      <c r="A32" s="439" t="s">
        <v>2562</v>
      </c>
      <c r="B32" s="70" t="s">
        <v>2659</v>
      </c>
      <c r="C32" s="2605" t="s">
        <v>3403</v>
      </c>
      <c r="D32" s="466">
        <v>100</v>
      </c>
      <c r="E32" s="2605" t="s">
        <v>3403</v>
      </c>
      <c r="F32" s="460">
        <f>SUMIF(100:100,E32,101:101)-SUMIF(100:100,C32,101:101)+100</f>
        <v>100</v>
      </c>
      <c r="G32" s="2605" t="s">
        <v>3403</v>
      </c>
      <c r="H32" s="434">
        <f>SUMIF(100:100,G32,101:101)-SUMIF(100:100,C32,101:101)+100</f>
        <v>100</v>
      </c>
      <c r="I32" s="2605" t="s">
        <v>3403</v>
      </c>
      <c r="J32" s="466">
        <f>SUMIF(100:100,I32,101:101)-SUMIF(100:100,C32,101:101)+100</f>
        <v>100</v>
      </c>
      <c r="K32" s="611">
        <v>2</v>
      </c>
      <c r="L32" s="1139"/>
      <c r="M32" s="1130"/>
      <c r="N32" s="1130"/>
      <c r="O32" s="1130"/>
      <c r="P32" s="3608" t="s">
        <v>2564</v>
      </c>
      <c r="Q32" s="1798" t="str">
        <f t="shared" si="11"/>
        <v>商业类型</v>
      </c>
      <c r="R32" s="773" t="s">
        <v>17</v>
      </c>
      <c r="S32" s="774">
        <f t="shared" si="12"/>
        <v>100</v>
      </c>
      <c r="T32" s="773" t="s">
        <v>17</v>
      </c>
      <c r="U32" s="774">
        <f t="shared" si="13"/>
        <v>100</v>
      </c>
      <c r="V32" s="773" t="s">
        <v>17</v>
      </c>
      <c r="W32" s="774">
        <f t="shared" si="14"/>
        <v>100</v>
      </c>
      <c r="X32" s="1801"/>
      <c r="Y32" s="3611" t="s">
        <v>2564</v>
      </c>
      <c r="Z32" s="1802" t="str">
        <f t="shared" si="15"/>
        <v>商业类型</v>
      </c>
      <c r="AA32" s="1799">
        <f t="shared" si="3"/>
        <v>1</v>
      </c>
      <c r="AB32" s="1799">
        <f t="shared" si="4"/>
        <v>1</v>
      </c>
      <c r="AC32" s="1799">
        <f t="shared" si="5"/>
        <v>1</v>
      </c>
    </row>
    <row r="33" spans="1:29" s="470" customFormat="1" ht="15">
      <c r="A33" s="467"/>
      <c r="B33" s="421" t="s">
        <v>2565</v>
      </c>
      <c r="C33" s="468">
        <v>1</v>
      </c>
      <c r="D33" s="135">
        <v>100</v>
      </c>
      <c r="E33" s="429">
        <v>1</v>
      </c>
      <c r="F33" s="424">
        <f>LOOKUP(E33,103:103,104:104)-LOOKUP(C33,103:103,104:104)+100</f>
        <v>100</v>
      </c>
      <c r="G33" s="428">
        <v>1</v>
      </c>
      <c r="H33" s="135">
        <f>LOOKUP(G33,103:103,104:104)-LOOKUP(C33,103:103,104:104)+100</f>
        <v>100</v>
      </c>
      <c r="I33" s="428">
        <v>1</v>
      </c>
      <c r="J33" s="135">
        <f>LOOKUP(I33,103:103,104:104)-LOOKUP(C33,103:103,104:104)+100</f>
        <v>100</v>
      </c>
      <c r="K33" s="612"/>
      <c r="L33" s="1137"/>
      <c r="M33" s="1140"/>
      <c r="N33" s="1140"/>
      <c r="O33" s="1140"/>
      <c r="P33" s="3609"/>
      <c r="Q33" s="775" t="str">
        <f t="shared" si="11"/>
        <v>项目建筑规模</v>
      </c>
      <c r="R33" s="776" t="s">
        <v>17</v>
      </c>
      <c r="S33" s="777">
        <f t="shared" si="12"/>
        <v>100</v>
      </c>
      <c r="T33" s="776" t="s">
        <v>17</v>
      </c>
      <c r="U33" s="777">
        <f t="shared" si="13"/>
        <v>100</v>
      </c>
      <c r="V33" s="776" t="s">
        <v>17</v>
      </c>
      <c r="W33" s="777">
        <f t="shared" si="14"/>
        <v>100</v>
      </c>
      <c r="X33" s="778"/>
      <c r="Y33" s="3611"/>
      <c r="Z33" s="779" t="str">
        <f t="shared" si="15"/>
        <v>项目建筑规模</v>
      </c>
      <c r="AA33" s="1799">
        <f t="shared" si="3"/>
        <v>1</v>
      </c>
      <c r="AB33" s="1799">
        <f t="shared" si="4"/>
        <v>1</v>
      </c>
      <c r="AC33" s="1799">
        <f t="shared" si="5"/>
        <v>1</v>
      </c>
    </row>
    <row r="34" spans="1:29" ht="15">
      <c r="A34" s="471"/>
      <c r="B34" s="421" t="s">
        <v>2566</v>
      </c>
      <c r="C34" s="2607" t="s">
        <v>3405</v>
      </c>
      <c r="D34" s="434">
        <v>100</v>
      </c>
      <c r="E34" s="2607" t="s">
        <v>3405</v>
      </c>
      <c r="F34" s="460">
        <f>SUMIF(105:105,E34,106:106)-SUMIF(105:105,C34,106:106)+100</f>
        <v>100</v>
      </c>
      <c r="G34" s="2607" t="s">
        <v>3405</v>
      </c>
      <c r="H34" s="434">
        <f>SUMIF(105:105,G34,106:106)-SUMIF(105:105,C34,106:106)+100</f>
        <v>100</v>
      </c>
      <c r="I34" s="2607" t="s">
        <v>3405</v>
      </c>
      <c r="J34" s="434">
        <f>SUMIF(105:105,I34,106:106)-SUMIF(105:105,C34,106:106)+100</f>
        <v>100</v>
      </c>
      <c r="K34" s="611">
        <v>1</v>
      </c>
      <c r="L34" s="1139"/>
      <c r="M34" s="1130"/>
      <c r="N34" s="1130"/>
      <c r="O34" s="1130"/>
      <c r="P34" s="3609"/>
      <c r="Q34" s="1798" t="str">
        <f t="shared" si="11"/>
        <v>建筑结构</v>
      </c>
      <c r="R34" s="773" t="s">
        <v>17</v>
      </c>
      <c r="S34" s="774">
        <f t="shared" si="12"/>
        <v>100</v>
      </c>
      <c r="T34" s="773" t="s">
        <v>17</v>
      </c>
      <c r="U34" s="774">
        <f t="shared" si="13"/>
        <v>100</v>
      </c>
      <c r="V34" s="773" t="s">
        <v>17</v>
      </c>
      <c r="W34" s="774">
        <f t="shared" si="14"/>
        <v>100</v>
      </c>
      <c r="X34" s="1801"/>
      <c r="Y34" s="3611"/>
      <c r="Z34" s="1802" t="str">
        <f t="shared" si="15"/>
        <v>建筑结构</v>
      </c>
      <c r="AA34" s="1799">
        <f t="shared" si="3"/>
        <v>1</v>
      </c>
      <c r="AB34" s="1799">
        <f t="shared" si="4"/>
        <v>1</v>
      </c>
      <c r="AC34" s="1799">
        <f t="shared" si="5"/>
        <v>1</v>
      </c>
    </row>
    <row r="35" spans="1:29" ht="15" hidden="1">
      <c r="A35" s="471"/>
      <c r="B35" s="421" t="s">
        <v>2660</v>
      </c>
      <c r="C35" s="2601"/>
      <c r="D35" s="434">
        <v>100</v>
      </c>
      <c r="E35" s="2601"/>
      <c r="F35" s="460">
        <f>SUMIF(107:107,E35,108:108)-SUMIF(107:107,C35,108:108)+100</f>
        <v>100</v>
      </c>
      <c r="G35" s="2601"/>
      <c r="H35" s="434">
        <f>SUMIF(107:107,G35,108:108)-SUMIF(107:107,C35,108:108)+100</f>
        <v>100</v>
      </c>
      <c r="I35" s="2601"/>
      <c r="J35" s="434">
        <f>SUMIF(107:107,I35,108:108)-SUMIF(107:107,C35,108:108)+100</f>
        <v>100</v>
      </c>
      <c r="K35" s="611"/>
      <c r="L35" s="1139"/>
      <c r="M35" s="1130"/>
      <c r="N35" s="1130"/>
      <c r="O35" s="1130"/>
      <c r="P35" s="3609"/>
      <c r="Q35" s="1798" t="str">
        <f t="shared" si="11"/>
        <v>公共部分装修</v>
      </c>
      <c r="R35" s="773" t="s">
        <v>17</v>
      </c>
      <c r="S35" s="774">
        <f t="shared" si="12"/>
        <v>100</v>
      </c>
      <c r="T35" s="773" t="s">
        <v>17</v>
      </c>
      <c r="U35" s="774">
        <f t="shared" si="13"/>
        <v>100</v>
      </c>
      <c r="V35" s="773" t="s">
        <v>17</v>
      </c>
      <c r="W35" s="774">
        <f t="shared" si="14"/>
        <v>100</v>
      </c>
      <c r="X35" s="1801"/>
      <c r="Y35" s="3611"/>
      <c r="Z35" s="1802" t="str">
        <f t="shared" si="15"/>
        <v>公共部分装修</v>
      </c>
      <c r="AA35" s="1799">
        <f t="shared" si="3"/>
        <v>1</v>
      </c>
      <c r="AB35" s="1799">
        <f t="shared" si="4"/>
        <v>1</v>
      </c>
      <c r="AC35" s="1799">
        <f t="shared" si="5"/>
        <v>1</v>
      </c>
    </row>
    <row r="36" spans="1:29" ht="15" hidden="1">
      <c r="A36" s="471"/>
      <c r="B36" s="421" t="s">
        <v>2661</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9"/>
      <c r="M36" s="1130"/>
      <c r="N36" s="1130"/>
      <c r="O36" s="1130"/>
      <c r="P36" s="3609"/>
      <c r="Q36" s="1798" t="str">
        <f t="shared" si="11"/>
        <v>成新度</v>
      </c>
      <c r="R36" s="773" t="s">
        <v>17</v>
      </c>
      <c r="S36" s="774">
        <f t="shared" si="12"/>
        <v>100</v>
      </c>
      <c r="T36" s="773" t="s">
        <v>17</v>
      </c>
      <c r="U36" s="774">
        <f t="shared" si="13"/>
        <v>100</v>
      </c>
      <c r="V36" s="773" t="s">
        <v>17</v>
      </c>
      <c r="W36" s="774">
        <f t="shared" si="14"/>
        <v>100</v>
      </c>
      <c r="X36" s="1801"/>
      <c r="Y36" s="3611"/>
      <c r="Z36" s="1802" t="str">
        <f t="shared" si="15"/>
        <v>成新度</v>
      </c>
      <c r="AA36" s="1799">
        <f t="shared" si="3"/>
        <v>1</v>
      </c>
      <c r="AB36" s="1799">
        <f t="shared" si="4"/>
        <v>1</v>
      </c>
      <c r="AC36" s="1799">
        <f t="shared" si="5"/>
        <v>1</v>
      </c>
    </row>
    <row r="37" spans="1:29" s="116" customFormat="1" ht="15">
      <c r="A37" s="472"/>
      <c r="B37" s="421" t="s">
        <v>2662</v>
      </c>
      <c r="C37" s="2601" t="s">
        <v>3650</v>
      </c>
      <c r="D37" s="135">
        <v>100</v>
      </c>
      <c r="E37" s="2601" t="s">
        <v>3650</v>
      </c>
      <c r="F37" s="460">
        <f>SUMIF(112:112,E37,113:113)-SUMIF(112:112,C37,113:113)+100</f>
        <v>100</v>
      </c>
      <c r="G37" s="2601" t="s">
        <v>3650</v>
      </c>
      <c r="H37" s="434">
        <f>SUMIF(112:112,G37,113:113)-SUMIF(112:112,C37,113:113)+100</f>
        <v>100</v>
      </c>
      <c r="I37" s="2601" t="s">
        <v>3650</v>
      </c>
      <c r="J37" s="434">
        <f>SUMIF(112:112,I37,113:113)-SUMIF(112:112,C37,113:113)+100</f>
        <v>100</v>
      </c>
      <c r="K37" s="611">
        <v>1</v>
      </c>
      <c r="L37" s="1131"/>
      <c r="M37" s="1132"/>
      <c r="N37" s="1132"/>
      <c r="O37" s="1132"/>
      <c r="P37" s="3609"/>
      <c r="Q37" s="1783" t="str">
        <f t="shared" si="11"/>
        <v>市政基础设施</v>
      </c>
      <c r="R37" s="769" t="s">
        <v>17</v>
      </c>
      <c r="S37" s="770">
        <f t="shared" si="12"/>
        <v>100</v>
      </c>
      <c r="T37" s="769" t="s">
        <v>17</v>
      </c>
      <c r="U37" s="770">
        <f t="shared" si="13"/>
        <v>100</v>
      </c>
      <c r="V37" s="769" t="s">
        <v>17</v>
      </c>
      <c r="W37" s="770">
        <f t="shared" si="14"/>
        <v>100</v>
      </c>
      <c r="X37" s="771"/>
      <c r="Y37" s="3611"/>
      <c r="Z37" s="55" t="str">
        <f t="shared" si="15"/>
        <v>市政基础设施</v>
      </c>
      <c r="AA37" s="772">
        <f t="shared" si="3"/>
        <v>1</v>
      </c>
      <c r="AB37" s="772">
        <f t="shared" si="4"/>
        <v>1</v>
      </c>
      <c r="AC37" s="772">
        <f t="shared" si="5"/>
        <v>1</v>
      </c>
    </row>
    <row r="38" spans="1:29" ht="15">
      <c r="A38" s="471"/>
      <c r="B38" s="3083" t="s">
        <v>2663</v>
      </c>
      <c r="C38" s="2601"/>
      <c r="D38" s="434">
        <v>100</v>
      </c>
      <c r="E38" s="2601"/>
      <c r="F38" s="460">
        <f>SUMIF(114:114,E38,115:115)-SUMIF(114:114,C38,115:115)+100</f>
        <v>100</v>
      </c>
      <c r="G38" s="2601"/>
      <c r="H38" s="434">
        <f>SUMIF(114:114,G38,115:115)-SUMIF(114:114,C38,115:115)+100</f>
        <v>100</v>
      </c>
      <c r="I38" s="2601"/>
      <c r="J38" s="434">
        <f>SUMIF(114:114,I38,115:115)-SUMIF(114:114,C38,115:115)+100</f>
        <v>100</v>
      </c>
      <c r="K38" s="611"/>
      <c r="L38" s="1139"/>
      <c r="M38" s="1130"/>
      <c r="N38" s="1130"/>
      <c r="O38" s="1130"/>
      <c r="P38" s="3609" t="s">
        <v>2564</v>
      </c>
      <c r="Q38" s="1798" t="str">
        <f t="shared" si="11"/>
        <v>业态</v>
      </c>
      <c r="R38" s="773" t="s">
        <v>17</v>
      </c>
      <c r="S38" s="774">
        <f t="shared" si="12"/>
        <v>100</v>
      </c>
      <c r="T38" s="773" t="s">
        <v>17</v>
      </c>
      <c r="U38" s="774">
        <f t="shared" si="13"/>
        <v>100</v>
      </c>
      <c r="V38" s="773" t="s">
        <v>17</v>
      </c>
      <c r="W38" s="774">
        <f t="shared" si="14"/>
        <v>100</v>
      </c>
      <c r="X38" s="1801"/>
      <c r="Y38" s="3611" t="s">
        <v>2564</v>
      </c>
      <c r="Z38" s="1802" t="str">
        <f t="shared" si="15"/>
        <v>业态</v>
      </c>
      <c r="AA38" s="1799">
        <f t="shared" si="3"/>
        <v>1</v>
      </c>
      <c r="AB38" s="1799">
        <f t="shared" si="4"/>
        <v>1</v>
      </c>
      <c r="AC38" s="1799">
        <f t="shared" si="5"/>
        <v>1</v>
      </c>
    </row>
    <row r="39" spans="1:29" ht="15">
      <c r="A39" s="471"/>
      <c r="B39" s="3083" t="s">
        <v>2664</v>
      </c>
      <c r="C39" s="2601"/>
      <c r="D39" s="434">
        <v>100</v>
      </c>
      <c r="E39" s="2601"/>
      <c r="F39" s="460">
        <f>SUMIF(116:116,E39,117:117)-SUMIF(116:116,C39,117:117)+100</f>
        <v>100</v>
      </c>
      <c r="G39" s="2601"/>
      <c r="H39" s="434">
        <f>SUMIF(116:116,G39,117:117)-SUMIF(116:116,C39,117:117)+100</f>
        <v>100</v>
      </c>
      <c r="I39" s="2601"/>
      <c r="J39" s="434">
        <f>SUMIF(116:116,I39,117:117)-SUMIF(116:116,C39,117:117)+100</f>
        <v>100</v>
      </c>
      <c r="K39" s="611"/>
      <c r="L39" s="1139"/>
      <c r="M39" s="1130"/>
      <c r="N39" s="1130"/>
      <c r="O39" s="1130"/>
      <c r="P39" s="3609"/>
      <c r="Q39" s="1798" t="str">
        <f t="shared" si="11"/>
        <v>层高</v>
      </c>
      <c r="R39" s="773" t="s">
        <v>17</v>
      </c>
      <c r="S39" s="774">
        <f t="shared" si="12"/>
        <v>100</v>
      </c>
      <c r="T39" s="773" t="s">
        <v>17</v>
      </c>
      <c r="U39" s="774">
        <f t="shared" si="13"/>
        <v>100</v>
      </c>
      <c r="V39" s="773" t="s">
        <v>17</v>
      </c>
      <c r="W39" s="774">
        <f t="shared" si="14"/>
        <v>100</v>
      </c>
      <c r="X39" s="1801"/>
      <c r="Y39" s="3611"/>
      <c r="Z39" s="1802" t="str">
        <f t="shared" si="15"/>
        <v>层高</v>
      </c>
      <c r="AA39" s="1799">
        <f t="shared" si="3"/>
        <v>1</v>
      </c>
      <c r="AB39" s="1799">
        <f t="shared" si="4"/>
        <v>1</v>
      </c>
      <c r="AC39" s="1799">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609"/>
      <c r="Q40" s="1798" t="str">
        <f t="shared" si="11"/>
        <v>单套建筑面积</v>
      </c>
      <c r="R40" s="773" t="s">
        <v>17</v>
      </c>
      <c r="S40" s="774">
        <f t="shared" si="12"/>
        <v>100</v>
      </c>
      <c r="T40" s="773" t="s">
        <v>17</v>
      </c>
      <c r="U40" s="774">
        <f t="shared" si="13"/>
        <v>100</v>
      </c>
      <c r="V40" s="773" t="s">
        <v>17</v>
      </c>
      <c r="W40" s="774">
        <f t="shared" si="14"/>
        <v>100</v>
      </c>
      <c r="X40" s="1801"/>
      <c r="Y40" s="3611"/>
      <c r="Z40" s="1802" t="str">
        <f t="shared" si="15"/>
        <v>单套建筑面积</v>
      </c>
      <c r="AA40" s="1799">
        <f t="shared" si="3"/>
        <v>1</v>
      </c>
      <c r="AB40" s="1799">
        <f t="shared" si="4"/>
        <v>1</v>
      </c>
      <c r="AC40" s="1799">
        <f t="shared" si="5"/>
        <v>1</v>
      </c>
    </row>
    <row r="41" spans="1:29" s="470" customFormat="1" ht="15" hidden="1">
      <c r="A41" s="467"/>
      <c r="B41" s="1800"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609"/>
      <c r="Q41" s="775" t="str">
        <f t="shared" si="11"/>
        <v>进深比</v>
      </c>
      <c r="R41" s="776" t="s">
        <v>17</v>
      </c>
      <c r="S41" s="777">
        <f t="shared" si="12"/>
        <v>100</v>
      </c>
      <c r="T41" s="776" t="s">
        <v>17</v>
      </c>
      <c r="U41" s="777">
        <f t="shared" si="13"/>
        <v>100</v>
      </c>
      <c r="V41" s="776" t="s">
        <v>17</v>
      </c>
      <c r="W41" s="777">
        <f t="shared" si="14"/>
        <v>100</v>
      </c>
      <c r="X41" s="778"/>
      <c r="Y41" s="3611"/>
      <c r="Z41" s="779" t="str">
        <f t="shared" si="15"/>
        <v>进深比</v>
      </c>
      <c r="AA41" s="1799">
        <f t="shared" si="3"/>
        <v>1</v>
      </c>
      <c r="AB41" s="1799">
        <f t="shared" si="4"/>
        <v>1</v>
      </c>
      <c r="AC41" s="1799">
        <f t="shared" si="5"/>
        <v>1</v>
      </c>
    </row>
    <row r="42" spans="1:29" ht="15">
      <c r="A42" s="471"/>
      <c r="B42" s="421" t="s">
        <v>2667</v>
      </c>
      <c r="C42" s="2601" t="s">
        <v>3423</v>
      </c>
      <c r="D42" s="434">
        <v>100</v>
      </c>
      <c r="E42" s="2601" t="s">
        <v>3420</v>
      </c>
      <c r="F42" s="460">
        <f>SUMIF(122:122,E42,123:123)-SUMIF(122:122,C42,123:123)+100</f>
        <v>104</v>
      </c>
      <c r="G42" s="2601" t="s">
        <v>3420</v>
      </c>
      <c r="H42" s="434">
        <f>SUMIF(122:122,G42,123:123)-SUMIF(122:122,C42,123:123)+100</f>
        <v>104</v>
      </c>
      <c r="I42" s="2601" t="s">
        <v>3420</v>
      </c>
      <c r="J42" s="434">
        <f>SUMIF(122:122,I42,123:123)-SUMIF(122:122,C42,123:123)+100</f>
        <v>104</v>
      </c>
      <c r="K42" s="611">
        <v>2</v>
      </c>
      <c r="L42" s="1139"/>
      <c r="M42" s="1130"/>
      <c r="N42" s="1130"/>
      <c r="O42" s="1130"/>
      <c r="P42" s="3609"/>
      <c r="Q42" s="1798" t="str">
        <f t="shared" si="11"/>
        <v>内部装修</v>
      </c>
      <c r="R42" s="773" t="s">
        <v>17</v>
      </c>
      <c r="S42" s="774">
        <f t="shared" si="12"/>
        <v>104</v>
      </c>
      <c r="T42" s="773" t="s">
        <v>17</v>
      </c>
      <c r="U42" s="774">
        <f t="shared" si="13"/>
        <v>104</v>
      </c>
      <c r="V42" s="773" t="s">
        <v>17</v>
      </c>
      <c r="W42" s="774">
        <f t="shared" si="14"/>
        <v>104</v>
      </c>
      <c r="X42" s="1801"/>
      <c r="Y42" s="3611"/>
      <c r="Z42" s="1802" t="str">
        <f t="shared" si="15"/>
        <v>内部装修</v>
      </c>
      <c r="AA42" s="1799">
        <f t="shared" si="3"/>
        <v>0.96153846153846156</v>
      </c>
      <c r="AB42" s="1799">
        <f t="shared" si="4"/>
        <v>0.96153846153846156</v>
      </c>
      <c r="AC42" s="1799">
        <f t="shared" si="5"/>
        <v>0.96153846153846156</v>
      </c>
    </row>
    <row r="43" spans="1:29" ht="15" hidden="1">
      <c r="A43" s="471"/>
      <c r="B43" s="421" t="s">
        <v>2575</v>
      </c>
      <c r="C43" s="2601"/>
      <c r="D43" s="434">
        <v>100</v>
      </c>
      <c r="E43" s="2601"/>
      <c r="F43" s="460">
        <f>SUMIF(124:124,E43,125:125)-SUMIF(124:124,C43,125:125)+100</f>
        <v>100</v>
      </c>
      <c r="G43" s="2601"/>
      <c r="H43" s="434">
        <f>SUMIF(124:124,G43,125:125)-SUMIF(124:124,C43,125:125)+100</f>
        <v>100</v>
      </c>
      <c r="I43" s="2601"/>
      <c r="J43" s="434">
        <f>SUMIF(124:124,I43,125:125)-SUMIF(124:124,C43,125:125)+100</f>
        <v>100</v>
      </c>
      <c r="K43" s="611"/>
      <c r="L43" s="1139"/>
      <c r="M43" s="1130"/>
      <c r="N43" s="1130"/>
      <c r="O43" s="1130"/>
      <c r="P43" s="3609"/>
      <c r="Q43" s="1798" t="str">
        <f t="shared" si="11"/>
        <v>内部装修维护情况</v>
      </c>
      <c r="R43" s="773" t="s">
        <v>17</v>
      </c>
      <c r="S43" s="774">
        <f t="shared" si="12"/>
        <v>100</v>
      </c>
      <c r="T43" s="773" t="s">
        <v>17</v>
      </c>
      <c r="U43" s="774">
        <f t="shared" si="13"/>
        <v>100</v>
      </c>
      <c r="V43" s="773" t="s">
        <v>17</v>
      </c>
      <c r="W43" s="774">
        <f t="shared" si="14"/>
        <v>100</v>
      </c>
      <c r="X43" s="1801"/>
      <c r="Y43" s="3611"/>
      <c r="Z43" s="1802" t="str">
        <f t="shared" si="15"/>
        <v>内部装修维护情况</v>
      </c>
      <c r="AA43" s="1799">
        <f t="shared" si="3"/>
        <v>1</v>
      </c>
      <c r="AB43" s="1799">
        <f t="shared" si="4"/>
        <v>1</v>
      </c>
      <c r="AC43" s="1799">
        <f t="shared" si="5"/>
        <v>1</v>
      </c>
    </row>
    <row r="44" spans="1:29" s="116" customFormat="1" ht="15">
      <c r="A44" s="472"/>
      <c r="B44" s="3081" t="s">
        <v>3413</v>
      </c>
      <c r="C44" s="468">
        <v>2019</v>
      </c>
      <c r="D44" s="135">
        <v>100</v>
      </c>
      <c r="E44" s="433">
        <v>2000</v>
      </c>
      <c r="F44" s="424">
        <f>SUMIF(126:126,E44,127:127)-SUMIF(126:126,C44,127:127)+100</f>
        <v>96.2</v>
      </c>
      <c r="G44" s="433">
        <v>2009</v>
      </c>
      <c r="H44" s="135">
        <f>SUMIF(126:126,G44,127:127)-SUMIF(126:126,C44,127:127)+100</f>
        <v>98</v>
      </c>
      <c r="I44" s="433">
        <v>2013</v>
      </c>
      <c r="J44" s="135">
        <f>SUMIF(126:126,I44,127:127)-SUMIF(126:126,C44,127:127)+100</f>
        <v>98.8</v>
      </c>
      <c r="K44" s="612"/>
      <c r="L44" s="1131"/>
      <c r="M44" s="1132"/>
      <c r="N44" s="1132"/>
      <c r="O44" s="1132"/>
      <c r="P44" s="3609"/>
      <c r="Q44" s="1783" t="str">
        <f t="shared" si="11"/>
        <v>建成年代</v>
      </c>
      <c r="R44" s="769" t="s">
        <v>17</v>
      </c>
      <c r="S44" s="770">
        <f t="shared" si="12"/>
        <v>96.2</v>
      </c>
      <c r="T44" s="769" t="s">
        <v>17</v>
      </c>
      <c r="U44" s="770">
        <f t="shared" si="13"/>
        <v>98</v>
      </c>
      <c r="V44" s="769" t="s">
        <v>17</v>
      </c>
      <c r="W44" s="770">
        <f t="shared" si="14"/>
        <v>98.8</v>
      </c>
      <c r="X44" s="771"/>
      <c r="Y44" s="3611"/>
      <c r="Z44" s="55" t="str">
        <f t="shared" si="15"/>
        <v>建成年代</v>
      </c>
      <c r="AA44" s="772">
        <f t="shared" si="3"/>
        <v>1.0395010395010396</v>
      </c>
      <c r="AB44" s="772">
        <f t="shared" si="4"/>
        <v>1.0204081632653061</v>
      </c>
      <c r="AC44" s="772">
        <f t="shared" si="5"/>
        <v>1.0121457489878543</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609"/>
      <c r="Q45" s="1798">
        <f t="shared" si="11"/>
        <v>111</v>
      </c>
      <c r="R45" s="773" t="s">
        <v>17</v>
      </c>
      <c r="S45" s="774">
        <f t="shared" si="12"/>
        <v>100</v>
      </c>
      <c r="T45" s="773" t="s">
        <v>17</v>
      </c>
      <c r="U45" s="774">
        <f t="shared" si="13"/>
        <v>100</v>
      </c>
      <c r="V45" s="773" t="s">
        <v>17</v>
      </c>
      <c r="W45" s="774">
        <f t="shared" si="14"/>
        <v>100</v>
      </c>
      <c r="X45" s="1801"/>
      <c r="Y45" s="3611"/>
      <c r="Z45" s="1802">
        <f t="shared" si="15"/>
        <v>111</v>
      </c>
      <c r="AA45" s="1799">
        <f t="shared" si="3"/>
        <v>1</v>
      </c>
      <c r="AB45" s="1799">
        <f t="shared" si="4"/>
        <v>1</v>
      </c>
      <c r="AC45" s="1799">
        <f t="shared" si="5"/>
        <v>1</v>
      </c>
    </row>
    <row r="46" spans="1:29" ht="15.75" thickBot="1">
      <c r="A46" s="477"/>
      <c r="B46" s="259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610"/>
      <c r="Q46" s="1798">
        <f t="shared" si="11"/>
        <v>111</v>
      </c>
      <c r="R46" s="773" t="s">
        <v>17</v>
      </c>
      <c r="S46" s="774">
        <f t="shared" si="12"/>
        <v>100</v>
      </c>
      <c r="T46" s="773" t="s">
        <v>17</v>
      </c>
      <c r="U46" s="774">
        <f t="shared" si="13"/>
        <v>100</v>
      </c>
      <c r="V46" s="773" t="s">
        <v>17</v>
      </c>
      <c r="W46" s="774">
        <f t="shared" si="14"/>
        <v>100</v>
      </c>
      <c r="X46" s="1801"/>
      <c r="Y46" s="3612"/>
      <c r="Z46" s="1802">
        <f t="shared" si="15"/>
        <v>111</v>
      </c>
      <c r="AA46" s="1799">
        <f t="shared" si="3"/>
        <v>1</v>
      </c>
      <c r="AB46" s="1799">
        <f t="shared" si="4"/>
        <v>1</v>
      </c>
      <c r="AC46" s="1799">
        <f t="shared" si="5"/>
        <v>1</v>
      </c>
    </row>
    <row r="47" spans="1:29" ht="15">
      <c r="A47" s="478" t="s">
        <v>2576</v>
      </c>
      <c r="B47" s="479"/>
      <c r="C47" s="1403" t="s">
        <v>1</v>
      </c>
      <c r="D47" s="1404"/>
      <c r="E47" s="1405">
        <v>30000</v>
      </c>
      <c r="F47" s="1406"/>
      <c r="G47" s="1407">
        <v>30000</v>
      </c>
      <c r="H47" s="1408"/>
      <c r="I47" s="1405">
        <v>30000</v>
      </c>
      <c r="J47" s="1408"/>
      <c r="K47" s="782"/>
      <c r="L47" s="1142"/>
      <c r="M47" s="1143"/>
      <c r="N47" s="1130"/>
      <c r="O47" s="1143"/>
      <c r="P47" s="3613" t="str">
        <f>A47</f>
        <v>成交单价（元/平方米）</v>
      </c>
      <c r="Q47" s="3613"/>
      <c r="R47" s="3574">
        <f>E47</f>
        <v>30000</v>
      </c>
      <c r="S47" s="3574"/>
      <c r="T47" s="3574">
        <f>G47</f>
        <v>30000</v>
      </c>
      <c r="U47" s="3574"/>
      <c r="V47" s="3574">
        <f>I47</f>
        <v>30000</v>
      </c>
      <c r="W47" s="3574"/>
      <c r="X47" s="758"/>
      <c r="Y47" s="780"/>
      <c r="Z47" s="758"/>
      <c r="AA47" s="758"/>
      <c r="AB47" s="758"/>
      <c r="AC47" s="758"/>
    </row>
    <row r="48" spans="1:29" ht="15.75" thickBot="1">
      <c r="A48" s="485" t="s">
        <v>2668</v>
      </c>
      <c r="B48" s="486"/>
      <c r="C48" s="1409">
        <f>R49</f>
        <v>26262.400000000001</v>
      </c>
      <c r="D48" s="1410"/>
      <c r="E48" s="1411">
        <f>R48</f>
        <v>27202.400000000001</v>
      </c>
      <c r="F48" s="1411"/>
      <c r="G48" s="1409">
        <f>T48</f>
        <v>26157.8</v>
      </c>
      <c r="H48" s="1410"/>
      <c r="I48" s="1411">
        <f>V48</f>
        <v>25427.1</v>
      </c>
      <c r="J48" s="1410"/>
      <c r="K48" s="783"/>
      <c r="L48" s="1142"/>
      <c r="M48" s="1143"/>
      <c r="N48" s="1130"/>
      <c r="O48" s="1143"/>
      <c r="P48" s="3613" t="str">
        <f>A48</f>
        <v>比较价值（元/平方米）</v>
      </c>
      <c r="Q48" s="3613"/>
      <c r="R48" s="3614">
        <f>IF(F1="售价",ROUND(PRODUCT(R47,AA7:AA46),0),ROUND(PRODUCT(R47,AA7:AA46),1))</f>
        <v>27202.400000000001</v>
      </c>
      <c r="S48" s="3614"/>
      <c r="T48" s="3614">
        <f>IF(F1="售价",ROUND(PRODUCT(T47,AB7:AB46),0),ROUND(PRODUCT(T47,AB7:AB46),1))</f>
        <v>26157.8</v>
      </c>
      <c r="U48" s="3614"/>
      <c r="V48" s="3614">
        <f>IF(F1="售价",ROUND(PRODUCT(V47,AC7:AC46),0),ROUND(PRODUCT(V47,AC7:AC46),1))</f>
        <v>25427.1</v>
      </c>
      <c r="W48" s="3614"/>
      <c r="X48" s="758"/>
      <c r="Y48" s="758"/>
      <c r="Z48" s="758"/>
      <c r="AA48" s="758"/>
      <c r="AB48" s="758"/>
      <c r="AC48" s="758"/>
    </row>
    <row r="49" spans="1:29" ht="15.75" thickBot="1">
      <c r="A49" s="491" t="s">
        <v>2669</v>
      </c>
      <c r="B49" s="492"/>
      <c r="C49" s="1413">
        <f>R49</f>
        <v>26262.400000000001</v>
      </c>
      <c r="D49" s="1413"/>
      <c r="E49" s="1413"/>
      <c r="F49" s="1413"/>
      <c r="G49" s="1413"/>
      <c r="H49" s="1413"/>
      <c r="I49" s="1413"/>
      <c r="J49" s="1413"/>
      <c r="K49" s="784"/>
      <c r="L49" s="1142"/>
      <c r="M49" s="1143"/>
      <c r="N49" s="1130"/>
      <c r="O49" s="1143"/>
      <c r="P49" s="3615" t="str">
        <f>A49</f>
        <v>估价对象XX用房的比较价值（楼面单价，元/平方米）</v>
      </c>
      <c r="Q49" s="3616"/>
      <c r="R49" s="3617">
        <f>IF(F1="售价",ROUND(AVERAGE(R48:V48),0),ROUND(AVERAGE(R48:V48),1))</f>
        <v>26262.400000000001</v>
      </c>
      <c r="S49" s="3617"/>
      <c r="T49" s="3617"/>
      <c r="U49" s="3617"/>
      <c r="V49" s="3617"/>
      <c r="W49" s="361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f>IF(E47&lt;E48,E48/E47-1,E47/E48-1)</f>
        <v>0.10284386671764256</v>
      </c>
      <c r="F52" s="499" t="str">
        <f>IF(OR(E52&gt;=0.3,E52&lt;=-0.3),"超过30%","")</f>
        <v/>
      </c>
      <c r="G52" s="498">
        <f>IF(G47&lt;G48,G48/G47-1,G47/G48-1)</f>
        <v>0.14688544143620641</v>
      </c>
      <c r="H52" s="499" t="str">
        <f>IF(OR(G52&gt;=0.3,G52&lt;=-0.3),"超过30%","")</f>
        <v/>
      </c>
      <c r="I52" s="498">
        <f>IF(I47&lt;I48,I48/I47-1,I47/I48-1)</f>
        <v>0.17984355274490604</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f>IF(E48&lt;G48,G48/E48-1,E48/G48-1)</f>
        <v>3.9934551070808899E-2</v>
      </c>
      <c r="F53" s="499" t="str">
        <f>IF(OR(E53&gt;=0.2,E53&lt;=-0.2),"超过20%","")</f>
        <v/>
      </c>
      <c r="G53" s="498">
        <f>IF(G48&lt;I48,I48/G48-1,G48/I48-1)</f>
        <v>2.8737056133023353E-2</v>
      </c>
      <c r="H53" s="499" t="str">
        <f>IF(OR(G53&gt;=0.2,G53&lt;=-0.2),"超过20%","")</f>
        <v/>
      </c>
      <c r="I53" s="498">
        <f>IF(I48&lt;E48,E48/I48-1,I48/E48-1)</f>
        <v>6.9819208639601227E-2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47"/>
      <c r="L54" s="1148"/>
      <c r="M54" s="1144"/>
      <c r="N54" s="1144"/>
      <c r="O54" s="1144"/>
      <c r="P54" s="265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55"/>
      <c r="Q57" s="2656"/>
      <c r="R57" s="758"/>
      <c r="S57" s="758"/>
      <c r="T57" s="758"/>
      <c r="U57" s="758"/>
      <c r="V57" s="758"/>
      <c r="W57" s="758"/>
      <c r="X57" s="758"/>
      <c r="Y57" s="758"/>
      <c r="Z57" s="758"/>
      <c r="AA57" s="758"/>
      <c r="AB57" s="758"/>
      <c r="AC57" s="758"/>
    </row>
    <row r="58" spans="1:29" s="507" customFormat="1" ht="15">
      <c r="A58" s="504" t="s">
        <v>2547</v>
      </c>
      <c r="B58" s="505"/>
      <c r="C58" s="1570" t="str">
        <f>YEAR(C7)&amp;"-"&amp;MONTH(C7)</f>
        <v>2020-6</v>
      </c>
      <c r="D58" s="1571">
        <f>EDATE(C58,-1)</f>
        <v>43952</v>
      </c>
      <c r="E58" s="1571">
        <f t="shared" ref="E58:N58" si="16">EDATE(D58,-1)</f>
        <v>43922</v>
      </c>
      <c r="F58" s="1571">
        <f t="shared" si="16"/>
        <v>43891</v>
      </c>
      <c r="G58" s="1571">
        <f t="shared" si="16"/>
        <v>43862</v>
      </c>
      <c r="H58" s="1571">
        <f t="shared" si="16"/>
        <v>43831</v>
      </c>
      <c r="I58" s="1571">
        <f t="shared" si="16"/>
        <v>43800</v>
      </c>
      <c r="J58" s="1571">
        <f t="shared" si="16"/>
        <v>43770</v>
      </c>
      <c r="K58" s="1571">
        <f t="shared" si="16"/>
        <v>43739</v>
      </c>
      <c r="L58" s="1571">
        <f t="shared" si="16"/>
        <v>43709</v>
      </c>
      <c r="M58" s="1571">
        <f t="shared" si="16"/>
        <v>43678</v>
      </c>
      <c r="N58" s="1571">
        <f t="shared" si="16"/>
        <v>43647</v>
      </c>
      <c r="O58" s="1571">
        <f>EDATE(N58,-1)</f>
        <v>43617</v>
      </c>
      <c r="P58" s="1566"/>
    </row>
    <row r="59" spans="1:29" s="116" customFormat="1" ht="15">
      <c r="A59" s="508"/>
      <c r="B59" s="509"/>
      <c r="C59" s="1569">
        <v>100</v>
      </c>
      <c r="D59" s="511"/>
      <c r="E59" s="511"/>
      <c r="F59" s="511"/>
      <c r="G59" s="511"/>
      <c r="H59" s="511"/>
      <c r="I59" s="511"/>
      <c r="J59" s="511"/>
      <c r="K59" s="511"/>
      <c r="L59" s="511"/>
      <c r="M59" s="512"/>
      <c r="N59" s="511"/>
      <c r="O59" s="512"/>
      <c r="P59" s="2616"/>
    </row>
    <row r="60" spans="1:29" s="116" customFormat="1" ht="15.75" thickBot="1">
      <c r="A60" s="514" t="s">
        <v>2584</v>
      </c>
      <c r="B60" s="515"/>
      <c r="C60" s="516"/>
      <c r="D60" s="517"/>
      <c r="E60" s="517"/>
      <c r="F60" s="517"/>
      <c r="G60" s="517"/>
      <c r="H60" s="517"/>
      <c r="I60" s="517"/>
      <c r="J60" s="517"/>
      <c r="K60" s="517"/>
      <c r="L60" s="517"/>
      <c r="M60" s="518"/>
      <c r="N60" s="517"/>
      <c r="O60" s="518"/>
      <c r="P60" s="2616"/>
      <c r="Q60" s="503"/>
    </row>
    <row r="61" spans="1:29" s="116" customFormat="1" ht="15">
      <c r="A61" s="520" t="s">
        <v>2549</v>
      </c>
      <c r="B61" s="509"/>
      <c r="C61" s="521" t="s">
        <v>2651</v>
      </c>
      <c r="D61" s="3076" t="s">
        <v>3385</v>
      </c>
      <c r="E61" s="522"/>
      <c r="F61" s="522"/>
      <c r="G61" s="522"/>
      <c r="H61" s="522"/>
      <c r="I61" s="522"/>
      <c r="J61" s="522"/>
      <c r="K61" s="522"/>
      <c r="L61" s="523"/>
      <c r="M61" s="524"/>
      <c r="N61" s="1150"/>
      <c r="O61" s="1150"/>
      <c r="P61" s="2617"/>
      <c r="Q61" s="503"/>
    </row>
    <row r="62" spans="1:29" s="116" customFormat="1" ht="15.75" thickBot="1">
      <c r="A62" s="520"/>
      <c r="B62" s="509"/>
      <c r="C62" s="510">
        <v>100</v>
      </c>
      <c r="D62" s="511">
        <v>102</v>
      </c>
      <c r="E62" s="511"/>
      <c r="F62" s="511"/>
      <c r="G62" s="511"/>
      <c r="H62" s="511"/>
      <c r="I62" s="511"/>
      <c r="J62" s="511"/>
      <c r="K62" s="511"/>
      <c r="L62" s="511"/>
      <c r="M62" s="513"/>
      <c r="N62" s="1150"/>
      <c r="O62" s="1150"/>
      <c r="P62" s="2616"/>
      <c r="Q62" s="503"/>
    </row>
    <row r="63" spans="1:29">
      <c r="A63" s="526" t="s">
        <v>2587</v>
      </c>
      <c r="B63" s="527" t="s">
        <v>2553</v>
      </c>
      <c r="C63" s="528" t="str">
        <f>C9</f>
        <v>商业</v>
      </c>
      <c r="D63" s="529"/>
      <c r="E63" s="529"/>
      <c r="F63" s="529"/>
      <c r="G63" s="529"/>
      <c r="H63" s="529"/>
      <c r="I63" s="529"/>
      <c r="J63" s="529"/>
      <c r="K63" s="530"/>
      <c r="L63" s="531"/>
      <c r="M63" s="532"/>
      <c r="N63" s="1151"/>
      <c r="O63" s="1151"/>
      <c r="P63" s="2618"/>
      <c r="Q63" s="503"/>
    </row>
    <row r="64" spans="1:29" ht="15.75" thickBot="1">
      <c r="A64" s="533"/>
      <c r="B64" s="534"/>
      <c r="C64" s="535">
        <v>100</v>
      </c>
      <c r="D64" s="535"/>
      <c r="E64" s="535"/>
      <c r="F64" s="535"/>
      <c r="G64" s="535"/>
      <c r="H64" s="535"/>
      <c r="I64" s="535"/>
      <c r="J64" s="535"/>
      <c r="K64" s="535"/>
      <c r="L64" s="535"/>
      <c r="M64" s="536"/>
      <c r="N64" s="1152"/>
      <c r="O64" s="1152"/>
      <c r="P64" s="2618"/>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18"/>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18"/>
      <c r="Q66" s="503"/>
    </row>
    <row r="67" spans="1:17" ht="15.75" thickTop="1">
      <c r="A67" s="533"/>
      <c r="B67" s="545" t="s">
        <v>2557</v>
      </c>
      <c r="C67" s="546" t="str">
        <f>C68&amp;"（含）"&amp;"-"&amp;D68</f>
        <v>1（含）-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18"/>
      <c r="Q67" s="503"/>
    </row>
    <row r="68" spans="1:17" ht="15">
      <c r="A68" s="533"/>
      <c r="B68" s="547"/>
      <c r="C68" s="548">
        <v>1</v>
      </c>
      <c r="D68" s="548"/>
      <c r="E68" s="548"/>
      <c r="F68" s="548"/>
      <c r="G68" s="548"/>
      <c r="H68" s="548"/>
      <c r="I68" s="548"/>
      <c r="J68" s="548"/>
      <c r="K68" s="549"/>
      <c r="L68" s="550"/>
      <c r="M68" s="551"/>
      <c r="N68" s="1151"/>
      <c r="O68" s="1151"/>
      <c r="P68" s="2618"/>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2"/>
      <c r="O69" s="1152"/>
      <c r="P69" s="2618"/>
      <c r="Q69" s="503"/>
    </row>
    <row r="70" spans="1:17" s="470" customFormat="1" ht="15.75" thickTop="1">
      <c r="A70" s="552"/>
      <c r="B70" s="537">
        <f>B12</f>
        <v>111</v>
      </c>
      <c r="C70" s="553"/>
      <c r="D70" s="553"/>
      <c r="E70" s="553"/>
      <c r="F70" s="553"/>
      <c r="G70" s="553"/>
      <c r="H70" s="554"/>
      <c r="I70" s="554"/>
      <c r="J70" s="554"/>
      <c r="K70" s="554"/>
      <c r="L70" s="555"/>
      <c r="M70" s="556"/>
      <c r="N70" s="1153"/>
      <c r="O70" s="1153"/>
      <c r="P70" s="2619"/>
      <c r="Q70" s="558"/>
    </row>
    <row r="71" spans="1:17" s="470" customFormat="1" ht="15.75" thickBot="1">
      <c r="A71" s="552"/>
      <c r="B71" s="542"/>
      <c r="C71" s="559"/>
      <c r="D71" s="535"/>
      <c r="E71" s="535"/>
      <c r="F71" s="535"/>
      <c r="G71" s="535"/>
      <c r="H71" s="535"/>
      <c r="I71" s="535"/>
      <c r="J71" s="535"/>
      <c r="K71" s="535"/>
      <c r="L71" s="535"/>
      <c r="M71" s="536"/>
      <c r="N71" s="1152"/>
      <c r="O71" s="1152"/>
      <c r="P71" s="2619"/>
      <c r="Q71" s="558"/>
    </row>
    <row r="72" spans="1:17" s="470" customFormat="1" ht="15.75" thickTop="1">
      <c r="A72" s="552"/>
      <c r="B72" s="537">
        <f>B13</f>
        <v>111</v>
      </c>
      <c r="C72" s="553"/>
      <c r="D72" s="553"/>
      <c r="E72" s="553"/>
      <c r="F72" s="553"/>
      <c r="G72" s="553"/>
      <c r="H72" s="554"/>
      <c r="I72" s="554"/>
      <c r="J72" s="554"/>
      <c r="K72" s="554"/>
      <c r="L72" s="555"/>
      <c r="M72" s="556"/>
      <c r="N72" s="1153"/>
      <c r="O72" s="1153"/>
      <c r="P72" s="2620"/>
      <c r="Q72" s="560"/>
    </row>
    <row r="73" spans="1:17" s="470" customFormat="1" ht="15.75" thickBot="1">
      <c r="A73" s="552"/>
      <c r="B73" s="542"/>
      <c r="C73" s="559"/>
      <c r="D73" s="535"/>
      <c r="E73" s="535"/>
      <c r="F73" s="535"/>
      <c r="G73" s="559"/>
      <c r="H73" s="561"/>
      <c r="I73" s="561"/>
      <c r="J73" s="561"/>
      <c r="K73" s="561"/>
      <c r="L73" s="561"/>
      <c r="M73" s="562"/>
      <c r="N73" s="1153"/>
      <c r="O73" s="1153"/>
      <c r="P73" s="2619"/>
      <c r="Q73" s="558"/>
    </row>
    <row r="74" spans="1:17" s="470" customFormat="1" ht="15.75" thickTop="1">
      <c r="A74" s="552"/>
      <c r="B74" s="545">
        <f>B14</f>
        <v>111</v>
      </c>
      <c r="C74" s="553"/>
      <c r="D74" s="553"/>
      <c r="E74" s="553"/>
      <c r="F74" s="553"/>
      <c r="G74" s="522"/>
      <c r="H74" s="563"/>
      <c r="I74" s="563"/>
      <c r="J74" s="563"/>
      <c r="K74" s="563"/>
      <c r="L74" s="564"/>
      <c r="M74" s="565"/>
      <c r="N74" s="1153"/>
      <c r="O74" s="1153"/>
      <c r="P74" s="2621"/>
      <c r="Q74" s="558"/>
    </row>
    <row r="75" spans="1:17" s="470" customFormat="1" ht="15.75" thickBot="1">
      <c r="A75" s="567"/>
      <c r="B75" s="568"/>
      <c r="C75" s="569"/>
      <c r="D75" s="569"/>
      <c r="E75" s="569"/>
      <c r="F75" s="569"/>
      <c r="G75" s="569"/>
      <c r="H75" s="570"/>
      <c r="I75" s="570"/>
      <c r="J75" s="570"/>
      <c r="K75" s="570"/>
      <c r="L75" s="570"/>
      <c r="M75" s="571"/>
      <c r="N75" s="1153"/>
      <c r="O75" s="1153"/>
      <c r="P75" s="2619"/>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2"/>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8"/>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1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8"/>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1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8"/>
      <c r="Q81" s="503"/>
    </row>
    <row r="82" spans="1:17" ht="15.75" thickTop="1">
      <c r="A82" s="533"/>
      <c r="B82" s="545" t="s">
        <v>2654</v>
      </c>
      <c r="C82" s="659" t="s">
        <v>2674</v>
      </c>
      <c r="D82" s="659" t="s">
        <v>2675</v>
      </c>
      <c r="E82" s="659" t="s">
        <v>2676</v>
      </c>
      <c r="F82" s="659" t="s">
        <v>2677</v>
      </c>
      <c r="G82" s="659" t="s">
        <v>2678</v>
      </c>
      <c r="H82" s="538"/>
      <c r="I82" s="538"/>
      <c r="J82" s="538"/>
      <c r="K82" s="538"/>
      <c r="L82" s="538"/>
      <c r="M82" s="1378"/>
      <c r="N82" s="1152"/>
      <c r="O82" s="1152"/>
      <c r="P82" s="2618"/>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52"/>
      <c r="O83" s="1152"/>
      <c r="P83" s="2618"/>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1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8"/>
      <c r="Q85" s="503"/>
    </row>
    <row r="86" spans="1:17" s="116" customFormat="1" ht="15.75" thickTop="1">
      <c r="A86" s="578"/>
      <c r="B86" s="537" t="s">
        <v>2679</v>
      </c>
      <c r="C86" s="3079" t="s">
        <v>3395</v>
      </c>
      <c r="D86" s="3079" t="s">
        <v>3394</v>
      </c>
      <c r="E86" s="3079" t="s">
        <v>3397</v>
      </c>
      <c r="F86" s="553"/>
      <c r="G86" s="553"/>
      <c r="H86" s="553"/>
      <c r="I86" s="553"/>
      <c r="J86" s="553"/>
      <c r="K86" s="553"/>
      <c r="L86" s="579"/>
      <c r="M86" s="580"/>
      <c r="N86" s="1150"/>
      <c r="O86" s="1150"/>
      <c r="P86" s="2618"/>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18"/>
      <c r="Q87" s="503"/>
    </row>
    <row r="88" spans="1:17" s="116" customFormat="1" ht="15.75" thickTop="1">
      <c r="A88" s="578"/>
      <c r="B88" s="537" t="str">
        <f>B26</f>
        <v>平面位置/可视性</v>
      </c>
      <c r="C88" s="553"/>
      <c r="D88" s="553"/>
      <c r="E88" s="553"/>
      <c r="F88" s="2623"/>
      <c r="G88" s="553"/>
      <c r="H88" s="553"/>
      <c r="I88" s="553"/>
      <c r="J88" s="553"/>
      <c r="K88" s="553"/>
      <c r="L88" s="553"/>
      <c r="M88" s="580"/>
      <c r="N88" s="1150"/>
      <c r="O88" s="1150"/>
      <c r="P88" s="2618"/>
      <c r="Q88" s="503"/>
    </row>
    <row r="89" spans="1:17" s="116" customFormat="1" ht="15.75" thickBot="1">
      <c r="A89" s="578"/>
      <c r="B89" s="542"/>
      <c r="C89" s="559"/>
      <c r="D89" s="535"/>
      <c r="E89" s="535"/>
      <c r="F89" s="535"/>
      <c r="G89" s="535"/>
      <c r="H89" s="535"/>
      <c r="I89" s="535"/>
      <c r="J89" s="535"/>
      <c r="K89" s="535"/>
      <c r="L89" s="535"/>
      <c r="M89" s="535"/>
      <c r="N89" s="1152"/>
      <c r="O89" s="1152"/>
      <c r="P89" s="2618"/>
      <c r="Q89" s="503"/>
    </row>
    <row r="90" spans="1:17" s="470" customFormat="1" ht="15.75" thickTop="1">
      <c r="A90" s="552"/>
      <c r="B90" s="537" t="str">
        <f>B27</f>
        <v>人流量</v>
      </c>
      <c r="C90" s="3079" t="s">
        <v>3398</v>
      </c>
      <c r="D90" s="3079" t="s">
        <v>3390</v>
      </c>
      <c r="E90" s="3079" t="s">
        <v>3399</v>
      </c>
      <c r="F90" s="3079" t="s">
        <v>3389</v>
      </c>
      <c r="G90" s="3079" t="s">
        <v>3400</v>
      </c>
      <c r="H90" s="554"/>
      <c r="I90" s="554"/>
      <c r="J90" s="554"/>
      <c r="K90" s="554"/>
      <c r="L90" s="555"/>
      <c r="M90" s="556"/>
      <c r="N90" s="1153"/>
      <c r="O90" s="1153"/>
      <c r="P90" s="2619"/>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19"/>
      <c r="Q91" s="558"/>
    </row>
    <row r="92" spans="1:17" ht="15.75" thickTop="1">
      <c r="A92" s="533"/>
      <c r="B92" s="537" t="str">
        <f>B28</f>
        <v>楼层</v>
      </c>
      <c r="C92" s="3079" t="s">
        <v>3401</v>
      </c>
      <c r="D92" s="553"/>
      <c r="E92" s="553"/>
      <c r="F92" s="553"/>
      <c r="G92" s="553"/>
      <c r="H92" s="553"/>
      <c r="I92" s="553"/>
      <c r="J92" s="553"/>
      <c r="K92" s="553"/>
      <c r="L92" s="579"/>
      <c r="M92" s="580"/>
      <c r="N92" s="1151"/>
      <c r="O92" s="1151"/>
      <c r="P92" s="2618"/>
      <c r="Q92" s="503"/>
    </row>
    <row r="93" spans="1:17" ht="15.75" thickBot="1">
      <c r="A93" s="533"/>
      <c r="B93" s="542"/>
      <c r="C93" s="535">
        <v>100</v>
      </c>
      <c r="D93" s="535"/>
      <c r="E93" s="535"/>
      <c r="F93" s="535"/>
      <c r="G93" s="535"/>
      <c r="H93" s="535"/>
      <c r="I93" s="535"/>
      <c r="J93" s="535"/>
      <c r="K93" s="535"/>
      <c r="L93" s="535"/>
      <c r="M93" s="536"/>
      <c r="N93" s="1152"/>
      <c r="O93" s="1152"/>
      <c r="P93" s="2618"/>
      <c r="Q93" s="503"/>
    </row>
    <row r="94" spans="1:17" ht="15.75" thickTop="1">
      <c r="A94" s="533"/>
      <c r="B94" s="537">
        <f>B29</f>
        <v>111</v>
      </c>
      <c r="C94" s="553"/>
      <c r="D94" s="553"/>
      <c r="E94" s="553"/>
      <c r="F94" s="553"/>
      <c r="G94" s="582"/>
      <c r="H94" s="582"/>
      <c r="I94" s="582"/>
      <c r="J94" s="582"/>
      <c r="K94" s="583"/>
      <c r="L94" s="584"/>
      <c r="M94" s="585"/>
      <c r="N94" s="1151"/>
      <c r="O94" s="1151"/>
      <c r="P94" s="2618"/>
      <c r="Q94" s="503"/>
    </row>
    <row r="95" spans="1:17" ht="15.75" thickBot="1">
      <c r="A95" s="533"/>
      <c r="B95" s="542"/>
      <c r="C95" s="559"/>
      <c r="D95" s="535"/>
      <c r="E95" s="535"/>
      <c r="F95" s="535"/>
      <c r="G95" s="535"/>
      <c r="H95" s="535"/>
      <c r="I95" s="535"/>
      <c r="J95" s="535"/>
      <c r="K95" s="535"/>
      <c r="L95" s="535"/>
      <c r="M95" s="536"/>
      <c r="N95" s="1152"/>
      <c r="O95" s="1152"/>
      <c r="P95" s="2618"/>
      <c r="Q95" s="503"/>
    </row>
    <row r="96" spans="1:17" ht="15.75" thickTop="1">
      <c r="A96" s="533"/>
      <c r="B96" s="537">
        <f>B30</f>
        <v>111</v>
      </c>
      <c r="C96" s="553"/>
      <c r="D96" s="553"/>
      <c r="E96" s="553"/>
      <c r="F96" s="553"/>
      <c r="G96" s="582"/>
      <c r="H96" s="582"/>
      <c r="I96" s="582"/>
      <c r="J96" s="582"/>
      <c r="K96" s="583"/>
      <c r="L96" s="584"/>
      <c r="M96" s="585"/>
      <c r="N96" s="1151"/>
      <c r="O96" s="1151"/>
      <c r="P96" s="2618"/>
      <c r="Q96" s="503"/>
    </row>
    <row r="97" spans="1:17" ht="15.75" thickBot="1">
      <c r="A97" s="533"/>
      <c r="B97" s="542"/>
      <c r="C97" s="559"/>
      <c r="D97" s="535"/>
      <c r="E97" s="535"/>
      <c r="F97" s="535"/>
      <c r="G97" s="535"/>
      <c r="H97" s="535"/>
      <c r="I97" s="535"/>
      <c r="J97" s="535"/>
      <c r="K97" s="535"/>
      <c r="L97" s="535"/>
      <c r="M97" s="536"/>
      <c r="N97" s="1152"/>
      <c r="O97" s="1152"/>
      <c r="P97" s="2618"/>
      <c r="Q97" s="503"/>
    </row>
    <row r="98" spans="1:17" ht="15.75" thickTop="1">
      <c r="A98" s="533"/>
      <c r="B98" s="545">
        <f>B31</f>
        <v>111</v>
      </c>
      <c r="C98" s="553"/>
      <c r="D98" s="553"/>
      <c r="E98" s="553"/>
      <c r="F98" s="553"/>
      <c r="G98" s="586"/>
      <c r="H98" s="586"/>
      <c r="I98" s="586"/>
      <c r="J98" s="586"/>
      <c r="K98" s="587"/>
      <c r="L98" s="588"/>
      <c r="M98" s="589"/>
      <c r="N98" s="1151"/>
      <c r="O98" s="1151"/>
      <c r="P98" s="2618"/>
      <c r="Q98" s="503"/>
    </row>
    <row r="99" spans="1:17" ht="15.75" thickBot="1">
      <c r="A99" s="2624"/>
      <c r="B99" s="568"/>
      <c r="C99" s="569"/>
      <c r="D99" s="569"/>
      <c r="E99" s="569"/>
      <c r="F99" s="569"/>
      <c r="G99" s="590"/>
      <c r="H99" s="590"/>
      <c r="I99" s="590"/>
      <c r="J99" s="590"/>
      <c r="K99" s="590"/>
      <c r="L99" s="590"/>
      <c r="M99" s="591"/>
      <c r="N99" s="1152"/>
      <c r="O99" s="1152"/>
      <c r="P99" s="2618"/>
      <c r="Q99" s="503"/>
    </row>
    <row r="100" spans="1:17">
      <c r="A100" s="526" t="s">
        <v>2562</v>
      </c>
      <c r="B100" s="527" t="s">
        <v>2680</v>
      </c>
      <c r="C100" s="3080" t="s">
        <v>3402</v>
      </c>
      <c r="D100" s="3080" t="s">
        <v>3404</v>
      </c>
      <c r="E100" s="529"/>
      <c r="F100" s="529"/>
      <c r="G100" s="529"/>
      <c r="H100" s="529"/>
      <c r="I100" s="529"/>
      <c r="J100" s="529"/>
      <c r="K100" s="530"/>
      <c r="L100" s="531"/>
      <c r="M100" s="532"/>
      <c r="N100" s="1151"/>
      <c r="O100" s="1151"/>
      <c r="P100" s="2618"/>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18"/>
      <c r="Q101" s="503"/>
    </row>
    <row r="102" spans="1:17" ht="15.75" thickTop="1">
      <c r="A102" s="533"/>
      <c r="B102" s="537" t="s">
        <v>2612</v>
      </c>
      <c r="C102" s="577" t="str">
        <f>C103&amp;"(含)"&amp;"-"&amp;D103</f>
        <v>1(含)-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18"/>
      <c r="Q102" s="503"/>
    </row>
    <row r="103" spans="1:17" s="470" customFormat="1">
      <c r="A103" s="592"/>
      <c r="B103" s="593"/>
      <c r="C103" s="594">
        <v>1</v>
      </c>
      <c r="D103" s="594"/>
      <c r="E103" s="594"/>
      <c r="F103" s="594"/>
      <c r="G103" s="594"/>
      <c r="H103" s="594"/>
      <c r="I103" s="594"/>
      <c r="J103" s="595"/>
      <c r="K103" s="595"/>
      <c r="L103" s="596"/>
      <c r="M103" s="597"/>
      <c r="N103" s="1153"/>
      <c r="O103" s="1153"/>
      <c r="P103" s="2619"/>
      <c r="Q103" s="558"/>
    </row>
    <row r="104" spans="1:17" s="470" customFormat="1" ht="15.75" thickBot="1">
      <c r="A104" s="552"/>
      <c r="B104" s="542"/>
      <c r="C104" s="559">
        <v>100</v>
      </c>
      <c r="D104" s="535"/>
      <c r="E104" s="535"/>
      <c r="F104" s="535"/>
      <c r="G104" s="535"/>
      <c r="H104" s="535"/>
      <c r="I104" s="535"/>
      <c r="J104" s="535"/>
      <c r="K104" s="535"/>
      <c r="L104" s="535"/>
      <c r="M104" s="536"/>
      <c r="N104" s="1152"/>
      <c r="O104" s="1152"/>
      <c r="P104" s="2619"/>
      <c r="Q104" s="558"/>
    </row>
    <row r="105" spans="1:17" ht="15" thickTop="1">
      <c r="A105" s="598"/>
      <c r="B105" s="537" t="s">
        <v>2613</v>
      </c>
      <c r="C105" s="3079" t="s">
        <v>3406</v>
      </c>
      <c r="D105" s="3079" t="s">
        <v>3407</v>
      </c>
      <c r="E105" s="582"/>
      <c r="F105" s="582"/>
      <c r="G105" s="582"/>
      <c r="H105" s="582"/>
      <c r="I105" s="582"/>
      <c r="J105" s="582"/>
      <c r="K105" s="583"/>
      <c r="L105" s="584"/>
      <c r="M105" s="585"/>
      <c r="N105" s="1151"/>
      <c r="O105" s="1151"/>
      <c r="P105" s="261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2"/>
      <c r="O106" s="1152"/>
      <c r="P106" s="2618"/>
      <c r="Q106" s="503"/>
    </row>
    <row r="107" spans="1:17" ht="15" thickTop="1">
      <c r="A107" s="598"/>
      <c r="B107" s="537" t="s">
        <v>2615</v>
      </c>
      <c r="C107" s="553"/>
      <c r="D107" s="553"/>
      <c r="E107" s="553"/>
      <c r="F107" s="582"/>
      <c r="G107" s="582"/>
      <c r="H107" s="582"/>
      <c r="I107" s="582"/>
      <c r="J107" s="582"/>
      <c r="K107" s="583"/>
      <c r="L107" s="584"/>
      <c r="M107" s="585"/>
      <c r="N107" s="1151"/>
      <c r="O107" s="1151"/>
      <c r="P107" s="261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18"/>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1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1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18"/>
      <c r="Q111" s="503"/>
    </row>
    <row r="112" spans="1:17" s="470" customFormat="1" ht="15" thickTop="1">
      <c r="A112" s="592"/>
      <c r="B112" s="537" t="s">
        <v>2617</v>
      </c>
      <c r="C112" s="3079" t="s">
        <v>3408</v>
      </c>
      <c r="D112" s="3079" t="s">
        <v>3409</v>
      </c>
      <c r="E112" s="3079" t="s">
        <v>3410</v>
      </c>
      <c r="F112" s="3079" t="s">
        <v>3411</v>
      </c>
      <c r="G112" s="3079" t="s">
        <v>3412</v>
      </c>
      <c r="H112" s="582"/>
      <c r="I112" s="582"/>
      <c r="J112" s="582"/>
      <c r="K112" s="583"/>
      <c r="L112" s="584"/>
      <c r="M112" s="585"/>
      <c r="N112" s="1153"/>
      <c r="O112" s="1153"/>
      <c r="P112" s="2619"/>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3"/>
      <c r="O113" s="1153"/>
      <c r="P113" s="2619"/>
      <c r="Q113" s="558"/>
    </row>
    <row r="114" spans="1:17" ht="15" thickTop="1">
      <c r="A114" s="598"/>
      <c r="B114" s="537" t="s">
        <v>2681</v>
      </c>
      <c r="C114" s="3079"/>
      <c r="D114" s="553"/>
      <c r="E114" s="582"/>
      <c r="F114" s="582"/>
      <c r="G114" s="582"/>
      <c r="H114" s="582"/>
      <c r="I114" s="582"/>
      <c r="J114" s="582"/>
      <c r="K114" s="583"/>
      <c r="L114" s="584"/>
      <c r="M114" s="585"/>
      <c r="N114" s="1151"/>
      <c r="O114" s="1151"/>
      <c r="P114" s="261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18"/>
      <c r="Q115" s="503"/>
    </row>
    <row r="116" spans="1:17" ht="15" thickTop="1">
      <c r="A116" s="598"/>
      <c r="B116" s="537" t="s">
        <v>2682</v>
      </c>
      <c r="C116" s="553"/>
      <c r="D116" s="553"/>
      <c r="E116" s="553"/>
      <c r="F116" s="553"/>
      <c r="G116" s="553"/>
      <c r="H116" s="582"/>
      <c r="I116" s="582"/>
      <c r="J116" s="582"/>
      <c r="K116" s="583"/>
      <c r="L116" s="584"/>
      <c r="M116" s="585"/>
      <c r="N116" s="1151"/>
      <c r="O116" s="1151"/>
      <c r="P116" s="261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18"/>
      <c r="Q117" s="503"/>
    </row>
    <row r="118" spans="1:17" ht="15" thickTop="1">
      <c r="A118" s="598"/>
      <c r="B118" s="537" t="s">
        <v>2683</v>
      </c>
      <c r="C118" s="626"/>
      <c r="D118" s="626"/>
      <c r="E118" s="626"/>
      <c r="F118" s="626"/>
      <c r="G118" s="626"/>
      <c r="H118" s="554"/>
      <c r="I118" s="554"/>
      <c r="J118" s="554"/>
      <c r="K118" s="554"/>
      <c r="L118" s="555"/>
      <c r="M118" s="556"/>
      <c r="N118" s="1151"/>
      <c r="O118" s="1151"/>
      <c r="P118" s="2618"/>
      <c r="Q118" s="503"/>
    </row>
    <row r="119" spans="1:17" ht="15.75" thickBot="1">
      <c r="A119" s="533"/>
      <c r="B119" s="542"/>
      <c r="C119" s="559"/>
      <c r="D119" s="535"/>
      <c r="E119" s="535"/>
      <c r="F119" s="535"/>
      <c r="G119" s="535"/>
      <c r="H119" s="535"/>
      <c r="I119" s="535"/>
      <c r="J119" s="535"/>
      <c r="K119" s="535"/>
      <c r="L119" s="535"/>
      <c r="M119" s="536"/>
      <c r="N119" s="1152"/>
      <c r="O119" s="1152"/>
      <c r="P119" s="2618"/>
      <c r="Q119" s="503"/>
    </row>
    <row r="120" spans="1:17" s="470" customFormat="1" ht="15" thickTop="1">
      <c r="A120" s="592"/>
      <c r="B120" s="537" t="s">
        <v>2684</v>
      </c>
      <c r="C120" s="3079" t="s">
        <v>3398</v>
      </c>
      <c r="D120" s="3079" t="s">
        <v>3390</v>
      </c>
      <c r="E120" s="3079" t="s">
        <v>3399</v>
      </c>
      <c r="F120" s="3079" t="s">
        <v>3389</v>
      </c>
      <c r="G120" s="3079" t="s">
        <v>3400</v>
      </c>
      <c r="H120" s="554"/>
      <c r="I120" s="554"/>
      <c r="J120" s="554"/>
      <c r="K120" s="554"/>
      <c r="L120" s="555"/>
      <c r="M120" s="556"/>
      <c r="N120" s="1153"/>
      <c r="O120" s="1153"/>
      <c r="P120" s="261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19"/>
      <c r="Q121" s="558"/>
    </row>
    <row r="122" spans="1:17" ht="15" thickTop="1">
      <c r="A122" s="598"/>
      <c r="B122" s="537" t="s">
        <v>2619</v>
      </c>
      <c r="C122" s="3079" t="s">
        <v>3419</v>
      </c>
      <c r="D122" s="3079" t="s">
        <v>3421</v>
      </c>
      <c r="E122" s="3079" t="s">
        <v>3422</v>
      </c>
      <c r="F122" s="3082" t="s">
        <v>3424</v>
      </c>
      <c r="G122" s="582"/>
      <c r="H122" s="582"/>
      <c r="I122" s="582"/>
      <c r="J122" s="582"/>
      <c r="K122" s="583"/>
      <c r="L122" s="584"/>
      <c r="M122" s="585"/>
      <c r="N122" s="1151"/>
      <c r="O122" s="1151"/>
      <c r="P122" s="2618"/>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18"/>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1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18"/>
      <c r="Q125" s="503"/>
    </row>
    <row r="126" spans="1:17" s="470" customFormat="1" ht="15" thickTop="1">
      <c r="A126" s="592"/>
      <c r="B126" s="537" t="str">
        <f>B44</f>
        <v>建成年代</v>
      </c>
      <c r="C126" s="553">
        <v>2019</v>
      </c>
      <c r="D126" s="553">
        <v>2013</v>
      </c>
      <c r="E126" s="553">
        <v>2009</v>
      </c>
      <c r="F126" s="553">
        <v>2000</v>
      </c>
      <c r="G126" s="553"/>
      <c r="H126" s="554"/>
      <c r="I126" s="554"/>
      <c r="J126" s="554"/>
      <c r="K126" s="554"/>
      <c r="L126" s="555"/>
      <c r="M126" s="556"/>
      <c r="N126" s="1153"/>
      <c r="O126" s="1153"/>
      <c r="P126" s="2619"/>
      <c r="Q126" s="558"/>
    </row>
    <row r="127" spans="1:17" s="470" customFormat="1" ht="15.75" thickBot="1">
      <c r="A127" s="552"/>
      <c r="B127" s="542"/>
      <c r="C127" s="559">
        <v>100</v>
      </c>
      <c r="D127" s="535">
        <v>98.8</v>
      </c>
      <c r="E127" s="535">
        <v>98</v>
      </c>
      <c r="F127" s="535">
        <v>96.2</v>
      </c>
      <c r="G127" s="559"/>
      <c r="H127" s="561"/>
      <c r="I127" s="561"/>
      <c r="J127" s="561"/>
      <c r="K127" s="561"/>
      <c r="L127" s="561"/>
      <c r="M127" s="562"/>
      <c r="N127" s="1153"/>
      <c r="O127" s="1153"/>
      <c r="P127" s="2619"/>
      <c r="Q127" s="558"/>
    </row>
    <row r="128" spans="1:17" ht="15" thickTop="1">
      <c r="A128" s="598"/>
      <c r="B128" s="537">
        <f>B45</f>
        <v>111</v>
      </c>
      <c r="C128" s="553"/>
      <c r="D128" s="553"/>
      <c r="E128" s="553"/>
      <c r="F128" s="553"/>
      <c r="G128" s="582"/>
      <c r="H128" s="582"/>
      <c r="I128" s="582"/>
      <c r="J128" s="582"/>
      <c r="K128" s="583"/>
      <c r="L128" s="584"/>
      <c r="M128" s="585"/>
      <c r="N128" s="1151"/>
      <c r="O128" s="1151"/>
      <c r="P128" s="2618"/>
      <c r="Q128" s="503"/>
    </row>
    <row r="129" spans="1:17" ht="15.75" thickBot="1">
      <c r="A129" s="533"/>
      <c r="B129" s="542"/>
      <c r="C129" s="559"/>
      <c r="D129" s="535"/>
      <c r="E129" s="535"/>
      <c r="F129" s="535"/>
      <c r="G129" s="535"/>
      <c r="H129" s="535"/>
      <c r="I129" s="535"/>
      <c r="J129" s="535"/>
      <c r="K129" s="535"/>
      <c r="L129" s="535"/>
      <c r="M129" s="536"/>
      <c r="N129" s="1152"/>
      <c r="O129" s="1152"/>
      <c r="P129" s="2618"/>
      <c r="Q129" s="503"/>
    </row>
    <row r="130" spans="1:17" ht="15" thickTop="1">
      <c r="A130" s="598"/>
      <c r="B130" s="545">
        <f>B46</f>
        <v>111</v>
      </c>
      <c r="C130" s="553"/>
      <c r="D130" s="553"/>
      <c r="E130" s="553"/>
      <c r="F130" s="553"/>
      <c r="G130" s="586"/>
      <c r="H130" s="586"/>
      <c r="I130" s="586"/>
      <c r="J130" s="586"/>
      <c r="K130" s="522"/>
      <c r="L130" s="523"/>
      <c r="M130" s="589"/>
      <c r="N130" s="1151"/>
      <c r="O130" s="1151"/>
      <c r="P130" s="2618"/>
      <c r="Q130" s="503"/>
    </row>
    <row r="131" spans="1:17" ht="15.75" thickBot="1">
      <c r="A131" s="2624"/>
      <c r="B131" s="568"/>
      <c r="C131" s="569"/>
      <c r="D131" s="569"/>
      <c r="E131" s="569"/>
      <c r="F131" s="569"/>
      <c r="G131" s="590"/>
      <c r="H131" s="590"/>
      <c r="I131" s="590"/>
      <c r="J131" s="590"/>
      <c r="K131" s="590"/>
      <c r="L131" s="590"/>
      <c r="M131" s="591"/>
      <c r="N131" s="1152"/>
      <c r="O131" s="1152"/>
      <c r="P131" s="261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workbookViewId="0">
      <selection activeCell="L80" sqref="L80"/>
    </sheetView>
  </sheetViews>
  <sheetFormatPr defaultColWidth="8.875" defaultRowHeight="13.5"/>
  <sheetData/>
  <phoneticPr fontId="27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1605</v>
      </c>
    </row>
    <row r="2" spans="1:1">
      <c r="A2" s="1933"/>
    </row>
    <row r="3" spans="1:1" ht="18">
      <c r="A3" s="1934" t="str">
        <f>项目基本情况!B5&amp;"："</f>
        <v>保障房中心：</v>
      </c>
    </row>
    <row r="4" spans="1:1" ht="18">
      <c r="A4" s="1935" t="str">
        <f>"受贵公司委托，我公司对"&amp;项目基本情况!S1&amp;"进行了预评估。"</f>
        <v>受贵公司委托，我公司对北京市房地产市场价值进行了预评估。</v>
      </c>
    </row>
    <row r="5" spans="1:1" ht="18.75">
      <c r="A5" s="1936" t="s">
        <v>1606</v>
      </c>
    </row>
    <row r="6" spans="1:1" ht="18.75">
      <c r="A6" s="1937" t="s">
        <v>1607</v>
      </c>
    </row>
    <row r="7" spans="1:1" ht="54">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估价对象为北京市房地产，为所有。根据《国有土地使用证》[]，估价对象（分摊）出让国有建设用地使用权面积为45212.18平方米，建筑面积为135636.54平方米。</v>
      </c>
    </row>
    <row r="8" spans="1:1" ht="57.75">
      <c r="A8" s="1938" t="s">
        <v>1608</v>
      </c>
    </row>
    <row r="9" spans="1:1" ht="18.75">
      <c r="A9" s="1937" t="s">
        <v>1609</v>
      </c>
    </row>
    <row r="10" spans="1:1" ht="54">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估价对象为北京市房地产,属开发建设的，该项目尚在开发建设中。根据《国有土地使用证》[]，估价对象（分摊）出让国有建设用地使用权面积为45212.18平方米，规划建筑面积为135636.54平方米。</v>
      </c>
    </row>
    <row r="11" spans="1:1" ht="76.5">
      <c r="A11" s="1938" t="s">
        <v>1610</v>
      </c>
    </row>
    <row r="12" spans="1:1" ht="18.75">
      <c r="A12" s="1936" t="s">
        <v>1611</v>
      </c>
    </row>
    <row r="13" spans="1:1" ht="38.25" customHeight="1">
      <c r="A13" s="1939" t="str">
        <f>IF(项目基本情况!B8="抵押",IF(项目基本情况!B5=项目基本情况!B6,定义!C51,定义!B51),定义!D51)</f>
        <v>为估价委托人了解估价对象房地产市场价值提供参考依据。</v>
      </c>
    </row>
    <row r="14" spans="1:1" ht="18.75">
      <c r="A14" s="1940" t="s">
        <v>1612</v>
      </c>
    </row>
    <row r="15" spans="1:1" ht="18">
      <c r="A15" s="1941" t="str">
        <f>TEXT(项目基本情况!D3,"yyyy年m月d日;;")&amp;IF(项目基本情况!D3=项目基本情况!B3,"（评估专业人员实地查勘之日）","")</f>
        <v>2020年6月29日（评估专业人员实地查勘之日）</v>
      </c>
    </row>
    <row r="16" spans="1:1" ht="18.75">
      <c r="A16" s="1940" t="s">
        <v>1613</v>
      </c>
    </row>
    <row r="17" spans="1:1" ht="75">
      <c r="A17" s="1935" t="s">
        <v>1614</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5" t="str">
        <f>IF(项目基本情况!B9="房地产市场价值","——",IF(项目基本情况!E8="房地产抵押价值",定义!C54,IF(项目基本情况!E8="已注销",定义!C55,定义!C56)))</f>
        <v>——</v>
      </c>
    </row>
    <row r="21" spans="1:1" ht="18">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5" t="str">
        <f>IF(项目基本情况!B9="房地产市场价值","——",IF(项目基本情况!E9="——","",定义!C57))</f>
        <v>——</v>
      </c>
    </row>
    <row r="23" spans="1:1" ht="18.75">
      <c r="A23" s="1940" t="s">
        <v>1603</v>
      </c>
    </row>
    <row r="24" spans="1:1" ht="18">
      <c r="A24" s="1942" t="str">
        <f>"本次评估采用的主估价方法为"&amp;结果表!K4&amp;"和"&amp;结果表!L4&amp;"。"</f>
        <v>本次评估采用的主估价方法为比较法和成本法。</v>
      </c>
    </row>
    <row r="25" spans="1:1" ht="18">
      <c r="A25" s="1942"/>
    </row>
    <row r="26" spans="1:1" ht="18.75">
      <c r="A26" s="1943" t="s">
        <v>1604</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enableFormatConditionsCalculation="0">
    <tabColor rgb="FF92D050"/>
    <pageSetUpPr fitToPage="1"/>
  </sheetPr>
  <dimension ref="A1:I57"/>
  <sheetViews>
    <sheetView workbookViewId="0">
      <selection activeCell="G33" sqref="G33"/>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24" t="s">
        <v>3099</v>
      </c>
      <c r="C1" s="241"/>
      <c r="D1" s="241"/>
      <c r="E1" s="241"/>
      <c r="F1" s="241"/>
      <c r="G1" s="1375">
        <f>MATCH(B1,'数据-取费表'!A6:A16,0)+5</f>
        <v>6</v>
      </c>
    </row>
    <row r="2" spans="1:9" s="243" customFormat="1" ht="18" customHeight="1">
      <c r="A2" s="244" t="s">
        <v>2326</v>
      </c>
      <c r="B2" s="245">
        <f ca="1">IF(D2="——",C52,C52-E2)</f>
        <v>229868</v>
      </c>
      <c r="C2" s="242" t="s">
        <v>2327</v>
      </c>
      <c r="D2" s="2535" t="s">
        <v>70</v>
      </c>
      <c r="E2" s="1436" t="e">
        <f ca="1">SUMIF(INDIRECT("'"&amp;G2&amp;"'"&amp;"!A:A"),"承租人权益价值",INDIRECT("'"&amp;G2&amp;"'"&amp;"!c:c"))</f>
        <v>#DIV/0!</v>
      </c>
      <c r="F2" s="2536" t="s">
        <v>2327</v>
      </c>
      <c r="G2" s="2537" t="s">
        <v>3101</v>
      </c>
    </row>
    <row r="3" spans="1:9" s="243" customFormat="1" ht="18" customHeight="1" thickBot="1">
      <c r="A3" s="246" t="s">
        <v>2328</v>
      </c>
      <c r="B3" s="247">
        <f ca="1">ROUND(B2*10000/(IF(B1="",'数据-汇总表'!E3,INDIRECT("'数据-取费表'!k"&amp;$G$1))),0)</f>
        <v>16947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131209</v>
      </c>
      <c r="D5" s="254" t="s">
        <v>2333</v>
      </c>
      <c r="E5" s="255" t="s">
        <v>2334</v>
      </c>
      <c r="F5" s="255" t="s">
        <v>2335</v>
      </c>
      <c r="G5" s="256"/>
    </row>
    <row r="6" spans="1:9" s="257" customFormat="1" ht="13.5" customHeight="1">
      <c r="A6" s="948" t="s">
        <v>2336</v>
      </c>
      <c r="B6" s="258" t="s">
        <v>2337</v>
      </c>
      <c r="C6" s="259">
        <f ca="1">基准地价修正!B2</f>
        <v>124693</v>
      </c>
      <c r="D6" s="260"/>
      <c r="E6" s="261"/>
      <c r="F6" s="261"/>
      <c r="G6" s="262"/>
    </row>
    <row r="7" spans="1:9" s="257" customFormat="1" ht="13.5" customHeight="1">
      <c r="A7" s="948" t="s">
        <v>2338</v>
      </c>
      <c r="B7" s="258" t="s">
        <v>2339</v>
      </c>
      <c r="C7" s="263">
        <f ca="1">ROUND(C6*F7,0)</f>
        <v>3803</v>
      </c>
      <c r="D7" s="263"/>
      <c r="E7" s="261"/>
      <c r="F7" s="264">
        <f>IF(项目基本情况!B8="出让",0,'数据-取费表'!B48+'数据-取费表'!B49)</f>
        <v>3.0499999999999999E-2</v>
      </c>
      <c r="G7" s="262"/>
    </row>
    <row r="8" spans="1:9" s="266" customFormat="1">
      <c r="A8" s="948" t="s">
        <v>2340</v>
      </c>
      <c r="B8" s="258" t="s">
        <v>2341</v>
      </c>
      <c r="C8" s="263">
        <f ca="1">IF(G8="已包含在土地购买价格中","0",IF(B1="",'数据-取费表'!B29,IF(G9="全部缴纳",C9+C10,H9)))</f>
        <v>2713</v>
      </c>
      <c r="D8" s="265"/>
      <c r="E8" s="263"/>
      <c r="F8" s="264"/>
      <c r="G8" s="2538" t="s">
        <v>3249</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160</v>
      </c>
      <c r="F9" s="264"/>
      <c r="G9" s="2539" t="s">
        <v>3248</v>
      </c>
      <c r="H9" s="1386"/>
      <c r="I9" s="2540" t="s">
        <v>2343</v>
      </c>
    </row>
    <row r="10" spans="1:9" s="257" customFormat="1" ht="13.5" customHeight="1">
      <c r="A10" s="949" t="s">
        <v>801</v>
      </c>
      <c r="B10" s="267" t="s">
        <v>2344</v>
      </c>
      <c r="C10" s="268">
        <f ca="1">ROUND(D10*E10/10000,0)</f>
        <v>2713</v>
      </c>
      <c r="D10" s="1031">
        <f ca="1">IF(B1="",'数据-汇总表'!E6,IF(INDIRECT("'数据-取费表'!c"&amp;$G$1)="住宅",INDIRECT("'数据-取费表'!s"&amp;$G$1),INDIRECT("'数据-取费表'!k"&amp;$G$1)+INDIRECT("'数据-取费表'!s"&amp;$G$1)))</f>
        <v>135636.54000000004</v>
      </c>
      <c r="E10" s="268">
        <f>'数据-取费表'!B28</f>
        <v>200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f ca="1">IF(G19="已包含在土地取得成本中","0",ROUND(D19*E19/10000,0))</f>
        <v>2713</v>
      </c>
      <c r="D19" s="1035">
        <f ca="1">D9+D10</f>
        <v>135636.54000000004</v>
      </c>
      <c r="E19" s="254">
        <f>'数据-取费表'!B31</f>
        <v>200</v>
      </c>
      <c r="F19" s="274"/>
      <c r="G19" s="2538" t="s">
        <v>1070</v>
      </c>
    </row>
    <row r="20" spans="1:7" s="257" customFormat="1" ht="13.5" customHeight="1">
      <c r="A20" s="298" t="s">
        <v>2357</v>
      </c>
      <c r="B20" s="253" t="s">
        <v>2358</v>
      </c>
      <c r="C20" s="275">
        <f ca="1">ROUND((C5+C19)*F20,0)</f>
        <v>2678</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9750</v>
      </c>
      <c r="D22" s="278">
        <f ca="1">C26</f>
        <v>6.9999999999999999E-4</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1">
        <f ca="1">ROUND(IF('数据-取费表'!B22&lt;=1,C5*F22*'数据-取费表'!B23,C5*(POWER((1+F22),'数据-取费表'!B23)-1)),0)</f>
        <v>9459</v>
      </c>
      <c r="D23" s="281"/>
      <c r="E23" s="281"/>
      <c r="F23" s="282"/>
      <c r="G23" s="283" t="s">
        <v>2368</v>
      </c>
    </row>
    <row r="24" spans="1:7" s="257" customFormat="1" ht="13.5" customHeight="1">
      <c r="A24" s="950" t="s">
        <v>2369</v>
      </c>
      <c r="B24" s="258" t="s">
        <v>2370</v>
      </c>
      <c r="C24" s="1351">
        <f ca="1">ROUND(IF('数据-取费表'!B22&lt;=1,C19*F22*('数据-取费表'!B19/2+'数据-取费表'!B21),C19*(POWER((1+F22),('数据-取费表'!B19/2+'数据-取费表'!B21))-1)),0)</f>
        <v>196</v>
      </c>
      <c r="D24" s="281"/>
      <c r="E24" s="281"/>
      <c r="F24" s="282"/>
      <c r="G24" s="283" t="s">
        <v>2371</v>
      </c>
    </row>
    <row r="25" spans="1:7" s="257" customFormat="1" ht="24">
      <c r="A25" s="950" t="s">
        <v>2372</v>
      </c>
      <c r="B25" s="258" t="s">
        <v>2373</v>
      </c>
      <c r="C25" s="1351">
        <f ca="1">ROUND(IF('数据-取费表'!B22&lt;=1,C20*F22*'数据-取费表'!B23/2,C20*(POWER((1+F22),'数据-取费表'!B23/2)-1)),0)</f>
        <v>95</v>
      </c>
      <c r="D25" s="281"/>
      <c r="E25" s="284"/>
      <c r="F25" s="282"/>
      <c r="G25" s="285" t="s">
        <v>2374</v>
      </c>
    </row>
    <row r="26" spans="1:7" s="257" customFormat="1">
      <c r="A26" s="950" t="s">
        <v>795</v>
      </c>
      <c r="B26" s="258" t="s">
        <v>2375</v>
      </c>
      <c r="C26" s="281">
        <f ca="1">ROUND(IF('数据-取费表'!B22&lt;=1,F21*F22*'数据-取费表'!B23/2,F21*(POWER((1+F22),'数据-取费表'!B23/2)-1)),4)</f>
        <v>6.9999999999999999E-4</v>
      </c>
      <c r="D26" s="281"/>
      <c r="E26" s="284"/>
      <c r="F26" s="282"/>
      <c r="G26" s="286"/>
    </row>
    <row r="27" spans="1:7" s="257" customFormat="1" ht="24.75">
      <c r="A27" s="298" t="s">
        <v>2376</v>
      </c>
      <c r="B27" s="287" t="s">
        <v>2377</v>
      </c>
      <c r="C27" s="288">
        <f ca="1">C28</f>
        <v>13660</v>
      </c>
      <c r="D27" s="278">
        <f ca="1">C29</f>
        <v>2E-3</v>
      </c>
      <c r="E27" s="279" t="s">
        <v>2378</v>
      </c>
      <c r="F27" s="289">
        <f ca="1">IF(B1="",'数据-取费表'!Q16,INDIRECT("'数据-取费表'!q"&amp;$G$1))</f>
        <v>0.1</v>
      </c>
      <c r="G27" s="290" t="s">
        <v>2379</v>
      </c>
    </row>
    <row r="28" spans="1:7" s="257" customFormat="1" ht="13.5" customHeight="1">
      <c r="A28" s="950" t="s">
        <v>791</v>
      </c>
      <c r="B28" s="291" t="s">
        <v>2380</v>
      </c>
      <c r="C28" s="292">
        <f ca="1">ROUND((C5+C19+C20)*F27*'数据-取费表'!B21/'数据-取费表'!B20,0)</f>
        <v>13660</v>
      </c>
      <c r="D28" s="278"/>
      <c r="E28" s="279"/>
      <c r="F28" s="289"/>
      <c r="G28" s="290"/>
    </row>
    <row r="29" spans="1:7" s="257" customFormat="1" ht="13.5" customHeight="1">
      <c r="A29" s="950"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173171</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45235</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40691</v>
      </c>
      <c r="D34" s="260"/>
      <c r="E34" s="263"/>
      <c r="F34" s="300">
        <f ca="1">IF('数据-取费表'!B24=0,1,IF(B1="",'数据-取费表'!N16,INDIRECT("'数据-取费表'!n"&amp;$G$1)))</f>
        <v>1</v>
      </c>
      <c r="G34" s="262" t="s">
        <v>2390</v>
      </c>
    </row>
    <row r="35" spans="1:7" ht="13.5" customHeight="1">
      <c r="A35" s="950" t="s">
        <v>796</v>
      </c>
      <c r="B35" s="258" t="s">
        <v>2391</v>
      </c>
      <c r="C35" s="263">
        <f ca="1">ROUND(C34*F35,0)</f>
        <v>1221</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2394</v>
      </c>
    </row>
    <row r="37" spans="1:7" s="301" customFormat="1" ht="13.5" customHeight="1">
      <c r="A37" s="950" t="s">
        <v>798</v>
      </c>
      <c r="B37" s="258" t="s">
        <v>2395</v>
      </c>
      <c r="C37" s="292">
        <f ca="1">ROUND(E37*D37*F34/10000,0)</f>
        <v>2713</v>
      </c>
      <c r="D37" s="260">
        <f ca="1">D19</f>
        <v>135636.54000000004</v>
      </c>
      <c r="E37" s="292">
        <f>'数据-取费表'!B35</f>
        <v>200</v>
      </c>
      <c r="F37" s="302"/>
      <c r="G37" s="304" t="s">
        <v>2396</v>
      </c>
    </row>
    <row r="38" spans="1:7" ht="13.5" customHeight="1">
      <c r="A38" s="950" t="s">
        <v>799</v>
      </c>
      <c r="B38" s="258" t="s">
        <v>2397</v>
      </c>
      <c r="C38" s="263">
        <f ca="1">ROUND(C34*F38,0)</f>
        <v>610</v>
      </c>
      <c r="D38" s="263"/>
      <c r="E38" s="263"/>
      <c r="F38" s="302">
        <f>'数据-取费表'!B36</f>
        <v>1.4999999999999999E-2</v>
      </c>
      <c r="G38" s="262" t="s">
        <v>2392</v>
      </c>
    </row>
    <row r="39" spans="1:7" s="257" customFormat="1" ht="13.5" customHeight="1">
      <c r="A39" s="298" t="s">
        <v>2398</v>
      </c>
      <c r="B39" s="253" t="s">
        <v>2399</v>
      </c>
      <c r="C39" s="275">
        <f ca="1">ROUND(C33*F20,0)</f>
        <v>905</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1634</v>
      </c>
      <c r="D41" s="278">
        <f ca="1">C44</f>
        <v>6.9999999999999999E-4</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1602</v>
      </c>
      <c r="D42" s="281"/>
      <c r="E42" s="281"/>
      <c r="F42" s="282"/>
      <c r="G42" s="3618" t="s">
        <v>2408</v>
      </c>
    </row>
    <row r="43" spans="1:7" ht="13.5" customHeight="1">
      <c r="A43" s="950" t="s">
        <v>792</v>
      </c>
      <c r="B43" s="258" t="s">
        <v>2409</v>
      </c>
      <c r="C43" s="281">
        <f ca="1">ROUND(IF('数据-取费表'!B22&lt;=1,C39*F22*'数据-取费表'!B21/2,C39*(POWER((1+F22),'数据-取费表'!B21/2)-1)),0)</f>
        <v>32</v>
      </c>
      <c r="D43" s="281"/>
      <c r="E43" s="281"/>
      <c r="F43" s="282"/>
      <c r="G43" s="3619"/>
    </row>
    <row r="44" spans="1:7" ht="13.5" customHeight="1">
      <c r="A44" s="950" t="s">
        <v>793</v>
      </c>
      <c r="B44" s="258" t="s">
        <v>2410</v>
      </c>
      <c r="C44" s="281">
        <f ca="1">ROUND(IF('数据-取费表'!B22&lt;=1,C40*F22*'数据-取费表'!B21/2,C40*(POWER((1+F22),'数据-取费表'!B21/2)-1)),4)</f>
        <v>6.9999999999999999E-4</v>
      </c>
      <c r="D44" s="281"/>
      <c r="E44" s="281"/>
      <c r="F44" s="282"/>
      <c r="G44" s="3620"/>
    </row>
    <row r="45" spans="1:7" s="257" customFormat="1" ht="13.5" customHeight="1">
      <c r="A45" s="298" t="s">
        <v>2411</v>
      </c>
      <c r="B45" s="287" t="s">
        <v>2377</v>
      </c>
      <c r="C45" s="288">
        <f ca="1">C46</f>
        <v>4614</v>
      </c>
      <c r="D45" s="278">
        <f ca="1">C47</f>
        <v>2E-3</v>
      </c>
      <c r="E45" s="279" t="s">
        <v>2403</v>
      </c>
      <c r="F45" s="289"/>
      <c r="G45" s="290" t="s">
        <v>2412</v>
      </c>
    </row>
    <row r="46" spans="1:7" s="257" customFormat="1" ht="13.5" customHeight="1">
      <c r="A46" s="950" t="s">
        <v>791</v>
      </c>
      <c r="B46" s="291" t="s">
        <v>2413</v>
      </c>
      <c r="C46" s="292">
        <f ca="1">ROUND((C33+C39)*F27,0)</f>
        <v>4614</v>
      </c>
      <c r="D46" s="306"/>
      <c r="E46" s="279"/>
      <c r="F46" s="289"/>
      <c r="G46" s="290"/>
    </row>
    <row r="47" spans="1:7" s="257" customFormat="1" ht="13.5" customHeight="1">
      <c r="A47" s="950" t="s">
        <v>792</v>
      </c>
      <c r="B47" s="291" t="s">
        <v>2414</v>
      </c>
      <c r="C47" s="281">
        <f ca="1">ROUND(C40*F27,4)</f>
        <v>2E-3</v>
      </c>
      <c r="D47" s="306"/>
      <c r="E47" s="279"/>
      <c r="F47" s="289"/>
      <c r="G47" s="290"/>
    </row>
    <row r="48" spans="1:7" s="257" customFormat="1" ht="13.5" customHeight="1">
      <c r="A48" s="298" t="s">
        <v>2376</v>
      </c>
      <c r="B48" s="253" t="s">
        <v>2415</v>
      </c>
      <c r="C48" s="1724">
        <f>ROUND(F30/(1+'数据-取费表'!C42),4)</f>
        <v>5.33E-2</v>
      </c>
      <c r="D48" s="279" t="s">
        <v>2403</v>
      </c>
      <c r="E48" s="275"/>
      <c r="F48" s="280"/>
      <c r="G48" s="277" t="s">
        <v>2416</v>
      </c>
    </row>
    <row r="49" spans="1:7" ht="16.5" customHeight="1">
      <c r="A49" s="298" t="s">
        <v>2382</v>
      </c>
      <c r="B49" s="253" t="s">
        <v>2417</v>
      </c>
      <c r="C49" s="275">
        <f ca="1">ROUND((C33+C39+C41+C45)/(1-C40-D41-D45-C48),0)</f>
        <v>56697</v>
      </c>
      <c r="D49" s="275"/>
      <c r="E49" s="275"/>
      <c r="F49" s="307"/>
      <c r="G49" s="277" t="s">
        <v>2418</v>
      </c>
    </row>
    <row r="50" spans="1:7" s="301" customFormat="1" ht="24">
      <c r="A50" s="298" t="s">
        <v>2419</v>
      </c>
      <c r="B50" s="253" t="s">
        <v>2420</v>
      </c>
      <c r="C50" s="275"/>
      <c r="D50" s="275"/>
      <c r="E50" s="275"/>
      <c r="F50" s="307">
        <f>IF('数据-取费表'!B24=0,'数据-取费表'!N16,1)</f>
        <v>1</v>
      </c>
      <c r="G50" s="290" t="s">
        <v>2421</v>
      </c>
    </row>
    <row r="51" spans="1:7" ht="16.5" customHeight="1">
      <c r="A51" s="298" t="s">
        <v>2422</v>
      </c>
      <c r="B51" s="253" t="s">
        <v>2423</v>
      </c>
      <c r="C51" s="275">
        <f ca="1">ROUND(C49*F50,0)</f>
        <v>56697</v>
      </c>
      <c r="D51" s="275"/>
      <c r="E51" s="275"/>
      <c r="F51" s="307"/>
      <c r="G51" s="277" t="s">
        <v>2424</v>
      </c>
    </row>
    <row r="52" spans="1:7" s="251" customFormat="1" ht="16.5" thickBot="1">
      <c r="A52" s="308" t="s">
        <v>2425</v>
      </c>
      <c r="B52" s="309"/>
      <c r="C52" s="310">
        <f ca="1">C31+C51</f>
        <v>229868</v>
      </c>
      <c r="D52" s="309"/>
      <c r="E52" s="309"/>
      <c r="F52" s="309"/>
      <c r="G52" s="311"/>
    </row>
    <row r="55" spans="1:7" ht="15">
      <c r="B55" s="313" t="s">
        <v>2426</v>
      </c>
      <c r="C55" s="314"/>
    </row>
    <row r="56" spans="1:7">
      <c r="B56" s="316" t="s">
        <v>1507</v>
      </c>
      <c r="C56" s="318">
        <f ca="1">1-C57</f>
        <v>0.753</v>
      </c>
    </row>
    <row r="57" spans="1:7">
      <c r="B57" s="316" t="s">
        <v>1508</v>
      </c>
      <c r="C57" s="317">
        <f ca="1">ROUND(C51/C52,3)</f>
        <v>0.247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875" style="294" customWidth="1"/>
    <col min="9" max="254" width="9" style="294" customWidth="1"/>
    <col min="255" max="16384" width="8.375" style="294"/>
  </cols>
  <sheetData>
    <row r="1" spans="1:8" s="243" customFormat="1" ht="20.25">
      <c r="A1" s="239" t="s">
        <v>2325</v>
      </c>
      <c r="B1" s="1924"/>
      <c r="C1" s="2541" t="s">
        <v>2427</v>
      </c>
      <c r="D1" s="241"/>
      <c r="E1" s="241"/>
      <c r="F1" s="241"/>
      <c r="G1" s="1375">
        <f>MATCH(B1,'数据-取费表'!A6:A16,0)+5</f>
        <v>7</v>
      </c>
      <c r="H1" s="1278" t="str">
        <f>IF(ISERROR(FIND("住宅",B1)),"非住宅","住宅")</f>
        <v>非住宅</v>
      </c>
    </row>
    <row r="2" spans="1:8" s="243" customFormat="1" ht="18" customHeight="1">
      <c r="A2" s="244" t="s">
        <v>2326</v>
      </c>
      <c r="B2" s="245">
        <f ca="1">ROUND(IF(D2="——",C52/10000,C52/10000-E2),0)</f>
        <v>63712</v>
      </c>
      <c r="C2" s="242" t="s">
        <v>2327</v>
      </c>
      <c r="D2" s="2535" t="s">
        <v>70</v>
      </c>
      <c r="E2" s="1436" t="e">
        <f ca="1">SUMIF(INDIRECT("'"&amp;G2&amp;"'"&amp;"!A:A"),"承租人权益价值",INDIRECT("'"&amp;G2&amp;"'"&amp;"!c:c"))</f>
        <v>#REF!</v>
      </c>
      <c r="F2" s="2536" t="s">
        <v>2327</v>
      </c>
      <c r="G2" s="2537"/>
    </row>
    <row r="3" spans="1:8" s="243" customFormat="1" ht="18" customHeight="1" thickBot="1">
      <c r="A3" s="246" t="s">
        <v>2328</v>
      </c>
      <c r="B3" s="247">
        <f ca="1">ROUND(B2*10000/(IF(B1="",'数据-汇总表'!E3,INDIRECT("'数据-取费表'!k"&amp;$G$1))),0)</f>
        <v>4697</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27127308</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27127308</v>
      </c>
      <c r="D8" s="265"/>
      <c r="E8" s="263"/>
      <c r="F8" s="264"/>
      <c r="G8" s="2538"/>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2344</v>
      </c>
      <c r="C10" s="268">
        <f ca="1">ROUND(D10*E10,0)</f>
        <v>27127308</v>
      </c>
      <c r="D10" s="1031">
        <f ca="1">IF(B1="",'数据-汇总表'!E6,IF(INDIRECT("'数据-取费表'!c"&amp;$G$1)="住宅",INDIRECT("'数据-取费表'!s"&amp;$G$1),INDIRECT("'数据-取费表'!k"&amp;$G$1)+INDIRECT("'数据-取费表'!s"&amp;$G$1)))</f>
        <v>135636.54</v>
      </c>
      <c r="E10" s="268">
        <f>'数据-取费表'!B28</f>
        <v>200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27127308</v>
      </c>
      <c r="D19" s="1035">
        <f ca="1">D9+D10</f>
        <v>135636.54</v>
      </c>
      <c r="E19" s="254">
        <f>'数据-取费表'!B31</f>
        <v>200</v>
      </c>
      <c r="F19" s="274"/>
      <c r="G19" s="2538"/>
    </row>
    <row r="20" spans="1:7" s="257" customFormat="1" ht="13.5" customHeight="1">
      <c r="A20" s="298" t="s">
        <v>2438</v>
      </c>
      <c r="B20" s="253" t="s">
        <v>2439</v>
      </c>
      <c r="C20" s="275">
        <f ca="1">ROUND((C5+C19)*F20,0)</f>
        <v>1085092</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3949619</v>
      </c>
      <c r="D22" s="278">
        <f ca="1">C26</f>
        <v>6.9999999999999999E-4</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77">
        <f ca="1">ROUND(IF('数据-取费表'!B22&lt;=1,C5*F22*'数据-取费表'!B22,C5*(POWER((1+F22),'数据-取费表'!B22)-1)),0)</f>
        <v>1955594</v>
      </c>
      <c r="D23" s="281"/>
      <c r="E23" s="281"/>
      <c r="F23" s="282"/>
      <c r="G23" s="283" t="s">
        <v>2448</v>
      </c>
    </row>
    <row r="24" spans="1:7" s="257" customFormat="1" ht="13.5" customHeight="1">
      <c r="A24" s="950" t="s">
        <v>2338</v>
      </c>
      <c r="B24" s="258" t="s">
        <v>2449</v>
      </c>
      <c r="C24" s="1377">
        <f ca="1">ROUND(IF('数据-取费表'!B22&lt;=1,C19*F22*('数据-取费表'!B19/2+'数据-取费表'!B20),C19*(POWER((1+F22),('数据-取费表'!B19/2+'数据-取费表'!B20))-1)),0)</f>
        <v>1955594</v>
      </c>
      <c r="D24" s="281"/>
      <c r="E24" s="281"/>
      <c r="F24" s="282"/>
      <c r="G24" s="283" t="s">
        <v>2450</v>
      </c>
    </row>
    <row r="25" spans="1:7" s="257" customFormat="1" ht="24">
      <c r="A25" s="950" t="s">
        <v>2340</v>
      </c>
      <c r="B25" s="258" t="s">
        <v>2451</v>
      </c>
      <c r="C25" s="1377">
        <f ca="1">ROUND(IF('数据-取费表'!B22&lt;=1,C20*F22*'数据-取费表'!B22/2,C20*(POWER((1+F22),'数据-取费表'!B22/2)-1)),0)</f>
        <v>38431</v>
      </c>
      <c r="D25" s="281"/>
      <c r="E25" s="284"/>
      <c r="F25" s="282"/>
      <c r="G25" s="285" t="s">
        <v>2452</v>
      </c>
    </row>
    <row r="26" spans="1:7" s="257" customFormat="1">
      <c r="A26" s="950" t="s">
        <v>795</v>
      </c>
      <c r="B26" s="258" t="s">
        <v>2375</v>
      </c>
      <c r="C26" s="281">
        <f ca="1">ROUND(IF('数据-取费表'!B22&lt;=1,F21*F22*'数据-取费表'!B22/2,F21*(POWER((1+F22),'数据-取费表'!B22/2)-1)),4)</f>
        <v>6.9999999999999999E-4</v>
      </c>
      <c r="D26" s="281"/>
      <c r="E26" s="284"/>
      <c r="F26" s="282"/>
      <c r="G26" s="286"/>
    </row>
    <row r="27" spans="1:7" s="257" customFormat="1" ht="24.75">
      <c r="A27" s="298" t="s">
        <v>2376</v>
      </c>
      <c r="B27" s="287" t="s">
        <v>2377</v>
      </c>
      <c r="C27" s="288">
        <f ca="1">C28</f>
        <v>5533971</v>
      </c>
      <c r="D27" s="278">
        <f ca="1">C29</f>
        <v>2E-3</v>
      </c>
      <c r="E27" s="279" t="s">
        <v>2378</v>
      </c>
      <c r="F27" s="289">
        <f ca="1">IF(B1="",'数据-取费表'!Q16,INDIRECT("'数据-取费表'!q"&amp;$G$1))</f>
        <v>0.1</v>
      </c>
      <c r="G27" s="290" t="s">
        <v>2379</v>
      </c>
    </row>
    <row r="28" spans="1:7" s="257" customFormat="1" ht="13.5" customHeight="1">
      <c r="A28" s="950" t="s">
        <v>791</v>
      </c>
      <c r="B28" s="291" t="s">
        <v>2380</v>
      </c>
      <c r="C28" s="292">
        <f ca="1">ROUND((C5+C19+C20)*F27,0)</f>
        <v>5533971</v>
      </c>
      <c r="D28" s="278"/>
      <c r="E28" s="279"/>
      <c r="F28" s="289"/>
      <c r="G28" s="290"/>
    </row>
    <row r="29" spans="1:7" s="257" customFormat="1" ht="13.5" customHeight="1">
      <c r="A29" s="950" t="s">
        <v>792</v>
      </c>
      <c r="B29" s="291" t="s">
        <v>2381</v>
      </c>
      <c r="C29" s="281">
        <f ca="1">ROUND(C21*F27,4)</f>
        <v>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70155084</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452347861</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406909620</v>
      </c>
      <c r="D34" s="260"/>
      <c r="E34" s="263"/>
      <c r="F34" s="300"/>
      <c r="G34" s="262"/>
    </row>
    <row r="35" spans="1:7" ht="13.5" customHeight="1">
      <c r="A35" s="950" t="s">
        <v>796</v>
      </c>
      <c r="B35" s="258" t="s">
        <v>2391</v>
      </c>
      <c r="C35" s="263">
        <f ca="1">ROUND(C34*F35,0)</f>
        <v>12207289</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0.05</v>
      </c>
      <c r="G36" s="303" t="s">
        <v>2394</v>
      </c>
    </row>
    <row r="37" spans="1:7" s="301" customFormat="1" ht="13.5" customHeight="1">
      <c r="A37" s="950" t="s">
        <v>798</v>
      </c>
      <c r="B37" s="258" t="s">
        <v>2395</v>
      </c>
      <c r="C37" s="292">
        <f ca="1">ROUND(E37*D37,0)</f>
        <v>27127308</v>
      </c>
      <c r="D37" s="260">
        <f ca="1">D19</f>
        <v>135636.54</v>
      </c>
      <c r="E37" s="292">
        <f>'数据-取费表'!B35</f>
        <v>200</v>
      </c>
      <c r="F37" s="302"/>
      <c r="G37" s="304"/>
    </row>
    <row r="38" spans="1:7" ht="13.5" customHeight="1">
      <c r="A38" s="950" t="s">
        <v>799</v>
      </c>
      <c r="B38" s="258" t="s">
        <v>2397</v>
      </c>
      <c r="C38" s="263">
        <f ca="1">ROUND(C34*F38,0)</f>
        <v>6103644</v>
      </c>
      <c r="D38" s="263"/>
      <c r="E38" s="263"/>
      <c r="F38" s="302">
        <f>'数据-取费表'!B36</f>
        <v>1.4999999999999999E-2</v>
      </c>
      <c r="G38" s="262" t="s">
        <v>2392</v>
      </c>
    </row>
    <row r="39" spans="1:7" s="257" customFormat="1" ht="13.5" customHeight="1">
      <c r="A39" s="298" t="s">
        <v>2398</v>
      </c>
      <c r="B39" s="253" t="s">
        <v>2399</v>
      </c>
      <c r="C39" s="275">
        <f ca="1">ROUND(C33*F20,0)</f>
        <v>9046957</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16341476</v>
      </c>
      <c r="D41" s="278">
        <f ca="1">C44</f>
        <v>6.9999999999999999E-4</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16021055</v>
      </c>
      <c r="D42" s="281"/>
      <c r="E42" s="281"/>
      <c r="F42" s="282"/>
      <c r="G42" s="3618" t="s">
        <v>2455</v>
      </c>
    </row>
    <row r="43" spans="1:7" ht="13.5" customHeight="1">
      <c r="A43" s="950" t="s">
        <v>792</v>
      </c>
      <c r="B43" s="258" t="s">
        <v>2409</v>
      </c>
      <c r="C43" s="281">
        <f ca="1">ROUND(IF('数据-取费表'!B22&lt;=1,C39*F22*'数据-取费表'!B20/2,C39*(POWER((1+F22),'数据-取费表'!B20/2)-1)),0)</f>
        <v>320421</v>
      </c>
      <c r="D43" s="281"/>
      <c r="E43" s="281"/>
      <c r="F43" s="282"/>
      <c r="G43" s="3619"/>
    </row>
    <row r="44" spans="1:7" ht="13.5" customHeight="1">
      <c r="A44" s="950" t="s">
        <v>793</v>
      </c>
      <c r="B44" s="258" t="s">
        <v>2410</v>
      </c>
      <c r="C44" s="281">
        <f ca="1">ROUND(IF('数据-取费表'!B22&lt;=1,C40*F22*'数据-取费表'!B20/2,C40*(POWER((1+F22),'数据-取费表'!B20/2)-1)),4)</f>
        <v>6.9999999999999999E-4</v>
      </c>
      <c r="D44" s="281"/>
      <c r="E44" s="281"/>
      <c r="F44" s="282"/>
      <c r="G44" s="3620"/>
    </row>
    <row r="45" spans="1:7" s="257" customFormat="1" ht="13.5" customHeight="1">
      <c r="A45" s="298" t="s">
        <v>2411</v>
      </c>
      <c r="B45" s="287" t="s">
        <v>2377</v>
      </c>
      <c r="C45" s="288">
        <f ca="1">C46</f>
        <v>46139482</v>
      </c>
      <c r="D45" s="278">
        <f ca="1">C47</f>
        <v>2E-3</v>
      </c>
      <c r="E45" s="279" t="s">
        <v>2403</v>
      </c>
      <c r="F45" s="289"/>
      <c r="G45" s="290" t="s">
        <v>2412</v>
      </c>
    </row>
    <row r="46" spans="1:7" s="257" customFormat="1" ht="13.5" customHeight="1">
      <c r="A46" s="950" t="s">
        <v>791</v>
      </c>
      <c r="B46" s="291" t="s">
        <v>2413</v>
      </c>
      <c r="C46" s="292">
        <f ca="1">ROUND((C33+C39)*F27,0)</f>
        <v>46139482</v>
      </c>
      <c r="D46" s="306"/>
      <c r="E46" s="279"/>
      <c r="F46" s="289"/>
      <c r="G46" s="290"/>
    </row>
    <row r="47" spans="1:7" s="257" customFormat="1" ht="13.5" customHeight="1">
      <c r="A47" s="950" t="s">
        <v>792</v>
      </c>
      <c r="B47" s="291" t="s">
        <v>2414</v>
      </c>
      <c r="C47" s="281">
        <f ca="1">ROUND(C40*F27,4)</f>
        <v>2E-3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566965126</v>
      </c>
      <c r="D49" s="275"/>
      <c r="E49" s="275"/>
      <c r="F49" s="307"/>
      <c r="G49" s="277" t="s">
        <v>2418</v>
      </c>
    </row>
    <row r="50" spans="1:7" s="301" customFormat="1">
      <c r="A50" s="298" t="s">
        <v>2419</v>
      </c>
      <c r="B50" s="253" t="s">
        <v>2420</v>
      </c>
      <c r="C50" s="275"/>
      <c r="D50" s="275"/>
      <c r="E50" s="275"/>
      <c r="F50" s="307">
        <f>IF('数据-取费表'!B24=0,'数据-取费表'!N16,1)</f>
        <v>1</v>
      </c>
      <c r="G50" s="290"/>
    </row>
    <row r="51" spans="1:7" ht="16.5" customHeight="1">
      <c r="A51" s="298" t="s">
        <v>2422</v>
      </c>
      <c r="B51" s="253" t="s">
        <v>2457</v>
      </c>
      <c r="C51" s="275">
        <f ca="1">ROUND(C49*F50,0)</f>
        <v>566965126</v>
      </c>
      <c r="D51" s="275"/>
      <c r="E51" s="275"/>
      <c r="F51" s="307"/>
      <c r="G51" s="277" t="s">
        <v>2424</v>
      </c>
    </row>
    <row r="52" spans="1:7" s="251" customFormat="1" ht="16.5" thickBot="1">
      <c r="A52" s="308" t="s">
        <v>2425</v>
      </c>
      <c r="B52" s="309"/>
      <c r="C52" s="310">
        <f ca="1">C31+C51</f>
        <v>637120210</v>
      </c>
      <c r="D52" s="309"/>
      <c r="E52" s="309"/>
      <c r="F52" s="309"/>
      <c r="G52" s="311"/>
    </row>
    <row r="55" spans="1:7" ht="15">
      <c r="B55" s="313" t="s">
        <v>2426</v>
      </c>
      <c r="C55" s="314"/>
    </row>
    <row r="56" spans="1:7">
      <c r="B56" s="316" t="s">
        <v>1507</v>
      </c>
      <c r="C56" s="318">
        <f ca="1">1-C57</f>
        <v>0.10999999999999999</v>
      </c>
    </row>
    <row r="57" spans="1:7">
      <c r="B57" s="316" t="s">
        <v>1508</v>
      </c>
      <c r="C57" s="317">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topLeftCell="A4" workbookViewId="0">
      <selection activeCell="F24" sqref="F24"/>
    </sheetView>
  </sheetViews>
  <sheetFormatPr defaultColWidth="6.625" defaultRowHeight="12.75"/>
  <cols>
    <col min="1" max="1" width="9.875" style="797" customWidth="1"/>
    <col min="2" max="2" width="25.875" style="951" customWidth="1"/>
    <col min="3" max="3" width="10.375" style="994" customWidth="1"/>
    <col min="4" max="4" width="9.875" style="951" customWidth="1"/>
    <col min="5" max="5" width="9.5" style="797" customWidth="1"/>
    <col min="6" max="6" width="10.125" style="951" customWidth="1"/>
    <col min="7" max="7" width="10.8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77"/>
      <c r="C1" s="1578"/>
      <c r="D1" s="1576"/>
      <c r="E1" s="319"/>
      <c r="F1" s="319"/>
      <c r="G1" s="1577"/>
      <c r="H1" s="319"/>
      <c r="I1" s="319"/>
      <c r="J1" s="319"/>
      <c r="K1" s="319">
        <f>MATCH(C1,'数据-取费表'!A6:A16,0)+5</f>
        <v>7</v>
      </c>
    </row>
    <row r="2" spans="1:33" ht="18" customHeight="1">
      <c r="A2" s="244" t="s">
        <v>2326</v>
      </c>
      <c r="B2" s="247">
        <f ca="1">C32</f>
        <v>-2740</v>
      </c>
      <c r="C2" s="319" t="s">
        <v>2459</v>
      </c>
      <c r="D2" s="319"/>
      <c r="E2" s="319"/>
      <c r="F2" s="319"/>
      <c r="G2" s="319"/>
      <c r="H2" s="319"/>
      <c r="I2" s="319"/>
      <c r="J2" s="319"/>
      <c r="K2" s="319"/>
    </row>
    <row r="3" spans="1:33" ht="18" customHeight="1" thickBot="1">
      <c r="A3" s="246" t="s">
        <v>2328</v>
      </c>
      <c r="B3" s="247">
        <f ca="1">ROUND(B2*10000/IF(C1="",'数据-汇总表'!E3,INDIRECT("'数据-取费表'!K"&amp;$K$1)),0)</f>
        <v>-202</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42" t="s">
        <v>2464</v>
      </c>
      <c r="D5" s="2542" t="s">
        <v>2465</v>
      </c>
      <c r="E5" s="2542" t="s">
        <v>2466</v>
      </c>
      <c r="F5" s="2542"/>
      <c r="G5" s="2542"/>
      <c r="H5" s="2542"/>
      <c r="I5" s="2542"/>
      <c r="J5" s="2542"/>
      <c r="K5" s="254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3"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0.05</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135636.54</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4"/>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135636.54</v>
      </c>
      <c r="E17" s="24">
        <f>'数据-取费表'!B32</f>
        <v>0</v>
      </c>
      <c r="F17" s="977"/>
      <c r="G17" s="139" t="s">
        <v>2490</v>
      </c>
      <c r="H17" s="1574"/>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2513</v>
      </c>
      <c r="D18" s="1032"/>
      <c r="E18" s="24"/>
      <c r="F18" s="975"/>
      <c r="G18" s="2544"/>
      <c r="H18" s="1573"/>
      <c r="I18" s="2545"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160</v>
      </c>
      <c r="F19" s="975"/>
      <c r="G19" s="15"/>
      <c r="H19" s="1575"/>
      <c r="I19" s="980"/>
      <c r="J19" s="980"/>
      <c r="K19" s="981"/>
    </row>
    <row r="20" spans="1:33" s="974" customFormat="1" ht="13.5" customHeight="1">
      <c r="A20" s="970" t="s">
        <v>806</v>
      </c>
      <c r="B20" s="971" t="s">
        <v>2494</v>
      </c>
      <c r="C20" s="24">
        <f ca="1">ROUND(D20*E20/10000,0)</f>
        <v>2713</v>
      </c>
      <c r="D20" s="1032">
        <f ca="1">IF(C1="",'数据-汇总表'!E6,IF(INDIRECT("'数据-取费表'!c"&amp;$K$1)="住宅",INDIRECT("'数据-取费表'!s"&amp;$K$1),INDIRECT("'数据-取费表'!k"&amp;$K$1)+INDIRECT("'数据-取费表'!s"&amp;$K$1)))</f>
        <v>135636.54</v>
      </c>
      <c r="E20" s="24">
        <f>'数据-取费表'!B28</f>
        <v>200</v>
      </c>
      <c r="F20" s="975"/>
      <c r="G20" s="15"/>
      <c r="H20" s="980"/>
      <c r="I20" s="980"/>
      <c r="J20" s="980"/>
      <c r="K20" s="981"/>
    </row>
    <row r="21" spans="1:33" s="974" customFormat="1" ht="13.5" customHeight="1">
      <c r="A21" s="960" t="s">
        <v>802</v>
      </c>
      <c r="B21" s="984" t="s">
        <v>2495</v>
      </c>
      <c r="C21" s="985">
        <f ca="1">C16+C17+C18</f>
        <v>2513</v>
      </c>
      <c r="D21" s="986"/>
      <c r="E21" s="324"/>
      <c r="F21" s="324"/>
      <c r="G21" s="139" t="s">
        <v>2496</v>
      </c>
      <c r="H21" s="978"/>
      <c r="I21" s="978"/>
      <c r="J21" s="978"/>
      <c r="K21" s="979"/>
    </row>
    <row r="22" spans="1:33" s="974" customFormat="1" ht="13.5" customHeight="1">
      <c r="A22" s="960" t="s">
        <v>2468</v>
      </c>
      <c r="B22" s="984" t="s">
        <v>2497</v>
      </c>
      <c r="C22" s="985">
        <f ca="1">ROUND(C21*F22,0)</f>
        <v>50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3">
        <f ca="1">ROUND(IF('数据-取费表'!B22&lt;=1,(1+C24)*F25*'数据-取费表'!B24,(1+C24)*(POWER((1+F25),'数据-取费表'!B24)-1)),4)</f>
        <v>0</v>
      </c>
      <c r="D26" s="327"/>
      <c r="E26" s="328"/>
      <c r="F26" s="329"/>
      <c r="G26" s="254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4">
        <f ca="1">ROUND(IF('数据-取费表'!B22&lt;=1,(C21+C22+C23)*F25*'数据-取费表'!B24/2,(C21+C22+C23)*(POWER((1+F25),'数据-取费表'!B24/2)-1)),0)</f>
        <v>0</v>
      </c>
      <c r="D27" s="327"/>
      <c r="E27" s="328"/>
      <c r="F27" s="329"/>
      <c r="G27" s="2546" t="str">
        <f>IF('数据-取费表'!B22&lt;=1,"（1）-（3）项×年利率×建设期÷2","（1）-（3）项×((1+年利率)^(建设期÷2)-1)")</f>
        <v>（1）-（3）项×((1+年利率)^(建设期÷2)-1)</v>
      </c>
      <c r="H27" s="978"/>
      <c r="I27" s="978"/>
      <c r="J27" s="978"/>
      <c r="K27" s="979"/>
    </row>
    <row r="28" spans="1:33" s="332" customFormat="1" ht="13.5" customHeight="1">
      <c r="A28" s="960" t="s">
        <v>2508</v>
      </c>
      <c r="B28" s="2547" t="s">
        <v>2509</v>
      </c>
      <c r="C28" s="330">
        <f ca="1">C30</f>
        <v>256</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256</v>
      </c>
      <c r="D30" s="327"/>
      <c r="E30" s="328"/>
      <c r="F30" s="333"/>
      <c r="G30" s="139"/>
      <c r="H30" s="978"/>
      <c r="I30" s="978"/>
      <c r="J30" s="978"/>
      <c r="K30" s="979"/>
    </row>
    <row r="31" spans="1:33" s="974" customFormat="1" ht="13.5" customHeight="1" thickBot="1">
      <c r="A31" s="2548" t="s">
        <v>2513</v>
      </c>
      <c r="B31" s="1004" t="s">
        <v>2514</v>
      </c>
      <c r="C31" s="1005">
        <f>ROUND(C4*F31/(1+'数据-取费表'!C42),0)</f>
        <v>0</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-2740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enableFormatConditionsCalculation="0">
    <tabColor rgb="FF92D050"/>
  </sheetPr>
  <dimension ref="A1:AK118"/>
  <sheetViews>
    <sheetView topLeftCell="A43" zoomScale="90" zoomScaleNormal="90" zoomScaleSheetLayoutView="96" workbookViewId="0">
      <selection activeCell="D56" sqref="D56"/>
    </sheetView>
  </sheetViews>
  <sheetFormatPr defaultColWidth="12" defaultRowHeight="12.75"/>
  <cols>
    <col min="1" max="1" width="9.875" style="2776" customWidth="1"/>
    <col min="2" max="2" width="19.125" style="2882" customWidth="1"/>
    <col min="3" max="4" width="12" style="2708"/>
    <col min="5" max="5" width="14.625" style="2708" customWidth="1"/>
    <col min="6" max="8" width="12" style="2708"/>
    <col min="9" max="9" width="12.125" style="2708" bestFit="1" customWidth="1"/>
    <col min="10" max="10" width="12" style="2708"/>
    <col min="11" max="11" width="8.125" style="2771" customWidth="1"/>
    <col min="12" max="12" width="12" style="2708"/>
    <col min="13" max="13" width="8.5" style="2708" customWidth="1"/>
    <col min="14" max="14" width="9.875" style="2708" customWidth="1"/>
    <col min="15" max="25" width="12" style="2708"/>
    <col min="26" max="26" width="9.375" style="2776" customWidth="1"/>
    <col min="27" max="32" width="9.375" style="1368" customWidth="1"/>
    <col min="33" max="36" width="9.375" style="2776" customWidth="1"/>
    <col min="37" max="38" width="9.375" style="2708" customWidth="1"/>
    <col min="39" max="16384" width="12" style="2708"/>
  </cols>
  <sheetData>
    <row r="1" spans="1:36" ht="28.5">
      <c r="A1" s="239" t="s">
        <v>2803</v>
      </c>
      <c r="B1" s="240"/>
      <c r="C1" s="244" t="s">
        <v>2804</v>
      </c>
      <c r="D1" s="387">
        <f>SUM(D29:D30,D33:D39)</f>
        <v>135636.54000000004</v>
      </c>
      <c r="E1" s="2705"/>
      <c r="F1" s="2705"/>
      <c r="G1" s="2705"/>
      <c r="H1" s="2705"/>
      <c r="I1" s="2705"/>
      <c r="J1" s="2705"/>
      <c r="K1" s="1366"/>
      <c r="L1" s="2706" t="s">
        <v>2805</v>
      </c>
      <c r="M1" s="1079">
        <f>SUMPRODUCT((区片价!B5:B9=I2)*(区片价!C3:F3=E2)*(区片价!C5:F9))</f>
        <v>0</v>
      </c>
      <c r="N1" s="1082">
        <f>SUMPRODUCT((因素修正幅度!B5:B9=I2)*(因素修正幅度!C3:F3=E2)*(因素修正幅度!C5:F9))</f>
        <v>0</v>
      </c>
      <c r="O1" s="2707"/>
      <c r="P1" s="2707"/>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f ca="1">C26</f>
        <v>124693</v>
      </c>
      <c r="C2" s="2709" t="s">
        <v>2812</v>
      </c>
      <c r="D2" s="2710" t="s">
        <v>2813</v>
      </c>
      <c r="E2" s="2711" t="s">
        <v>1372</v>
      </c>
      <c r="F2" s="2710" t="s">
        <v>2814</v>
      </c>
      <c r="G2" s="2712" t="str">
        <f>IF(E2="商业",项目基本情况!B37,IF(E2="办公",项目基本情况!C37,IF(E2="住宅",项目基本情况!D37,项目基本情况!E37)))</f>
        <v>六级</v>
      </c>
      <c r="H2" s="2710" t="s">
        <v>2815</v>
      </c>
      <c r="I2" s="2712" t="str">
        <f>IF(E2="商业",项目基本情况!B38,IF(E2="办公",项目基本情况!C38,IF(E2="住宅",项目基本情况!D38,项目基本情况!E38)))</f>
        <v>Ⅵ-17</v>
      </c>
      <c r="J2" s="2713"/>
      <c r="K2" s="1366"/>
      <c r="L2" s="2714" t="s">
        <v>2816</v>
      </c>
      <c r="M2" s="1080">
        <f>SUMPRODUCT((区片价!B10:B28=I2)*(区片价!C3:F3=E2)*(区片价!C10:F28))</f>
        <v>0</v>
      </c>
      <c r="N2" s="1082">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26819</v>
      </c>
      <c r="U2" s="1599"/>
      <c r="V2" s="1598">
        <f ca="1">ROUND(T2*U2/10000,0)</f>
        <v>0</v>
      </c>
      <c r="W2" s="1602"/>
      <c r="X2" s="1602"/>
      <c r="Y2" s="1602"/>
      <c r="Z2" s="1602"/>
      <c r="AA2" s="1602"/>
      <c r="AB2" s="1602"/>
      <c r="AC2" s="1603"/>
      <c r="AD2" s="1604"/>
      <c r="AE2" s="1604"/>
      <c r="AF2" s="1604"/>
      <c r="AG2" s="1604"/>
      <c r="AH2" s="1604"/>
      <c r="AI2" s="1604"/>
      <c r="AJ2" s="1605"/>
    </row>
    <row r="3" spans="1:36" ht="15.75">
      <c r="A3" s="246" t="s">
        <v>2817</v>
      </c>
      <c r="B3" s="247">
        <f ca="1">ROUND(B2*10000/D1,0)</f>
        <v>9193</v>
      </c>
      <c r="C3" s="2709" t="s">
        <v>2818</v>
      </c>
      <c r="D3" s="2710" t="s">
        <v>2819</v>
      </c>
      <c r="E3" s="2715" t="s">
        <v>3234</v>
      </c>
      <c r="F3" s="2716" t="s">
        <v>3235</v>
      </c>
      <c r="G3" s="915">
        <f>IF(F3="宗地容积率",'数据-汇总表'!I4,IF(F3="估价对象容积率",'数据-汇总表'!I6,'数据-汇总表'!I7))</f>
        <v>3</v>
      </c>
      <c r="H3" s="197" t="s">
        <v>2820</v>
      </c>
      <c r="I3" s="943">
        <v>1</v>
      </c>
      <c r="J3" s="2713" t="s">
        <v>2821</v>
      </c>
      <c r="K3" s="1366"/>
      <c r="L3" s="2714" t="s">
        <v>2822</v>
      </c>
      <c r="M3" s="1080">
        <f>SUMPRODUCT((区片价!B29:B48=I2)*(区片价!C3:F3=E2)*(区片价!C29:F48))</f>
        <v>0</v>
      </c>
      <c r="N3" s="1082">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19251</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637"/>
      <c r="B4" s="3638"/>
      <c r="C4" s="3638"/>
      <c r="D4" s="3639"/>
      <c r="E4" s="3639"/>
      <c r="F4" s="3639"/>
      <c r="G4" s="3639"/>
      <c r="H4" s="3639"/>
      <c r="I4" s="3639"/>
      <c r="J4" s="3640"/>
      <c r="K4" s="1366"/>
      <c r="L4" s="2714" t="s">
        <v>2823</v>
      </c>
      <c r="M4" s="1080">
        <f>SUMPRODUCT((区片价!B49:B75=I2)*(区片价!C3:F3=E2)*(区片价!C49:F75))</f>
        <v>0</v>
      </c>
      <c r="N4" s="1082">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15531</v>
      </c>
      <c r="U4" s="1599"/>
      <c r="V4" s="1598">
        <f t="shared" ca="1" si="1"/>
        <v>0</v>
      </c>
      <c r="W4" s="1602"/>
      <c r="X4" s="1602"/>
      <c r="Y4" s="1602"/>
      <c r="Z4" s="1602"/>
      <c r="AA4" s="1602"/>
      <c r="AB4" s="1602"/>
      <c r="AC4" s="1603"/>
      <c r="AD4" s="1604"/>
      <c r="AE4" s="1604"/>
      <c r="AF4" s="1604"/>
      <c r="AG4" s="1604"/>
      <c r="AH4" s="1604"/>
      <c r="AI4" s="1604"/>
      <c r="AJ4" s="1605"/>
    </row>
    <row r="5" spans="1:36" s="2726" customFormat="1" ht="15.75" thickBot="1">
      <c r="A5" s="2717" t="s">
        <v>807</v>
      </c>
      <c r="B5" s="2718" t="s">
        <v>2824</v>
      </c>
      <c r="C5" s="916">
        <f>ROUND(IF(E2="商业",C6*C7+C16,(IF(E2="住宅",C6*C12+C16,C6+C16))),0)</f>
        <v>10764</v>
      </c>
      <c r="D5" s="1775">
        <f>ROUND(C6+C16,0)</f>
        <v>10764</v>
      </c>
      <c r="E5" s="1775"/>
      <c r="F5" s="2719"/>
      <c r="G5" s="2720"/>
      <c r="H5" s="2720"/>
      <c r="I5" s="2720"/>
      <c r="J5" s="2721"/>
      <c r="K5" s="2722"/>
      <c r="L5" s="2714" t="s">
        <v>2825</v>
      </c>
      <c r="M5" s="1080">
        <f>SUMPRODUCT((区片价!B76:B109=I2)*(区片价!C3:F3=E2)*(区片价!C76:F109))</f>
        <v>0</v>
      </c>
      <c r="N5" s="1082">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12461</v>
      </c>
      <c r="U5" s="1599"/>
      <c r="V5" s="1598">
        <f t="shared" ca="1" si="1"/>
        <v>0</v>
      </c>
      <c r="W5" s="1602"/>
      <c r="X5" s="1602"/>
      <c r="Y5" s="1602"/>
      <c r="Z5" s="1602"/>
      <c r="AA5" s="1602"/>
      <c r="AB5" s="1602"/>
      <c r="AC5" s="2723"/>
      <c r="AD5" s="2724"/>
      <c r="AE5" s="2724"/>
      <c r="AF5" s="2724"/>
      <c r="AG5" s="2724"/>
      <c r="AH5" s="2724"/>
      <c r="AI5" s="2724"/>
      <c r="AJ5" s="2725"/>
    </row>
    <row r="6" spans="1:36" ht="15.75" thickBot="1">
      <c r="A6" s="2727" t="s">
        <v>2826</v>
      </c>
      <c r="B6" s="2728" t="s">
        <v>2827</v>
      </c>
      <c r="C6" s="917">
        <f>SUMIF(L1:L12,G2,M1:M12)</f>
        <v>10780</v>
      </c>
      <c r="D6" s="2729" t="s">
        <v>2828</v>
      </c>
      <c r="E6" s="2730"/>
      <c r="F6" s="2730"/>
      <c r="G6" s="2731"/>
      <c r="H6" s="2731"/>
      <c r="I6" s="2731"/>
      <c r="J6" s="2732"/>
      <c r="K6" s="1830"/>
      <c r="L6" s="2714" t="s">
        <v>2829</v>
      </c>
      <c r="M6" s="1080">
        <f>SUMPRODUCT((区片价!B110:B157=I2)*(区片价!C3:F3=E2)*(区片价!C110:F157))</f>
        <v>10780</v>
      </c>
      <c r="N6" s="1082">
        <f>SUMPRODUCT((因素修正幅度!B110:B157=I2)*(因素修正幅度!C3:F3=E2)*(因素修正幅度!C110:F157))</f>
        <v>0.13</v>
      </c>
      <c r="O6" s="1366"/>
      <c r="P6" s="1366"/>
      <c r="Q6" s="1366"/>
      <c r="R6" s="1598">
        <v>5</v>
      </c>
      <c r="S6" s="1598">
        <f>ROUND(IF(G3&gt;1,IF(R6&lt;7,SUMPRODUCT((B93:B98=R6)*(C92:N92=G2)*(C93:N98)),SUMIF(C92:N92,G2,C100:N100)),IF(R6&lt;7,SUMPRODUCT((B102:B107=R6)*(C92:N92=G2)*(C102:N107)),SUMIF(C92:N92,G2,C109:N109))),4)</f>
        <v>0.73709999999999998</v>
      </c>
      <c r="T6" s="1598">
        <f t="shared" ca="1" si="0"/>
        <v>10611</v>
      </c>
      <c r="U6" s="1599"/>
      <c r="V6" s="1598">
        <f t="shared" ca="1" si="1"/>
        <v>0</v>
      </c>
      <c r="W6" s="1602"/>
      <c r="X6" s="1602"/>
      <c r="Y6" s="1602"/>
      <c r="Z6" s="1602"/>
      <c r="AA6" s="1602"/>
      <c r="AB6" s="1602"/>
      <c r="AC6" s="2723"/>
      <c r="AD6" s="2724"/>
      <c r="AE6" s="2724"/>
      <c r="AF6" s="2724"/>
      <c r="AG6" s="2724"/>
      <c r="AH6" s="2724"/>
      <c r="AI6" s="2724"/>
      <c r="AJ6" s="2725"/>
    </row>
    <row r="7" spans="1:36" ht="24">
      <c r="A7" s="3621" t="str">
        <f>IF(E2="商业",IF(C8="不临58条商业街","",2),"")</f>
        <v/>
      </c>
      <c r="B7" s="2733" t="s">
        <v>2830</v>
      </c>
      <c r="C7" s="918">
        <f>IF(C8="不临58条商业街",1,ROUND(1+(1.6*E8+1.2*E9+0.8*E10+0.4*E11)*C9,4))</f>
        <v>1</v>
      </c>
      <c r="D7" s="2734" t="s">
        <v>2831</v>
      </c>
      <c r="E7" s="944">
        <v>6</v>
      </c>
      <c r="F7" s="2735"/>
      <c r="G7" s="2736"/>
      <c r="H7" s="2736"/>
      <c r="I7" s="2736"/>
      <c r="J7" s="2737"/>
      <c r="K7" s="1830"/>
      <c r="L7" s="2714" t="s">
        <v>2832</v>
      </c>
      <c r="M7" s="1080">
        <f>SUMPRODUCT((区片价!B158:B205=I2)*(区片价!C3:F3=E2)*(区片价!C158:F205))</f>
        <v>0</v>
      </c>
      <c r="N7" s="1082">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9332</v>
      </c>
      <c r="U7" s="1599"/>
      <c r="V7" s="1598">
        <f t="shared" ca="1" si="1"/>
        <v>0</v>
      </c>
      <c r="W7" s="1804" t="s">
        <v>2833</v>
      </c>
      <c r="X7" s="1600" t="str">
        <f>G2</f>
        <v>六级</v>
      </c>
      <c r="Y7" s="1600" t="s">
        <v>2834</v>
      </c>
      <c r="Z7" s="1601">
        <f>G3</f>
        <v>3</v>
      </c>
      <c r="AA7" s="1602"/>
      <c r="AB7" s="1602"/>
      <c r="AC7" s="1603"/>
      <c r="AD7" s="1604"/>
      <c r="AE7" s="1604"/>
      <c r="AF7" s="1604"/>
      <c r="AG7" s="1604"/>
      <c r="AH7" s="1604"/>
      <c r="AI7" s="1604"/>
      <c r="AJ7" s="1605"/>
    </row>
    <row r="8" spans="1:36" ht="25.5">
      <c r="A8" s="3641"/>
      <c r="B8" s="197" t="s">
        <v>2835</v>
      </c>
      <c r="C8" s="2738" t="s">
        <v>3236</v>
      </c>
      <c r="D8" s="919" t="s">
        <v>139</v>
      </c>
      <c r="E8" s="920">
        <f>ROUND(C11/E7,4)</f>
        <v>0</v>
      </c>
      <c r="F8" s="2739" t="s">
        <v>2836</v>
      </c>
      <c r="G8" s="2740"/>
      <c r="H8" s="2740"/>
      <c r="I8" s="2740"/>
      <c r="J8" s="2741"/>
      <c r="K8" s="1366"/>
      <c r="L8" s="2714" t="s">
        <v>2837</v>
      </c>
      <c r="M8" s="1080">
        <f>SUMPRODUCT((区片价!B206:B244=I2)*(区片价!C3:F3=E2)*(区片价!C206:F244))</f>
        <v>0</v>
      </c>
      <c r="N8" s="1082">
        <f>SUMPRODUCT((因素修正幅度!B206:B244=I2)*(因素修正幅度!C3:F3=E2)*(因素修正幅度!C206:F244))</f>
        <v>0</v>
      </c>
      <c r="O8" s="1366"/>
      <c r="P8" s="1366"/>
      <c r="Q8" s="1366"/>
      <c r="R8" s="1598">
        <v>7</v>
      </c>
      <c r="S8" s="1599"/>
      <c r="T8" s="1598">
        <f t="shared" ca="1" si="0"/>
        <v>0</v>
      </c>
      <c r="U8" s="1599"/>
      <c r="V8" s="1598">
        <f t="shared" ca="1" si="1"/>
        <v>0</v>
      </c>
      <c r="W8" s="3634" t="s">
        <v>2838</v>
      </c>
      <c r="X8" s="3635"/>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641"/>
      <c r="B9" s="197" t="s">
        <v>2851</v>
      </c>
      <c r="C9" s="921">
        <f>SUMIF(修正!C59:C119,C8,修正!E59:E119)</f>
        <v>0</v>
      </c>
      <c r="D9" s="199" t="s">
        <v>140</v>
      </c>
      <c r="E9" s="199">
        <f>ROUND(C11/E7,4)</f>
        <v>0</v>
      </c>
      <c r="F9" s="2739" t="s">
        <v>2852</v>
      </c>
      <c r="G9" s="2740"/>
      <c r="H9" s="2740"/>
      <c r="I9" s="2740"/>
      <c r="J9" s="2741"/>
      <c r="K9" s="1366"/>
      <c r="L9" s="2714" t="s">
        <v>2853</v>
      </c>
      <c r="M9" s="1080">
        <f>SUMPRODUCT((区片价!B245:B289=I2)*(区片价!C3:F3=E2)*(区片价!C245:F289))</f>
        <v>0</v>
      </c>
      <c r="N9" s="1082">
        <f>SUMPRODUCT((因素修正幅度!B245:B289=I2)*(因素修正幅度!C3:F3=E2)*(因素修正幅度!C245:F289))</f>
        <v>0</v>
      </c>
      <c r="O9" s="1366"/>
      <c r="P9" s="1366"/>
      <c r="Q9" s="1366"/>
      <c r="R9" s="1598">
        <v>8</v>
      </c>
      <c r="S9" s="1599"/>
      <c r="T9" s="1598">
        <f t="shared" ca="1" si="0"/>
        <v>0</v>
      </c>
      <c r="U9" s="1599"/>
      <c r="V9" s="1598">
        <f t="shared" ca="1" si="1"/>
        <v>0</v>
      </c>
      <c r="W9" s="3636" t="s">
        <v>2854</v>
      </c>
      <c r="X9" s="1607" t="s">
        <v>2855</v>
      </c>
      <c r="Y9" s="1760"/>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641"/>
      <c r="B10" s="197" t="s">
        <v>2856</v>
      </c>
      <c r="C10" s="199">
        <f>SUMIF(修正!C59:C119,C8,修正!F59:F119)</f>
        <v>0</v>
      </c>
      <c r="D10" s="199" t="s">
        <v>141</v>
      </c>
      <c r="E10" s="199">
        <f>ROUND(C11/E7,4)</f>
        <v>0</v>
      </c>
      <c r="F10" s="2739" t="s">
        <v>2857</v>
      </c>
      <c r="G10" s="2740"/>
      <c r="H10" s="2740"/>
      <c r="I10" s="2740"/>
      <c r="J10" s="2741"/>
      <c r="K10" s="1366"/>
      <c r="L10" s="2714" t="s">
        <v>2858</v>
      </c>
      <c r="M10" s="1080">
        <f>SUMPRODUCT((区片价!B290:B316=I2)*(区片价!C3:F3=E2)*(区片价!C290:F316))</f>
        <v>0</v>
      </c>
      <c r="N10" s="1082">
        <f>SUMPRODUCT((因素修正幅度!B290:B316=I2)*(因素修正幅度!C3:F3=E2)*(因素修正幅度!C290:F316))</f>
        <v>0</v>
      </c>
      <c r="O10" s="1366"/>
      <c r="P10" s="1366"/>
      <c r="Q10" s="1366"/>
      <c r="R10" s="1598">
        <v>9</v>
      </c>
      <c r="S10" s="1599"/>
      <c r="T10" s="1598">
        <f t="shared" ca="1" si="0"/>
        <v>0</v>
      </c>
      <c r="U10" s="1599"/>
      <c r="V10" s="1598">
        <f t="shared" ca="1" si="1"/>
        <v>0</v>
      </c>
      <c r="W10" s="363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641"/>
      <c r="B11" s="2742" t="s">
        <v>2859</v>
      </c>
      <c r="C11" s="922">
        <f>C10/4</f>
        <v>0</v>
      </c>
      <c r="D11" s="922" t="s">
        <v>142</v>
      </c>
      <c r="E11" s="922">
        <f>ROUND(C11/E7,4)</f>
        <v>0</v>
      </c>
      <c r="F11" s="2743" t="s">
        <v>2860</v>
      </c>
      <c r="G11" s="2744"/>
      <c r="H11" s="2744"/>
      <c r="I11" s="2744"/>
      <c r="J11" s="2745"/>
      <c r="K11" s="1366"/>
      <c r="L11" s="2714" t="s">
        <v>2861</v>
      </c>
      <c r="M11" s="1080">
        <f>SUMPRODUCT((区片价!B317:B337=I2)*(区片价!C3:F3=E2)*(区片价!C317:F337))</f>
        <v>0</v>
      </c>
      <c r="N11" s="1082">
        <f>SUMPRODUCT((因素修正幅度!B317:B337=I2)*(因素修正幅度!C3:F3=E2)*(因素修正幅度!C317:F337))</f>
        <v>0</v>
      </c>
      <c r="O11" s="1366"/>
      <c r="P11" s="1366"/>
      <c r="Q11" s="1366"/>
      <c r="R11" s="1598">
        <v>10</v>
      </c>
      <c r="S11" s="1599"/>
      <c r="T11" s="1598">
        <f t="shared" ca="1" si="0"/>
        <v>0</v>
      </c>
      <c r="U11" s="1599"/>
      <c r="V11" s="1598">
        <f t="shared" ca="1" si="1"/>
        <v>0</v>
      </c>
      <c r="W11" s="3636" t="s">
        <v>2862</v>
      </c>
      <c r="X11" s="1610" t="s">
        <v>2863</v>
      </c>
      <c r="Y11" s="1611">
        <f>$G$3</f>
        <v>3</v>
      </c>
      <c r="Z11" s="1611">
        <f t="shared" ref="Z11:AJ11" si="3">$G$3</f>
        <v>3</v>
      </c>
      <c r="AA11" s="1611">
        <f t="shared" si="3"/>
        <v>3</v>
      </c>
      <c r="AB11" s="1611">
        <f t="shared" si="3"/>
        <v>3</v>
      </c>
      <c r="AC11" s="1611">
        <f t="shared" si="3"/>
        <v>3</v>
      </c>
      <c r="AD11" s="1611">
        <f t="shared" si="3"/>
        <v>3</v>
      </c>
      <c r="AE11" s="1611">
        <f t="shared" si="3"/>
        <v>3</v>
      </c>
      <c r="AF11" s="1611">
        <f t="shared" si="3"/>
        <v>3</v>
      </c>
      <c r="AG11" s="1611">
        <f t="shared" si="3"/>
        <v>3</v>
      </c>
      <c r="AH11" s="1611">
        <f t="shared" si="3"/>
        <v>3</v>
      </c>
      <c r="AI11" s="1611">
        <f t="shared" si="3"/>
        <v>3</v>
      </c>
      <c r="AJ11" s="1611">
        <f t="shared" si="3"/>
        <v>3</v>
      </c>
    </row>
    <row r="12" spans="1:36" ht="25.5" thickBot="1">
      <c r="A12" s="3621" t="s">
        <v>2864</v>
      </c>
      <c r="B12" s="2746" t="s">
        <v>2865</v>
      </c>
      <c r="C12" s="918">
        <f>ROUND(C15*D15*E15*F15*G15*H15*I15*J15,4)</f>
        <v>1</v>
      </c>
      <c r="D12" s="2747" t="s">
        <v>2866</v>
      </c>
      <c r="E12" s="2748"/>
      <c r="F12" s="2748"/>
      <c r="G12" s="2749"/>
      <c r="H12" s="2749"/>
      <c r="I12" s="2749"/>
      <c r="J12" s="2750"/>
      <c r="K12" s="1366"/>
      <c r="L12" s="2751" t="s">
        <v>2867</v>
      </c>
      <c r="M12" s="1081">
        <f>SUMPRODUCT((区片价!B338:B344=I2)*(区片价!C3:F3=E2)*(区片价!C338:F344))</f>
        <v>0</v>
      </c>
      <c r="N12" s="1082">
        <f>SUMPRODUCT((因素修正幅度!B338:B344=I2)*(因素修正幅度!C3:F3=E2)*(因素修正幅度!C338:F344))</f>
        <v>0</v>
      </c>
      <c r="O12" s="1366"/>
      <c r="P12" s="1366"/>
      <c r="Q12" s="1366"/>
      <c r="R12" s="1598">
        <v>11</v>
      </c>
      <c r="S12" s="1599"/>
      <c r="T12" s="1598">
        <f t="shared" ca="1" si="0"/>
        <v>0</v>
      </c>
      <c r="U12" s="1599"/>
      <c r="V12" s="1598">
        <f t="shared" ca="1" si="1"/>
        <v>0</v>
      </c>
      <c r="W12" s="3636"/>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642"/>
      <c r="B13" s="2752" t="s">
        <v>2869</v>
      </c>
      <c r="C13" s="2753" t="s">
        <v>2870</v>
      </c>
      <c r="D13" s="1796" t="s">
        <v>2871</v>
      </c>
      <c r="E13" s="1796" t="s">
        <v>2872</v>
      </c>
      <c r="F13" s="30" t="s">
        <v>2873</v>
      </c>
      <c r="G13" s="2754" t="s">
        <v>2874</v>
      </c>
      <c r="H13" s="2754" t="s">
        <v>2874</v>
      </c>
      <c r="I13" s="2754" t="s">
        <v>2874</v>
      </c>
      <c r="J13" s="2755" t="s">
        <v>2874</v>
      </c>
      <c r="K13" s="1366"/>
      <c r="L13" s="1366"/>
      <c r="M13" s="1366"/>
      <c r="N13" s="1366"/>
      <c r="O13" s="1366"/>
      <c r="P13" s="1366"/>
      <c r="Q13" s="1366"/>
      <c r="R13" s="1598">
        <v>12</v>
      </c>
      <c r="S13" s="1599"/>
      <c r="T13" s="1598">
        <f t="shared" ca="1" si="0"/>
        <v>0</v>
      </c>
      <c r="U13" s="1599"/>
      <c r="V13" s="1598">
        <f t="shared" ca="1" si="1"/>
        <v>0</v>
      </c>
      <c r="W13" s="3636"/>
      <c r="X13" s="1612"/>
      <c r="Y13" s="1609">
        <f>(-0.163*(Y12^2)-0.59*Y12+7617)*(10^(-4))/Y11</f>
        <v>0.25390000000000001</v>
      </c>
      <c r="Z13" s="1609">
        <f t="shared" ref="Z13:AJ13" si="5">(-0.163*(Z12^2)-0.59*Z12+7617)*(10^(-4))/Z11</f>
        <v>0.25390000000000001</v>
      </c>
      <c r="AA13" s="1609">
        <f t="shared" si="5"/>
        <v>0.25390000000000001</v>
      </c>
      <c r="AB13" s="1609">
        <f t="shared" si="5"/>
        <v>0.25390000000000001</v>
      </c>
      <c r="AC13" s="1609">
        <f t="shared" si="5"/>
        <v>0.25390000000000001</v>
      </c>
      <c r="AD13" s="1609">
        <f t="shared" si="5"/>
        <v>0.25390000000000001</v>
      </c>
      <c r="AE13" s="1609">
        <f t="shared" si="5"/>
        <v>0.25390000000000001</v>
      </c>
      <c r="AF13" s="1609">
        <f t="shared" si="5"/>
        <v>0.25390000000000001</v>
      </c>
      <c r="AG13" s="1609">
        <f t="shared" si="5"/>
        <v>0.25390000000000001</v>
      </c>
      <c r="AH13" s="1609">
        <f t="shared" si="5"/>
        <v>0.25390000000000001</v>
      </c>
      <c r="AI13" s="1609">
        <f t="shared" si="5"/>
        <v>0.25390000000000001</v>
      </c>
      <c r="AJ13" s="1609">
        <f t="shared" si="5"/>
        <v>0.25390000000000001</v>
      </c>
    </row>
    <row r="14" spans="1:36" ht="15">
      <c r="A14" s="3642"/>
      <c r="B14" s="2756"/>
      <c r="C14" s="2757"/>
      <c r="D14" s="2758"/>
      <c r="E14" s="2758"/>
      <c r="F14" s="2759"/>
      <c r="G14" s="2760" t="s">
        <v>2875</v>
      </c>
      <c r="H14" s="2761"/>
      <c r="I14" s="2762"/>
      <c r="J14" s="2763"/>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643"/>
      <c r="B15" s="2764" t="s">
        <v>2876</v>
      </c>
      <c r="C15" s="228">
        <f>IF(C14="有",1.1,1)</f>
        <v>1</v>
      </c>
      <c r="D15" s="228">
        <f>IF(D14="有",1.1,1)</f>
        <v>1</v>
      </c>
      <c r="E15" s="228">
        <f>IF(E14="有",1.1,1)</f>
        <v>1</v>
      </c>
      <c r="F15" s="228">
        <f>IF(F14="500米范围内",1.2,IF(F14="500-1000米",1.1,1))</f>
        <v>1</v>
      </c>
      <c r="G15" s="945">
        <v>1</v>
      </c>
      <c r="H15" s="945">
        <v>1</v>
      </c>
      <c r="I15" s="945">
        <v>1</v>
      </c>
      <c r="J15" s="946">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621" t="s">
        <v>2881</v>
      </c>
      <c r="B16" s="2733" t="s">
        <v>2882</v>
      </c>
      <c r="C16" s="2919">
        <f>ROUND(IF(F17="与级别开发程度一致",0,(G17-E17)/C17),0)</f>
        <v>-16</v>
      </c>
      <c r="D16" s="3632" t="s">
        <v>2886</v>
      </c>
      <c r="E16" s="3633"/>
      <c r="F16" s="3632" t="s">
        <v>2883</v>
      </c>
      <c r="G16" s="3633"/>
      <c r="H16" s="2767" t="s">
        <v>3237</v>
      </c>
      <c r="I16" s="2767" t="s">
        <v>3238</v>
      </c>
      <c r="J16" s="2923" t="s">
        <v>3239</v>
      </c>
      <c r="K16" s="2767" t="s">
        <v>3240</v>
      </c>
      <c r="L16" s="2767" t="s">
        <v>3241</v>
      </c>
      <c r="M16" s="2767" t="s">
        <v>3242</v>
      </c>
      <c r="N16" s="2767" t="s">
        <v>3243</v>
      </c>
      <c r="O16" s="2768"/>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622"/>
      <c r="B17" s="2930" t="s">
        <v>2885</v>
      </c>
      <c r="C17" s="2931">
        <f>SUMPRODUCT((修正!A2:A5=E2)*(修正!B1:M1=G2)*(修正!B2:M5))</f>
        <v>2.5</v>
      </c>
      <c r="D17" s="228" t="str">
        <f>IF(OR(G2="八级",G2="九级",G2="十级",G2="十一级",G2="十二级"),"五通一平","七通一平")</f>
        <v>七通一平</v>
      </c>
      <c r="E17" s="2920">
        <f>SUMPRODUCT((修正!B1:M1=G2)*(修正!B15:M15))</f>
        <v>300</v>
      </c>
      <c r="F17" s="2921" t="s">
        <v>3244</v>
      </c>
      <c r="G17" s="2922">
        <f>SUM(H17:O17)</f>
        <v>260</v>
      </c>
      <c r="H17" s="2931">
        <f>SUMPRODUCT((七通一平=H16)*(修正!B1:M1=G2)*(修正!B6:M14))</f>
        <v>65</v>
      </c>
      <c r="I17" s="2931">
        <f>SUMPRODUCT((七通一平=I16)*(修正!B1:M1=G2)*(修正!B6:M14))</f>
        <v>55</v>
      </c>
      <c r="J17" s="2932">
        <f>SUMPRODUCT((七通一平=J16)*(修正!B1:M1=G2)*(修正!B6:M14))</f>
        <v>15</v>
      </c>
      <c r="K17" s="2931">
        <f>SUMPRODUCT((七通一平=K16)*(修正!B1:M1=G2)*(修正!B6:M14))</f>
        <v>25</v>
      </c>
      <c r="L17" s="2931">
        <f>SUMPRODUCT((七通一平=L16)*(修正!B1:M1=G2)*(修正!B6:M14))</f>
        <v>35</v>
      </c>
      <c r="M17" s="2931">
        <f>SUMPRODUCT((七通一平=M16)*(修正!B1:M1=G2)*(修正!B6:M14))</f>
        <v>50</v>
      </c>
      <c r="N17" s="2931">
        <f>SUMPRODUCT((七通一平=N16)*(修正!B1:M1=G2)*(修正!B6:M14))</f>
        <v>15</v>
      </c>
      <c r="O17" s="2933">
        <f>SUMPRODUCT((七通一平=O16)*(修正!B1:M1=G2)*(修正!B6:M14))</f>
        <v>0</v>
      </c>
      <c r="Q17" s="1366"/>
      <c r="R17" s="1366"/>
      <c r="S17" s="1366"/>
      <c r="T17" s="1366"/>
      <c r="U17" s="1366"/>
      <c r="V17" s="1366"/>
      <c r="W17" s="1366"/>
      <c r="X17" s="1366"/>
      <c r="Y17" s="1366"/>
      <c r="Z17" s="1367"/>
      <c r="AE17" s="2771"/>
      <c r="AF17" s="2771"/>
      <c r="AG17" s="2708"/>
      <c r="AH17" s="2708"/>
      <c r="AI17" s="2708"/>
      <c r="AJ17" s="2708"/>
    </row>
    <row r="18" spans="1:37" s="2726" customFormat="1" ht="15.75" thickBot="1">
      <c r="A18" s="2924" t="s">
        <v>808</v>
      </c>
      <c r="B18" s="2925" t="s">
        <v>2888</v>
      </c>
      <c r="C18" s="2926">
        <f>SUMIF(修正!C18:C39,E3,修正!E18:E39)</f>
        <v>1</v>
      </c>
      <c r="D18" s="2927"/>
      <c r="E18" s="2928"/>
      <c r="F18" s="2928"/>
      <c r="G18" s="2928"/>
      <c r="H18" s="2928"/>
      <c r="I18" s="2928"/>
      <c r="J18" s="2929"/>
      <c r="K18" s="1373"/>
      <c r="O18" s="1371"/>
      <c r="P18" s="1371"/>
      <c r="Q18" s="1372"/>
      <c r="R18" s="1372"/>
      <c r="S18" s="1372"/>
      <c r="T18" s="1367"/>
      <c r="U18" s="1367"/>
      <c r="V18" s="1367"/>
      <c r="W18" s="1366"/>
      <c r="X18" s="1366"/>
      <c r="Y18" s="1366"/>
      <c r="Z18" s="1373"/>
      <c r="AA18" s="1374"/>
      <c r="AB18" s="1374"/>
      <c r="AC18" s="1374"/>
      <c r="AD18" s="1374"/>
      <c r="AE18" s="1368"/>
      <c r="AF18" s="1368"/>
      <c r="AG18" s="2776"/>
      <c r="AH18" s="2776"/>
      <c r="AI18" s="2776"/>
    </row>
    <row r="19" spans="1:37" s="2726" customFormat="1" ht="29.25" thickBot="1">
      <c r="A19" s="2772" t="s">
        <v>809</v>
      </c>
      <c r="B19" s="2773" t="s">
        <v>2889</v>
      </c>
      <c r="C19" s="923">
        <f>ROUND(IF(H19="按公示增长率计算",SUMPRODUCT((地价!A3:A30=YEAR(G19)&amp;"-"&amp;ROUNDUP(MONTH(G19)/3,0))*(地价!X2:AB2=E2)*(地价!X3:AB30)),IF(H19="地价指数",M20/M19,(1+I19)^O19)),4)</f>
        <v>1.3577999999999999</v>
      </c>
      <c r="D19" s="2777" t="s">
        <v>2890</v>
      </c>
      <c r="E19" s="924">
        <v>41640</v>
      </c>
      <c r="F19" s="2777" t="s">
        <v>2891</v>
      </c>
      <c r="G19" s="925">
        <f>'数据-取费表'!B2</f>
        <v>44011</v>
      </c>
      <c r="H19" s="2778" t="s">
        <v>3245</v>
      </c>
      <c r="I19" s="926" t="str">
        <f>IF(H19="季度增幅（自定义）",SUMIF(N21:N24,E2,O21:O24),"")</f>
        <v/>
      </c>
      <c r="J19" s="2775"/>
      <c r="K19" s="1373"/>
      <c r="L19" s="2779" t="s">
        <v>2892</v>
      </c>
      <c r="M19" s="1730">
        <f>ROUND(SUMIF(地价!B2:F2,E2,地价!B30:F30),0)</f>
        <v>258</v>
      </c>
      <c r="N19" s="2780" t="s">
        <v>2893</v>
      </c>
      <c r="O19" s="927">
        <f>ROUNDDOWN(DATEDIF(E19,G19,"M")/3,0)</f>
        <v>25</v>
      </c>
      <c r="P19" s="1370"/>
      <c r="Q19" s="1372"/>
      <c r="R19" s="1372"/>
      <c r="S19" s="1372"/>
      <c r="T19" s="1367">
        <f>S3/S2</f>
        <v>0.71780557195770034</v>
      </c>
      <c r="U19" s="1367"/>
      <c r="V19" s="1367"/>
      <c r="W19" s="1366"/>
      <c r="X19" s="1366"/>
      <c r="Y19" s="1366"/>
      <c r="Z19" s="1373"/>
      <c r="AA19" s="1374"/>
      <c r="AB19" s="1374"/>
      <c r="AC19" s="1374"/>
      <c r="AD19" s="1374"/>
      <c r="AE19" s="1374"/>
      <c r="AF19" s="2781"/>
      <c r="AG19" s="2782"/>
      <c r="AH19" s="2776"/>
      <c r="AI19" s="2783"/>
      <c r="AJ19" s="2783"/>
      <c r="AK19" s="2783"/>
    </row>
    <row r="20" spans="1:37" s="2726" customFormat="1" ht="27.75" thickBot="1">
      <c r="A20" s="2784" t="s">
        <v>810</v>
      </c>
      <c r="B20" s="2785" t="s">
        <v>2894</v>
      </c>
      <c r="C20" s="928">
        <f ca="1">ROUND(POWER(1+G20,J20-I20)*(POWER(1+G20,I20)-1)/(POWER(1+G20,J20)-1),4)</f>
        <v>1</v>
      </c>
      <c r="D20" s="2786" t="s">
        <v>2895</v>
      </c>
      <c r="E20" s="1756">
        <f ca="1">存贷款利率!D4/100</f>
        <v>4.3499999999999997E-2</v>
      </c>
      <c r="F20" s="2786" t="s">
        <v>2887</v>
      </c>
      <c r="G20" s="933">
        <f ca="1">SUMIF(M26:P26,E2,M28:P28)</f>
        <v>5.3999999999999999E-2</v>
      </c>
      <c r="H20" s="2786" t="s">
        <v>2896</v>
      </c>
      <c r="I20" s="934">
        <f>SUMIF('数据-取费表'!C6:C15,E2,'数据-取费表'!F6:F15)/COUNTIF('数据-取费表'!C6:C15,E2)</f>
        <v>40</v>
      </c>
      <c r="J20" s="935">
        <f>IF(E2="住宅",70,IF(E2="商业",40,50))</f>
        <v>40</v>
      </c>
      <c r="K20" s="1373"/>
      <c r="L20" s="2787" t="s">
        <v>2897</v>
      </c>
      <c r="M20" s="1731">
        <f>ROUND(SUMPRODUCT((地价!A4:A30=YEAR(G19)&amp;"-"&amp;ROUNDUP(MONTH(G19)/3,0))*(地价!B2:F2=E2)*(地价!B4:F30)),0)</f>
        <v>350</v>
      </c>
      <c r="N20" s="2788" t="s">
        <v>2898</v>
      </c>
      <c r="O20" s="2789" t="s">
        <v>2899</v>
      </c>
      <c r="P20" s="2790" t="s">
        <v>2900</v>
      </c>
      <c r="R20" s="1372"/>
      <c r="S20" s="1372"/>
      <c r="T20" s="1367">
        <f>S4/S2</f>
        <v>0.57909710666165659</v>
      </c>
      <c r="U20" s="1367"/>
      <c r="V20" s="1367"/>
      <c r="W20" s="1366"/>
      <c r="X20" s="1366"/>
      <c r="Y20" s="1366"/>
      <c r="Z20" s="1373"/>
      <c r="AA20" s="1374"/>
      <c r="AB20" s="1374"/>
      <c r="AC20" s="1374"/>
      <c r="AD20" s="1374"/>
      <c r="AE20" s="1374"/>
      <c r="AF20" s="1374"/>
    </row>
    <row r="21" spans="1:37" s="2726" customFormat="1" ht="15">
      <c r="A21" s="2791" t="s">
        <v>811</v>
      </c>
      <c r="B21" s="2792" t="s">
        <v>3256</v>
      </c>
      <c r="C21" s="936">
        <f>IF(B21="容积率修正",IF(G3&lt;=10,D22,J22),C23)</f>
        <v>0.94089999999999996</v>
      </c>
      <c r="D21" s="2793"/>
      <c r="E21" s="2793"/>
      <c r="F21" s="2793"/>
      <c r="G21" s="2793"/>
      <c r="H21" s="2793"/>
      <c r="I21" s="2793"/>
      <c r="J21" s="2794"/>
      <c r="K21" s="1373"/>
      <c r="N21" s="2795" t="s">
        <v>2901</v>
      </c>
      <c r="O21" s="1557"/>
      <c r="P21" s="1558">
        <f>SUMPRODUCT((地价!A3:A30=YEAR(G19)&amp;"-"&amp;ROUNDUP(MONTH(G19)/3,0))*(地价!AD2:AH2=N21)*(地价!AD3:AH30))</f>
        <v>1.2800000000000001E-2</v>
      </c>
      <c r="R21" s="1372"/>
      <c r="S21" s="1372"/>
      <c r="T21" s="1367">
        <f>S5/S2</f>
        <v>0.46465188684309411</v>
      </c>
      <c r="U21" s="1367"/>
      <c r="V21" s="1367"/>
      <c r="W21" s="1366"/>
      <c r="X21" s="1366"/>
      <c r="Y21" s="1366"/>
      <c r="Z21" s="1373"/>
      <c r="AA21" s="1374"/>
      <c r="AB21" s="1374"/>
      <c r="AC21" s="1374"/>
      <c r="AD21" s="1374"/>
      <c r="AE21" s="1374"/>
      <c r="AF21" s="1374"/>
    </row>
    <row r="22" spans="1:37" s="2726" customFormat="1" ht="14.25">
      <c r="A22" s="2652" t="s">
        <v>2902</v>
      </c>
      <c r="B22" s="2796" t="s">
        <v>2903</v>
      </c>
      <c r="C22" s="1798" t="s">
        <v>2904</v>
      </c>
      <c r="D22" s="1798">
        <f>IF(E22=G22,F22,IF(G3&lt;=10,ROUND(F22+(H22-F22)*(G3-E22)/(G22-E22),4),"——"))</f>
        <v>0.94089999999999996</v>
      </c>
      <c r="E22" s="915">
        <f>ROUNDDOWN(G3,1)</f>
        <v>3</v>
      </c>
      <c r="F22" s="17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915">
        <f>ROUNDUP(G3,1)</f>
        <v>3</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0.94089999999999996</v>
      </c>
      <c r="I22" s="1798" t="s">
        <v>155</v>
      </c>
      <c r="J22" s="937" t="str">
        <f>IF(G3&gt;10,D113,"——")</f>
        <v>——</v>
      </c>
      <c r="K22" s="1373"/>
      <c r="N22" s="2795" t="s">
        <v>2905</v>
      </c>
      <c r="O22" s="1557"/>
      <c r="P22" s="1558">
        <f>SUMPRODUCT((地价!A3:A30=YEAR(G19)&amp;"-"&amp;ROUNDUP(MONTH(G19)/3,0))*(地价!AD2:AH2=N22)*(地价!AD3:AH30))</f>
        <v>1.2800000000000001E-2</v>
      </c>
      <c r="R22" s="1372"/>
      <c r="S22" s="1372"/>
      <c r="T22" s="1367">
        <f>S6/S2</f>
        <v>0.39567341242149334</v>
      </c>
      <c r="U22" s="1367"/>
      <c r="V22" s="1367"/>
      <c r="W22" s="1366"/>
      <c r="X22" s="1366"/>
      <c r="Y22" s="1366"/>
      <c r="Z22" s="1373"/>
      <c r="AA22" s="1374"/>
      <c r="AB22" s="1374"/>
      <c r="AC22" s="1374"/>
      <c r="AD22" s="1374"/>
      <c r="AE22" s="1374"/>
      <c r="AF22" s="1374"/>
    </row>
    <row r="23" spans="1:37" ht="27.75" thickBot="1">
      <c r="A23" s="2652" t="s">
        <v>2906</v>
      </c>
      <c r="B23" s="2797" t="s">
        <v>2907</v>
      </c>
      <c r="C23" s="1012">
        <f>ROUND(IF(G3&gt;1,IF(I3&lt;7,SUMPRODUCT((B93:B98=I3)*(C92:N92=G2)*(C93:N98)),SUMIF(C92:N92,G2,C100:N100)),IF(I3&lt;7,SUMPRODUCT((B102:B107=I3)*(C92:N92=G2)*(C102:N107)),SUMIF(C92:N92,G2,C109:N109))),4)</f>
        <v>1.8629</v>
      </c>
      <c r="D23" s="2761"/>
      <c r="E23" s="2761"/>
      <c r="F23" s="2798"/>
      <c r="G23" s="2799"/>
      <c r="H23" s="2800"/>
      <c r="I23" s="2801"/>
      <c r="J23" s="2802"/>
      <c r="K23" s="1366"/>
      <c r="N23" s="2795" t="s">
        <v>2908</v>
      </c>
      <c r="O23" s="1557"/>
      <c r="P23" s="1558">
        <f>SUMPRODUCT((地价!A3:A30=YEAR(G19)&amp;"-"&amp;ROUNDUP(MONTH(G19)/3,0))*(地价!AD2:AH2=N23)*(地价!AD3:AH30))</f>
        <v>2.0299999999999999E-2</v>
      </c>
      <c r="R23" s="1372"/>
      <c r="S23" s="1372"/>
      <c r="T23" s="1367"/>
      <c r="U23" s="1367"/>
      <c r="V23" s="1367"/>
      <c r="W23" s="1366"/>
      <c r="X23" s="1366"/>
      <c r="Y23" s="1366"/>
      <c r="Z23" s="1373"/>
      <c r="AA23" s="1374"/>
      <c r="AB23" s="1374"/>
      <c r="AC23" s="1374"/>
      <c r="AD23" s="1374"/>
      <c r="AK23" s="2776"/>
    </row>
    <row r="24" spans="1:37" s="2726" customFormat="1" ht="15.75" thickBot="1">
      <c r="A24" s="2784" t="s">
        <v>812</v>
      </c>
      <c r="B24" s="2773" t="s">
        <v>2909</v>
      </c>
      <c r="C24" s="923">
        <f>SUMIF(A45:A88,E2,B45:B88)</f>
        <v>0.98499999999999999</v>
      </c>
      <c r="D24" s="2774"/>
      <c r="E24" s="2803"/>
      <c r="F24" s="2803"/>
      <c r="G24" s="2803"/>
      <c r="H24" s="2803"/>
      <c r="I24" s="2803"/>
      <c r="J24" s="2804"/>
      <c r="K24" s="1373"/>
      <c r="N24" s="2805" t="s">
        <v>2910</v>
      </c>
      <c r="O24" s="1559"/>
      <c r="P24" s="1560">
        <f>SUMPRODUCT((地价!A3:A30=YEAR(G19)&amp;"-"&amp;ROUNDUP(MONTH(G19)/3,0))*(地价!AD2:AH2=N24)*(地价!AD3:AH30))</f>
        <v>1.3100000000000001E-2</v>
      </c>
      <c r="R24" s="1372"/>
      <c r="S24" s="1372"/>
      <c r="T24" s="1367"/>
      <c r="U24" s="1367"/>
      <c r="V24" s="1367"/>
      <c r="W24" s="1366"/>
      <c r="X24" s="1366"/>
      <c r="Y24" s="1366"/>
      <c r="Z24" s="1373"/>
      <c r="AA24" s="1374"/>
      <c r="AB24" s="1374"/>
      <c r="AC24" s="1374"/>
      <c r="AD24" s="1374"/>
      <c r="AE24" s="1374"/>
      <c r="AF24" s="1374"/>
    </row>
    <row r="25" spans="1:37" ht="15.75" thickBot="1">
      <c r="A25" s="2784" t="s">
        <v>813</v>
      </c>
      <c r="B25" s="2806" t="s">
        <v>2911</v>
      </c>
      <c r="C25" s="929"/>
      <c r="D25" s="2736"/>
      <c r="E25" s="2736"/>
      <c r="F25" s="2807"/>
      <c r="G25" s="2736"/>
      <c r="H25" s="2736"/>
      <c r="I25" s="2736"/>
      <c r="J25" s="2737"/>
      <c r="K25" s="1366"/>
      <c r="N25" s="2808" t="s">
        <v>2912</v>
      </c>
      <c r="O25" s="1561"/>
      <c r="P25" s="1560">
        <f>SUMPRODUCT((地价!A3:A30=YEAR(G19)&amp;"-"&amp;ROUNDUP(MONTH(G19)/3,0))*(地价!AD2:AH2=N25)*(地价!AD3:AH30))</f>
        <v>1.8499999999999999E-2</v>
      </c>
      <c r="R25" s="1372"/>
      <c r="S25" s="1372"/>
      <c r="T25" s="1367"/>
      <c r="U25" s="1367"/>
      <c r="V25" s="1367"/>
      <c r="W25" s="1366"/>
      <c r="X25" s="1366"/>
      <c r="Y25" s="1366"/>
      <c r="Z25" s="1373"/>
      <c r="AA25" s="1374"/>
      <c r="AB25" s="1374"/>
      <c r="AC25" s="1374"/>
      <c r="AD25" s="1374"/>
    </row>
    <row r="26" spans="1:37" ht="15">
      <c r="A26" s="2809"/>
      <c r="B26" s="2796" t="s">
        <v>2913</v>
      </c>
      <c r="C26" s="205">
        <f ca="1">E29+SUM(E33:E39)</f>
        <v>124693</v>
      </c>
      <c r="D26" s="2810"/>
      <c r="E26" s="2761"/>
      <c r="F26" s="2811"/>
      <c r="G26" s="2761"/>
      <c r="H26" s="2761"/>
      <c r="I26" s="2761"/>
      <c r="J26" s="2812"/>
      <c r="K26" s="1366"/>
      <c r="L26" s="2765" t="s">
        <v>2813</v>
      </c>
      <c r="M26" s="919" t="s">
        <v>2877</v>
      </c>
      <c r="N26" s="919" t="s">
        <v>2878</v>
      </c>
      <c r="O26" s="919" t="s">
        <v>2879</v>
      </c>
      <c r="P26" s="2766" t="s">
        <v>2880</v>
      </c>
      <c r="R26" s="1372"/>
      <c r="S26" s="1372"/>
      <c r="T26" s="1367"/>
      <c r="U26" s="1367"/>
      <c r="V26" s="1367"/>
      <c r="W26" s="1366"/>
      <c r="X26" s="1366"/>
      <c r="Y26" s="1366"/>
      <c r="Z26" s="1373"/>
      <c r="AA26" s="1374"/>
      <c r="AB26" s="1374"/>
      <c r="AC26" s="1374"/>
      <c r="AD26" s="1374"/>
    </row>
    <row r="27" spans="1:37" ht="15.75" thickBot="1">
      <c r="A27" s="2809"/>
      <c r="B27" s="2813" t="s">
        <v>2914</v>
      </c>
      <c r="C27" s="930">
        <f ca="1">E30+SUM(I33:I39)</f>
        <v>20589</v>
      </c>
      <c r="D27" s="2814"/>
      <c r="E27" s="2815"/>
      <c r="F27" s="2816"/>
      <c r="G27" s="2815"/>
      <c r="H27" s="2815"/>
      <c r="I27" s="2815"/>
      <c r="J27" s="2817"/>
      <c r="K27" s="1366"/>
      <c r="L27" s="2769" t="s">
        <v>2884</v>
      </c>
      <c r="M27" s="921">
        <v>0.25</v>
      </c>
      <c r="N27" s="921">
        <v>0.2</v>
      </c>
      <c r="O27" s="921">
        <v>0.15</v>
      </c>
      <c r="P27" s="1365">
        <v>0.1</v>
      </c>
      <c r="Q27" s="1372"/>
      <c r="R27" s="1372"/>
      <c r="S27" s="1372"/>
      <c r="T27" s="1367"/>
      <c r="U27" s="1367"/>
      <c r="V27" s="1367"/>
      <c r="W27" s="1366"/>
      <c r="X27" s="1366"/>
      <c r="Y27" s="1366"/>
      <c r="Z27" s="1373"/>
      <c r="AA27" s="1374"/>
      <c r="AB27" s="1374"/>
      <c r="AC27" s="1374"/>
      <c r="AD27" s="1374"/>
    </row>
    <row r="28" spans="1:37" ht="15.75" thickBot="1">
      <c r="A28" s="2818"/>
      <c r="B28" s="2819" t="s">
        <v>2915</v>
      </c>
      <c r="C28" s="2820" t="s">
        <v>2916</v>
      </c>
      <c r="D28" s="2820" t="s">
        <v>2917</v>
      </c>
      <c r="E28" s="2821" t="s">
        <v>2918</v>
      </c>
      <c r="F28" s="2822"/>
      <c r="G28" s="2749"/>
      <c r="H28" s="2749"/>
      <c r="I28" s="2749"/>
      <c r="J28" s="2750"/>
      <c r="K28" s="1366"/>
      <c r="L28" s="2770" t="s">
        <v>2887</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3"/>
      <c r="B29" s="2824" t="s">
        <v>2919</v>
      </c>
      <c r="C29" s="205">
        <f ca="1">ROUND(C5*C18*C19*C20*C21*C24,0)</f>
        <v>13545</v>
      </c>
      <c r="D29" s="2825">
        <f>'数据-汇总表'!F19</f>
        <v>31258.720000000016</v>
      </c>
      <c r="E29" s="941">
        <f ca="1">ROUND(C29*D29/10000,0)</f>
        <v>42340</v>
      </c>
      <c r="F29" s="2826" t="s">
        <v>2920</v>
      </c>
      <c r="G29" s="2827"/>
      <c r="H29" s="2827"/>
      <c r="I29" s="2827"/>
      <c r="J29" s="2828"/>
      <c r="K29" s="1366"/>
      <c r="L29" s="1366"/>
      <c r="M29" s="1366"/>
      <c r="N29" s="1366"/>
      <c r="O29" s="1371"/>
      <c r="P29" s="1371"/>
      <c r="Q29" s="1372"/>
      <c r="R29" s="1372"/>
      <c r="S29" s="1372"/>
      <c r="T29" s="1367"/>
      <c r="U29" s="1367"/>
      <c r="V29" s="1367"/>
      <c r="W29" s="1366"/>
      <c r="X29" s="1366"/>
      <c r="Y29" s="1366"/>
      <c r="Z29" s="1373"/>
      <c r="AA29" s="1374"/>
      <c r="AB29" s="1374"/>
      <c r="AC29" s="1374"/>
      <c r="AD29" s="1374"/>
      <c r="AE29" s="2771"/>
      <c r="AF29" s="2771"/>
      <c r="AG29" s="2708"/>
      <c r="AH29" s="2708"/>
      <c r="AI29" s="2708"/>
      <c r="AJ29" s="2708"/>
    </row>
    <row r="30" spans="1:37" ht="25.5" thickBot="1">
      <c r="A30" s="2829"/>
      <c r="B30" s="2830" t="s">
        <v>2921</v>
      </c>
      <c r="C30" s="228">
        <f ca="1">ROUND(IF(E2="工业",C29*M39,C29*M38),0)</f>
        <v>3386</v>
      </c>
      <c r="D30" s="2831"/>
      <c r="E30" s="941">
        <f ca="1">ROUND(C30*D30/10000,0)</f>
        <v>0</v>
      </c>
      <c r="F30" s="2832" t="s">
        <v>2922</v>
      </c>
      <c r="G30" s="2833"/>
      <c r="H30" s="2833"/>
      <c r="I30" s="2833"/>
      <c r="J30" s="2834"/>
      <c r="K30" s="1366"/>
      <c r="L30" s="1366">
        <f>D29+D33+D34</f>
        <v>135636.54000000004</v>
      </c>
      <c r="M30" s="1366"/>
      <c r="N30" s="1366"/>
      <c r="O30" s="1371"/>
      <c r="P30" s="1371"/>
      <c r="Q30" s="1372"/>
      <c r="R30" s="1372"/>
      <c r="S30" s="1372"/>
      <c r="T30" s="1367"/>
      <c r="U30" s="1367"/>
      <c r="V30" s="1367"/>
      <c r="W30" s="1366"/>
      <c r="X30" s="1366"/>
      <c r="Y30" s="1366"/>
      <c r="Z30" s="1373"/>
      <c r="AA30" s="1374"/>
      <c r="AB30" s="1374"/>
      <c r="AC30" s="1374"/>
      <c r="AD30" s="1374"/>
      <c r="AE30" s="2771"/>
      <c r="AF30" s="2771"/>
      <c r="AG30" s="2708"/>
      <c r="AH30" s="2708"/>
      <c r="AI30" s="2708"/>
      <c r="AJ30" s="2708"/>
    </row>
    <row r="31" spans="1:37" ht="14.25">
      <c r="A31" s="2835"/>
      <c r="B31" s="2836" t="s">
        <v>2923</v>
      </c>
      <c r="C31" s="2837" t="s">
        <v>2924</v>
      </c>
      <c r="D31" s="2749"/>
      <c r="E31" s="2837"/>
      <c r="F31" s="2837"/>
      <c r="G31" s="2747" t="s">
        <v>2925</v>
      </c>
      <c r="H31" s="2749"/>
      <c r="I31" s="2838"/>
      <c r="J31" s="2750"/>
      <c r="K31" s="1366"/>
      <c r="L31" s="1366">
        <f ca="1">E29+E33+E34</f>
        <v>124693</v>
      </c>
      <c r="M31" s="1366"/>
      <c r="N31" s="1366"/>
      <c r="O31" s="1371"/>
      <c r="P31" s="1371"/>
      <c r="Q31" s="1372"/>
      <c r="R31" s="1372"/>
      <c r="S31" s="1372"/>
      <c r="T31" s="1367"/>
      <c r="U31" s="1367"/>
      <c r="V31" s="1367"/>
      <c r="W31" s="1366"/>
      <c r="X31" s="1366"/>
      <c r="Y31" s="1366"/>
      <c r="Z31" s="1373"/>
      <c r="AA31" s="1374"/>
      <c r="AB31" s="1374"/>
      <c r="AC31" s="1374"/>
      <c r="AD31" s="1374"/>
      <c r="AE31" s="2771"/>
      <c r="AF31" s="2771"/>
      <c r="AG31" s="2708"/>
      <c r="AH31" s="2708"/>
      <c r="AI31" s="2708"/>
      <c r="AJ31" s="2708"/>
    </row>
    <row r="32" spans="1:37" ht="24">
      <c r="A32" s="2823"/>
      <c r="B32" s="2839"/>
      <c r="C32" s="500" t="s">
        <v>2916</v>
      </c>
      <c r="D32" s="497" t="s">
        <v>2917</v>
      </c>
      <c r="E32" s="497" t="s">
        <v>2918</v>
      </c>
      <c r="F32" s="387" t="s">
        <v>2926</v>
      </c>
      <c r="G32" s="2840" t="s">
        <v>2916</v>
      </c>
      <c r="H32" s="2840" t="s">
        <v>2917</v>
      </c>
      <c r="I32" s="2840" t="s">
        <v>2918</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1"/>
      <c r="AF32" s="2771"/>
      <c r="AG32" s="2708"/>
      <c r="AH32" s="2708"/>
      <c r="AI32" s="2708"/>
      <c r="AJ32" s="2708"/>
    </row>
    <row r="33" spans="1:37" ht="36" customHeight="1">
      <c r="A33" s="3629" t="s">
        <v>2927</v>
      </c>
      <c r="B33" s="2841" t="s">
        <v>2928</v>
      </c>
      <c r="C33" s="205">
        <f ca="1">ROUND(D5*C19*C20*C24*F33,0)</f>
        <v>10077</v>
      </c>
      <c r="D33" s="2825">
        <f>'面积汇总表2020-6-30'!T10+'面积汇总表2020-6-30'!T16</f>
        <v>51520.840000000004</v>
      </c>
      <c r="E33" s="199">
        <f ca="1">ROUND(C33*D33/10000,0)</f>
        <v>51918</v>
      </c>
      <c r="F33" s="199">
        <f>SUMIF(修正!A45:A56,G2,修正!B45:B56)</f>
        <v>0.7</v>
      </c>
      <c r="G33" s="199">
        <f t="shared" ref="G33" ca="1" si="6">ROUND(IF(E2="工业",C33*$M$39,C33*$M$38),0)</f>
        <v>2519</v>
      </c>
      <c r="H33" s="199">
        <f>D33</f>
        <v>51520.840000000004</v>
      </c>
      <c r="I33" s="199">
        <f ca="1">ROUND(G33*H33/10000,0)</f>
        <v>12978</v>
      </c>
      <c r="J33" s="2842"/>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630"/>
      <c r="B34" s="2753" t="s">
        <v>2929</v>
      </c>
      <c r="C34" s="205">
        <f ca="1">ROUND(D5*C19*C20*C24*F34,0)</f>
        <v>5758</v>
      </c>
      <c r="D34" s="2825">
        <f>'面积汇总表2020-6-30'!T17</f>
        <v>52856.979999999996</v>
      </c>
      <c r="E34" s="199">
        <f t="shared" ref="E34:E39" ca="1" si="7">ROUND(C34*D34/10000,0)</f>
        <v>30435</v>
      </c>
      <c r="F34" s="199">
        <f>SUMIF(修正!A45:A56,G2,修正!C45:C56)</f>
        <v>0.4</v>
      </c>
      <c r="G34" s="199">
        <f ca="1">ROUND(IF(E2="工业",C34*$M$39,C34*$M$38),0)</f>
        <v>1440</v>
      </c>
      <c r="H34" s="199">
        <f t="shared" ref="H34:H39" si="8">D34</f>
        <v>52856.979999999996</v>
      </c>
      <c r="I34" s="199">
        <f t="shared" ref="I34:I39" ca="1" si="9">ROUND(G34*H34/10000,0)</f>
        <v>7611</v>
      </c>
      <c r="J34" s="2842"/>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630"/>
      <c r="B35" s="2753" t="s">
        <v>2930</v>
      </c>
      <c r="C35" s="205">
        <f ca="1">ROUND(D5*C19*C20*C24*F35,0)</f>
        <v>4031</v>
      </c>
      <c r="D35" s="2825"/>
      <c r="E35" s="199">
        <f t="shared" ca="1" si="7"/>
        <v>0</v>
      </c>
      <c r="F35" s="199">
        <f>SUMIF(修正!A45:A56,G2,修正!D45:D56)</f>
        <v>0.28000000000000003</v>
      </c>
      <c r="G35" s="199">
        <f ca="1">ROUND(IF(E2="工业",C35*$M$39,C35*$M$38),0)</f>
        <v>1008</v>
      </c>
      <c r="H35" s="199">
        <f t="shared" si="8"/>
        <v>0</v>
      </c>
      <c r="I35" s="199">
        <f t="shared" ca="1" si="9"/>
        <v>0</v>
      </c>
      <c r="J35" s="2842"/>
      <c r="K35" s="1366"/>
      <c r="L35" s="1366"/>
      <c r="M35" s="1366"/>
      <c r="N35" s="1366"/>
      <c r="O35" s="1366"/>
      <c r="P35" s="1366"/>
      <c r="Q35" s="1366"/>
      <c r="R35" s="1366"/>
      <c r="S35" s="1366"/>
      <c r="T35" s="1366"/>
      <c r="U35" s="1366"/>
      <c r="V35" s="1366"/>
      <c r="W35" s="1366"/>
      <c r="X35" s="1366"/>
      <c r="Y35" s="1366"/>
      <c r="Z35" s="1367"/>
    </row>
    <row r="36" spans="1:37" ht="13.5" thickBot="1">
      <c r="A36" s="3631"/>
      <c r="B36" s="2753" t="s">
        <v>2931</v>
      </c>
      <c r="C36" s="205">
        <f ca="1">ROUND(D5*C19*C20*C24*F36,0)</f>
        <v>3599</v>
      </c>
      <c r="D36" s="2825"/>
      <c r="E36" s="199">
        <f t="shared" ca="1" si="7"/>
        <v>0</v>
      </c>
      <c r="F36" s="199">
        <f>SUMIF(修正!A45:A56,G2,修正!E45:E56)</f>
        <v>0.25</v>
      </c>
      <c r="G36" s="199">
        <f ca="1">ROUND(IF(E2="工业",C36*$M$39,C36*$M$38),0)</f>
        <v>900</v>
      </c>
      <c r="H36" s="199">
        <f t="shared" si="8"/>
        <v>0</v>
      </c>
      <c r="I36" s="199">
        <f t="shared" ca="1" si="9"/>
        <v>0</v>
      </c>
      <c r="J36" s="2842"/>
      <c r="K36" s="1366"/>
      <c r="L36" s="2707"/>
      <c r="M36" s="2707"/>
      <c r="N36" s="1366"/>
      <c r="O36" s="1366"/>
      <c r="P36" s="1366"/>
      <c r="Q36" s="1366"/>
      <c r="R36" s="1366"/>
      <c r="S36" s="1366"/>
      <c r="T36" s="1366"/>
      <c r="U36" s="1366"/>
      <c r="V36" s="1366"/>
      <c r="W36" s="1366"/>
      <c r="X36" s="1366"/>
      <c r="Y36" s="1366"/>
      <c r="Z36" s="1367"/>
    </row>
    <row r="37" spans="1:37">
      <c r="A37" s="2843"/>
      <c r="B37" s="2753" t="s">
        <v>2932</v>
      </c>
      <c r="C37" s="199">
        <f ca="1">ROUND(D5*C19*C20*C24*F37,0)</f>
        <v>3599</v>
      </c>
      <c r="D37" s="2825"/>
      <c r="E37" s="199">
        <f t="shared" ca="1" si="7"/>
        <v>0</v>
      </c>
      <c r="F37" s="205">
        <f>SUMIF(修正!A45:A56,G2,修正!F45:F56)</f>
        <v>0.25</v>
      </c>
      <c r="G37" s="199">
        <f ca="1">ROUND(IF(E2="工业",C37*$M$39,C37*$M$38),0)</f>
        <v>900</v>
      </c>
      <c r="H37" s="199">
        <f t="shared" si="8"/>
        <v>0</v>
      </c>
      <c r="I37" s="199">
        <f t="shared" ca="1" si="9"/>
        <v>0</v>
      </c>
      <c r="J37" s="2842"/>
      <c r="K37" s="1366"/>
      <c r="L37" s="2844" t="s">
        <v>2933</v>
      </c>
      <c r="M37" s="2845"/>
      <c r="N37" s="1366"/>
      <c r="O37" s="1366"/>
      <c r="P37" s="1366"/>
      <c r="Q37" s="1366"/>
      <c r="R37" s="1366"/>
      <c r="S37" s="1366"/>
      <c r="T37" s="1366"/>
      <c r="U37" s="1366"/>
      <c r="V37" s="1366"/>
      <c r="W37" s="1366"/>
      <c r="X37" s="1366"/>
      <c r="Y37" s="1366"/>
      <c r="Z37" s="1367"/>
    </row>
    <row r="38" spans="1:37">
      <c r="A38" s="2843"/>
      <c r="B38" s="2753" t="s">
        <v>2934</v>
      </c>
      <c r="C38" s="199">
        <f ca="1">ROUND(D5*C19*C41*C24*F38,0)</f>
        <v>0</v>
      </c>
      <c r="D38" s="2825"/>
      <c r="E38" s="199">
        <f t="shared" ca="1" si="7"/>
        <v>0</v>
      </c>
      <c r="F38" s="205">
        <f>SUMIF(修正!A45:A56,G2,修正!G45:G56)</f>
        <v>0.25</v>
      </c>
      <c r="G38" s="199">
        <f ca="1">ROUND(IF(E2="工业",C38*$M$39,C38*$M$38),0)</f>
        <v>0</v>
      </c>
      <c r="H38" s="199">
        <f t="shared" si="8"/>
        <v>0</v>
      </c>
      <c r="I38" s="199">
        <f t="shared" ca="1" si="9"/>
        <v>0</v>
      </c>
      <c r="J38" s="2842"/>
      <c r="K38" s="1366"/>
      <c r="L38" s="1875" t="s">
        <v>2935</v>
      </c>
      <c r="M38" s="2846">
        <v>0.25</v>
      </c>
      <c r="N38" s="1366"/>
      <c r="O38" s="1366"/>
      <c r="P38" s="1366"/>
      <c r="Q38" s="1366"/>
      <c r="R38" s="1366"/>
      <c r="S38" s="1366"/>
      <c r="T38" s="1366"/>
      <c r="U38" s="1366"/>
      <c r="V38" s="1366"/>
      <c r="W38" s="1366"/>
      <c r="X38" s="1366"/>
      <c r="Y38" s="1366"/>
      <c r="Z38" s="1367"/>
    </row>
    <row r="39" spans="1:37" ht="13.5" thickBot="1">
      <c r="A39" s="2829"/>
      <c r="B39" s="2847" t="s">
        <v>2936</v>
      </c>
      <c r="C39" s="228">
        <f ca="1">ROUND(D5*C19*C41*C24*F39,0)</f>
        <v>0</v>
      </c>
      <c r="D39" s="2831"/>
      <c r="E39" s="228">
        <f t="shared" ca="1" si="7"/>
        <v>0</v>
      </c>
      <c r="F39" s="931">
        <f>SUMIF(修正!A45:A56,G2,修正!H45:H56)</f>
        <v>0.2</v>
      </c>
      <c r="G39" s="228">
        <f ca="1">ROUND(IF(E2="工业",C39*$M$39,C39*$M$38),0)</f>
        <v>0</v>
      </c>
      <c r="H39" s="228">
        <f t="shared" si="8"/>
        <v>0</v>
      </c>
      <c r="I39" s="228">
        <f t="shared" ca="1" si="9"/>
        <v>0</v>
      </c>
      <c r="J39" s="2848"/>
      <c r="K39" s="1366"/>
      <c r="L39" s="2849" t="s">
        <v>2880</v>
      </c>
      <c r="M39" s="2850">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7" t="s">
        <v>3042</v>
      </c>
      <c r="C41" s="387">
        <f ca="1">ROUND(POWER(1+E41,H41-G41)*(POWER(1+E41,G41)-1)/(POWER(1+E41,H41)-1),4)</f>
        <v>0</v>
      </c>
      <c r="D41" s="199" t="s">
        <v>2887</v>
      </c>
      <c r="E41" s="2916">
        <f ca="1">G20</f>
        <v>5.3999999999999999E-2</v>
      </c>
      <c r="F41" s="199" t="s">
        <v>2896</v>
      </c>
      <c r="G41" s="217"/>
      <c r="H41" s="199">
        <v>50</v>
      </c>
      <c r="Z41" s="1367"/>
      <c r="AA41" s="1367"/>
      <c r="AB41" s="1367"/>
      <c r="AC41" s="1367"/>
      <c r="AD41" s="1367"/>
      <c r="AE41" s="1367"/>
      <c r="AF41" s="1367"/>
      <c r="AG41" s="1367"/>
      <c r="AH41" s="1367"/>
      <c r="AI41" s="1367"/>
      <c r="AJ41" s="1367"/>
    </row>
    <row r="42" spans="1:37" s="1366" customFormat="1">
      <c r="A42" s="1367"/>
      <c r="B42" s="2851"/>
      <c r="Z42" s="1367"/>
      <c r="AA42" s="1367"/>
      <c r="AB42" s="1367"/>
      <c r="AC42" s="1367"/>
      <c r="AD42" s="1367"/>
      <c r="AE42" s="1367"/>
      <c r="AF42" s="1367"/>
      <c r="AG42" s="1367"/>
      <c r="AH42" s="1367"/>
      <c r="AI42" s="1367"/>
      <c r="AJ42" s="1367"/>
    </row>
    <row r="43" spans="1:37" s="1366" customFormat="1">
      <c r="A43" s="1367"/>
      <c r="B43" s="2851"/>
      <c r="Z43" s="1367"/>
      <c r="AA43" s="1367"/>
      <c r="AB43" s="1367"/>
      <c r="AC43" s="1367"/>
      <c r="AD43" s="1367"/>
      <c r="AE43" s="1367"/>
      <c r="AF43" s="1367"/>
      <c r="AG43" s="1367"/>
      <c r="AH43" s="1367"/>
      <c r="AI43" s="1367"/>
      <c r="AJ43" s="1367"/>
    </row>
    <row r="44" spans="1:37" s="1366" customFormat="1">
      <c r="A44" s="1367"/>
      <c r="B44" s="2851"/>
      <c r="Z44" s="1367"/>
      <c r="AA44" s="1367"/>
      <c r="AB44" s="1367"/>
      <c r="AC44" s="1367"/>
      <c r="AD44" s="1367"/>
      <c r="AE44" s="1367"/>
      <c r="AF44" s="1367"/>
      <c r="AG44" s="1367"/>
      <c r="AH44" s="1367"/>
      <c r="AI44" s="1367"/>
      <c r="AJ44" s="1367"/>
    </row>
    <row r="45" spans="1:37" s="1366" customFormat="1" ht="15.75" thickBot="1">
      <c r="A45" s="2852" t="s">
        <v>2937</v>
      </c>
      <c r="B45" s="2853"/>
      <c r="C45" s="7"/>
      <c r="D45" s="7"/>
      <c r="E45" s="7"/>
      <c r="F45" s="6"/>
      <c r="G45" s="6"/>
      <c r="H45" s="6"/>
      <c r="I45" s="7"/>
      <c r="J45" s="7"/>
      <c r="K45" s="7"/>
      <c r="L45" s="7"/>
      <c r="M45" s="7"/>
      <c r="N45" s="2771"/>
      <c r="Z45" s="1367"/>
      <c r="AA45" s="1367"/>
      <c r="AB45" s="1367"/>
      <c r="AC45" s="1367"/>
      <c r="AD45" s="1367"/>
      <c r="AE45" s="1367"/>
      <c r="AF45" s="1367"/>
      <c r="AG45" s="1367"/>
      <c r="AH45" s="1367"/>
      <c r="AI45" s="1367"/>
      <c r="AJ45" s="1367"/>
    </row>
    <row r="46" spans="1:37" s="1366" customFormat="1" ht="15">
      <c r="A46" s="2854" t="s">
        <v>2938</v>
      </c>
      <c r="B46" s="2855">
        <f>1+E48</f>
        <v>0.98499999999999999</v>
      </c>
      <c r="C46" s="2856"/>
      <c r="D46" s="813"/>
      <c r="E46" s="814"/>
      <c r="F46" s="2857"/>
      <c r="G46" s="6"/>
      <c r="H46" s="7"/>
      <c r="I46" s="7"/>
      <c r="J46" s="7"/>
      <c r="K46" s="7"/>
      <c r="L46" s="7"/>
      <c r="M46" s="7"/>
      <c r="N46" s="2771"/>
      <c r="Z46" s="1367"/>
      <c r="AA46" s="1367"/>
      <c r="AB46" s="1367"/>
      <c r="AC46" s="1367"/>
      <c r="AD46" s="1367"/>
      <c r="AE46" s="1367"/>
      <c r="AF46" s="1367"/>
      <c r="AG46" s="1367"/>
      <c r="AH46" s="1367"/>
      <c r="AI46" s="1367"/>
      <c r="AJ46" s="1367"/>
    </row>
    <row r="47" spans="1:37" s="1366" customFormat="1" ht="24.75">
      <c r="A47" s="2858" t="s">
        <v>2939</v>
      </c>
      <c r="B47" s="1797" t="s">
        <v>2940</v>
      </c>
      <c r="C47" s="1797" t="s">
        <v>2941</v>
      </c>
      <c r="D47" s="1797" t="s">
        <v>2942</v>
      </c>
      <c r="E47" s="818" t="s">
        <v>2943</v>
      </c>
      <c r="F47" s="2859" t="s">
        <v>2944</v>
      </c>
      <c r="G47" s="1797" t="s">
        <v>754</v>
      </c>
      <c r="H47" s="2860" t="s">
        <v>2945</v>
      </c>
      <c r="I47" s="1797" t="s">
        <v>2946</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38.25">
      <c r="A48" s="2858" t="s">
        <v>2947</v>
      </c>
      <c r="B48" s="2861" t="str">
        <f>估价对象房地状况!C4</f>
        <v>估价对象位于XX商圈，周边商业氛围成熟，人流量大，商业繁华度好</v>
      </c>
      <c r="C48" s="2758" t="s">
        <v>3388</v>
      </c>
      <c r="D48" s="1282">
        <f t="shared" ref="D48:D56" si="10">SUMIF($J$47:$N$47,C48,J48:N48)</f>
        <v>-2.1399999999999999E-2</v>
      </c>
      <c r="E48" s="820">
        <f>ROUND(SUM(D48:D56),4)</f>
        <v>-1.4999999999999999E-2</v>
      </c>
      <c r="F48" s="2489">
        <f>IF(E2="商业",SUMIF(L1:L12,G2,N1:N12),"——")</f>
        <v>0.13</v>
      </c>
      <c r="G48" s="1280">
        <f>H48</f>
        <v>2.1399999999999999E-2</v>
      </c>
      <c r="H48" s="1284">
        <f t="shared" ref="H48:H56" si="11">IFERROR(ROUNDDOWN($F$48*I48/2,4),"——")</f>
        <v>2.1399999999999999E-2</v>
      </c>
      <c r="I48" s="819">
        <v>0.33</v>
      </c>
      <c r="J48" s="1281">
        <f t="shared" ref="J48:J56" si="12">K48+$G48</f>
        <v>4.2799999999999998E-2</v>
      </c>
      <c r="K48" s="1281">
        <f t="shared" ref="K48:K56" si="13">$L48+$G48</f>
        <v>2.1399999999999999E-2</v>
      </c>
      <c r="L48" s="1281">
        <v>0</v>
      </c>
      <c r="M48" s="1281">
        <f t="shared" ref="M48:N56" si="14">L48-$G48</f>
        <v>-2.1399999999999999E-2</v>
      </c>
      <c r="N48" s="1281">
        <f t="shared" si="14"/>
        <v>-4.2799999999999998E-2</v>
      </c>
      <c r="AA48" s="1367"/>
      <c r="AB48" s="1367"/>
      <c r="AC48" s="1367"/>
      <c r="AD48" s="1367"/>
      <c r="AE48" s="1367"/>
      <c r="AF48" s="1367"/>
      <c r="AG48" s="1367"/>
      <c r="AH48" s="1367"/>
      <c r="AI48" s="1367"/>
      <c r="AJ48" s="1367"/>
      <c r="AK48" s="1367"/>
    </row>
    <row r="49" spans="1:37" s="1366" customFormat="1" ht="51">
      <c r="A49" s="2858" t="s">
        <v>2948</v>
      </c>
      <c r="B49" s="2862" t="str">
        <f>估价对象房地状况!C18</f>
        <v>估价对象周边道路状况、公共交通通达情况、停车便捷程度，综合评价交通便捷度较好</v>
      </c>
      <c r="C49" s="2758" t="s">
        <v>3246</v>
      </c>
      <c r="D49" s="1282">
        <f t="shared" si="10"/>
        <v>0</v>
      </c>
      <c r="E49" s="821"/>
      <c r="F49" s="2489"/>
      <c r="G49" s="1280">
        <f t="shared" ref="G49:G56" si="15">H49</f>
        <v>1.6199999999999999E-2</v>
      </c>
      <c r="H49" s="1284">
        <f t="shared" si="11"/>
        <v>1.6199999999999999E-2</v>
      </c>
      <c r="I49" s="819">
        <v>0.25</v>
      </c>
      <c r="J49" s="1281">
        <f t="shared" si="12"/>
        <v>3.2399999999999998E-2</v>
      </c>
      <c r="K49" s="1281">
        <f t="shared" si="13"/>
        <v>1.6199999999999999E-2</v>
      </c>
      <c r="L49" s="1281">
        <v>0</v>
      </c>
      <c r="M49" s="1281">
        <f t="shared" si="14"/>
        <v>-1.6199999999999999E-2</v>
      </c>
      <c r="N49" s="1281">
        <f t="shared" si="14"/>
        <v>-3.2399999999999998E-2</v>
      </c>
      <c r="AA49" s="1367"/>
      <c r="AB49" s="1367"/>
      <c r="AC49" s="1367"/>
      <c r="AD49" s="1367"/>
      <c r="AE49" s="1367"/>
      <c r="AF49" s="1367"/>
      <c r="AG49" s="1367"/>
      <c r="AH49" s="1367"/>
      <c r="AI49" s="1367"/>
      <c r="AJ49" s="1367"/>
      <c r="AK49" s="1367"/>
    </row>
    <row r="50" spans="1:37" s="1366" customFormat="1" ht="24">
      <c r="A50" s="2858" t="s">
        <v>2949</v>
      </c>
      <c r="B50" s="2862">
        <f>估价对象房地状况!C19</f>
        <v>0</v>
      </c>
      <c r="C50" s="2758" t="s">
        <v>3247</v>
      </c>
      <c r="D50" s="1282">
        <f t="shared" si="10"/>
        <v>3.2000000000000002E-3</v>
      </c>
      <c r="E50" s="821"/>
      <c r="F50" s="2489"/>
      <c r="G50" s="1280">
        <f t="shared" si="15"/>
        <v>3.2000000000000002E-3</v>
      </c>
      <c r="H50" s="1284">
        <f t="shared" si="11"/>
        <v>3.2000000000000002E-3</v>
      </c>
      <c r="I50" s="819">
        <v>0.05</v>
      </c>
      <c r="J50" s="1281">
        <f t="shared" si="12"/>
        <v>6.4000000000000003E-3</v>
      </c>
      <c r="K50" s="1281">
        <f t="shared" si="13"/>
        <v>3.2000000000000002E-3</v>
      </c>
      <c r="L50" s="1281">
        <v>0</v>
      </c>
      <c r="M50" s="1281">
        <f t="shared" si="14"/>
        <v>-3.2000000000000002E-3</v>
      </c>
      <c r="N50" s="1281">
        <f t="shared" si="14"/>
        <v>-6.4000000000000003E-3</v>
      </c>
      <c r="AA50" s="1367"/>
      <c r="AB50" s="1367"/>
      <c r="AC50" s="1367"/>
      <c r="AD50" s="1367"/>
      <c r="AE50" s="1367"/>
      <c r="AF50" s="1367"/>
      <c r="AG50" s="1367"/>
      <c r="AH50" s="1367"/>
      <c r="AI50" s="1367"/>
      <c r="AJ50" s="1367"/>
      <c r="AK50" s="1367"/>
    </row>
    <row r="51" spans="1:37" s="1366" customFormat="1" ht="36.75">
      <c r="A51" s="2858" t="s">
        <v>2950</v>
      </c>
      <c r="B51" s="2863" t="s">
        <v>2951</v>
      </c>
      <c r="C51" s="2758" t="s">
        <v>3246</v>
      </c>
      <c r="D51" s="1282">
        <f t="shared" si="10"/>
        <v>0</v>
      </c>
      <c r="E51" s="821"/>
      <c r="F51" s="2489"/>
      <c r="G51" s="1280">
        <f t="shared" si="15"/>
        <v>3.2000000000000002E-3</v>
      </c>
      <c r="H51" s="1284">
        <f t="shared" si="11"/>
        <v>3.2000000000000002E-3</v>
      </c>
      <c r="I51" s="819">
        <v>0.05</v>
      </c>
      <c r="J51" s="1281">
        <f t="shared" si="12"/>
        <v>6.4000000000000003E-3</v>
      </c>
      <c r="K51" s="1281">
        <f t="shared" si="13"/>
        <v>3.2000000000000002E-3</v>
      </c>
      <c r="L51" s="1281">
        <v>0</v>
      </c>
      <c r="M51" s="1281">
        <f t="shared" si="14"/>
        <v>-3.2000000000000002E-3</v>
      </c>
      <c r="N51" s="1281">
        <f t="shared" si="14"/>
        <v>-6.4000000000000003E-3</v>
      </c>
      <c r="AA51" s="1367"/>
      <c r="AB51" s="1367"/>
      <c r="AC51" s="1367"/>
      <c r="AD51" s="1367"/>
      <c r="AE51" s="1367"/>
      <c r="AF51" s="1367"/>
      <c r="AG51" s="1367"/>
      <c r="AH51" s="1367"/>
      <c r="AI51" s="1367"/>
      <c r="AJ51" s="1367"/>
      <c r="AK51" s="1367"/>
    </row>
    <row r="52" spans="1:37" s="1366" customFormat="1" ht="24">
      <c r="A52" s="2858" t="s">
        <v>2952</v>
      </c>
      <c r="B52" s="2862">
        <f>估价对象房地状况!C24</f>
        <v>0</v>
      </c>
      <c r="C52" s="2758" t="s">
        <v>3388</v>
      </c>
      <c r="D52" s="1282">
        <f t="shared" si="10"/>
        <v>-5.1999999999999998E-3</v>
      </c>
      <c r="E52" s="821"/>
      <c r="F52" s="2489"/>
      <c r="G52" s="1280">
        <f t="shared" si="15"/>
        <v>5.1999999999999998E-3</v>
      </c>
      <c r="H52" s="1284">
        <f t="shared" si="11"/>
        <v>5.1999999999999998E-3</v>
      </c>
      <c r="I52" s="819">
        <v>0.08</v>
      </c>
      <c r="J52" s="1281">
        <f t="shared" si="12"/>
        <v>1.04E-2</v>
      </c>
      <c r="K52" s="1281">
        <f t="shared" si="13"/>
        <v>5.1999999999999998E-3</v>
      </c>
      <c r="L52" s="1281">
        <v>0</v>
      </c>
      <c r="M52" s="1281">
        <f t="shared" si="14"/>
        <v>-5.1999999999999998E-3</v>
      </c>
      <c r="N52" s="1281">
        <f t="shared" si="14"/>
        <v>-1.04E-2</v>
      </c>
      <c r="AA52" s="1367"/>
      <c r="AB52" s="1367"/>
      <c r="AC52" s="1367"/>
      <c r="AD52" s="1367"/>
      <c r="AE52" s="1367"/>
      <c r="AF52" s="1367"/>
      <c r="AG52" s="1367"/>
      <c r="AH52" s="1367"/>
      <c r="AI52" s="1367"/>
      <c r="AJ52" s="1367"/>
      <c r="AK52" s="1367"/>
    </row>
    <row r="53" spans="1:37" s="1366" customFormat="1" ht="24">
      <c r="A53" s="2858" t="s">
        <v>2953</v>
      </c>
      <c r="B53" s="2864" t="s">
        <v>2954</v>
      </c>
      <c r="C53" s="2758" t="s">
        <v>3247</v>
      </c>
      <c r="D53" s="1282">
        <f t="shared" si="10"/>
        <v>1.9E-3</v>
      </c>
      <c r="E53" s="821"/>
      <c r="F53" s="2489"/>
      <c r="G53" s="1280">
        <f t="shared" si="15"/>
        <v>1.9E-3</v>
      </c>
      <c r="H53" s="1284">
        <f t="shared" si="11"/>
        <v>1.9E-3</v>
      </c>
      <c r="I53" s="819">
        <v>0.03</v>
      </c>
      <c r="J53" s="1281">
        <f t="shared" si="12"/>
        <v>3.8E-3</v>
      </c>
      <c r="K53" s="1281">
        <f t="shared" si="13"/>
        <v>1.9E-3</v>
      </c>
      <c r="L53" s="1281">
        <v>0</v>
      </c>
      <c r="M53" s="1281">
        <f t="shared" si="14"/>
        <v>-1.9E-3</v>
      </c>
      <c r="N53" s="1281">
        <f t="shared" si="14"/>
        <v>-3.8E-3</v>
      </c>
      <c r="AA53" s="1367"/>
      <c r="AB53" s="1367"/>
      <c r="AC53" s="1367"/>
      <c r="AD53" s="1367"/>
      <c r="AE53" s="1367"/>
      <c r="AF53" s="1367"/>
      <c r="AG53" s="1367"/>
      <c r="AH53" s="1367"/>
      <c r="AI53" s="1367"/>
      <c r="AJ53" s="1367"/>
      <c r="AK53" s="1367"/>
    </row>
    <row r="54" spans="1:37" s="1366" customFormat="1" ht="25.5">
      <c r="A54" s="2865" t="s">
        <v>2955</v>
      </c>
      <c r="B54" s="1721" t="str">
        <f>估价对象房地状况!C21</f>
        <v>估价对象所在区域公共配套设施齐备情况</v>
      </c>
      <c r="C54" s="2758" t="s">
        <v>3246</v>
      </c>
      <c r="D54" s="1282">
        <f t="shared" si="10"/>
        <v>0</v>
      </c>
      <c r="E54" s="821"/>
      <c r="F54" s="2489"/>
      <c r="G54" s="1280">
        <f t="shared" si="15"/>
        <v>3.2000000000000002E-3</v>
      </c>
      <c r="H54" s="1284">
        <f t="shared" si="11"/>
        <v>3.2000000000000002E-3</v>
      </c>
      <c r="I54" s="819">
        <v>0.05</v>
      </c>
      <c r="J54" s="1281">
        <f t="shared" si="12"/>
        <v>6.4000000000000003E-3</v>
      </c>
      <c r="K54" s="1281">
        <f t="shared" si="13"/>
        <v>3.2000000000000002E-3</v>
      </c>
      <c r="L54" s="1281">
        <v>0</v>
      </c>
      <c r="M54" s="1281">
        <f t="shared" si="14"/>
        <v>-3.2000000000000002E-3</v>
      </c>
      <c r="N54" s="1281">
        <f t="shared" si="14"/>
        <v>-6.4000000000000003E-3</v>
      </c>
      <c r="AA54" s="1367"/>
      <c r="AB54" s="1367"/>
      <c r="AC54" s="1367"/>
      <c r="AD54" s="1367"/>
      <c r="AE54" s="1367"/>
      <c r="AF54" s="1367"/>
      <c r="AG54" s="1367"/>
      <c r="AH54" s="1367"/>
      <c r="AI54" s="1367"/>
      <c r="AJ54" s="1367"/>
      <c r="AK54" s="1367"/>
    </row>
    <row r="55" spans="1:37" s="1366" customFormat="1" ht="25.5">
      <c r="A55" s="2865" t="s">
        <v>2956</v>
      </c>
      <c r="B55" s="2862" t="str">
        <f>估价对象房地状况!C22</f>
        <v>估价对象所在区域基础设施水平</v>
      </c>
      <c r="C55" s="2758" t="s">
        <v>3247</v>
      </c>
      <c r="D55" s="1282">
        <f t="shared" si="10"/>
        <v>6.4999999999999997E-3</v>
      </c>
      <c r="E55" s="821"/>
      <c r="F55" s="2489"/>
      <c r="G55" s="1280">
        <f t="shared" si="15"/>
        <v>6.4999999999999997E-3</v>
      </c>
      <c r="H55" s="1284">
        <f t="shared" si="11"/>
        <v>6.4999999999999997E-3</v>
      </c>
      <c r="I55" s="819">
        <v>0.1</v>
      </c>
      <c r="J55" s="1281">
        <f t="shared" si="12"/>
        <v>1.2999999999999999E-2</v>
      </c>
      <c r="K55" s="1281">
        <f t="shared" si="13"/>
        <v>6.4999999999999997E-3</v>
      </c>
      <c r="L55" s="1281">
        <v>0</v>
      </c>
      <c r="M55" s="1281">
        <f t="shared" si="14"/>
        <v>-6.4999999999999997E-3</v>
      </c>
      <c r="N55" s="1281">
        <f t="shared" si="14"/>
        <v>-1.2999999999999999E-2</v>
      </c>
      <c r="AA55" s="1367"/>
      <c r="AB55" s="1367"/>
      <c r="AC55" s="1367"/>
      <c r="AD55" s="1367"/>
      <c r="AE55" s="1367"/>
      <c r="AF55" s="1367"/>
      <c r="AG55" s="1367"/>
      <c r="AH55" s="1367"/>
      <c r="AI55" s="1367"/>
      <c r="AJ55" s="1367"/>
      <c r="AK55" s="1367"/>
    </row>
    <row r="56" spans="1:37" s="1366" customFormat="1" ht="39" thickBot="1">
      <c r="A56" s="2866" t="s">
        <v>2957</v>
      </c>
      <c r="B56" s="2867" t="str">
        <f>估价对象房地状况!C20</f>
        <v>区域自然环境：；人文环境；综合评价环境状况一般</v>
      </c>
      <c r="C56" s="2758" t="s">
        <v>3246</v>
      </c>
      <c r="D56" s="1282">
        <f t="shared" si="10"/>
        <v>0</v>
      </c>
      <c r="E56" s="824"/>
      <c r="F56" s="2489"/>
      <c r="G56" s="1280">
        <f t="shared" si="15"/>
        <v>3.8999999999999998E-3</v>
      </c>
      <c r="H56" s="1284">
        <f t="shared" si="11"/>
        <v>3.8999999999999998E-3</v>
      </c>
      <c r="I56" s="823">
        <v>0.06</v>
      </c>
      <c r="J56" s="1281">
        <f t="shared" si="12"/>
        <v>7.7999999999999996E-3</v>
      </c>
      <c r="K56" s="1281">
        <f t="shared" si="13"/>
        <v>3.8999999999999998E-3</v>
      </c>
      <c r="L56" s="1281">
        <v>0</v>
      </c>
      <c r="M56" s="1281">
        <f t="shared" si="14"/>
        <v>-3.8999999999999998E-3</v>
      </c>
      <c r="N56" s="1281">
        <f t="shared" si="14"/>
        <v>-7.7999999999999996E-3</v>
      </c>
      <c r="AA56" s="1367"/>
      <c r="AB56" s="1367"/>
      <c r="AC56" s="1367"/>
      <c r="AD56" s="1367"/>
      <c r="AE56" s="1367"/>
      <c r="AF56" s="1367"/>
      <c r="AG56" s="1367"/>
      <c r="AH56" s="1367"/>
      <c r="AI56" s="1367"/>
      <c r="AJ56" s="1367"/>
      <c r="AK56" s="1367"/>
    </row>
    <row r="57" spans="1:37" s="1366" customFormat="1" ht="15">
      <c r="A57" s="2854" t="s">
        <v>2958</v>
      </c>
      <c r="B57" s="2855">
        <f>1+E59</f>
        <v>1</v>
      </c>
      <c r="C57" s="813"/>
      <c r="D57" s="813"/>
      <c r="E57" s="814"/>
      <c r="F57" s="2857"/>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8" t="s">
        <v>2939</v>
      </c>
      <c r="B58" s="1797"/>
      <c r="C58" s="1797" t="s">
        <v>2941</v>
      </c>
      <c r="D58" s="1797" t="s">
        <v>2942</v>
      </c>
      <c r="E58" s="818" t="s">
        <v>2943</v>
      </c>
      <c r="F58" s="2859" t="s">
        <v>2959</v>
      </c>
      <c r="G58" s="1797" t="s">
        <v>754</v>
      </c>
      <c r="H58" s="2860" t="s">
        <v>2945</v>
      </c>
      <c r="I58" s="1797" t="s">
        <v>2946</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38.25">
      <c r="A59" s="2858" t="s">
        <v>2960</v>
      </c>
      <c r="B59" s="2861" t="str">
        <f>估价对象房地状况!C17</f>
        <v>估价对象位于XX商圈，周边办公楼项目较多，入驻率高，办公集聚程度较好</v>
      </c>
      <c r="C59" s="2758"/>
      <c r="D59" s="1282">
        <f t="shared" ref="D59:D67" si="16">SUMIF($J$58:$N$58,C59,J59:N59)</f>
        <v>0</v>
      </c>
      <c r="E59" s="820">
        <f>ROUND(SUM(D59:D67),4)</f>
        <v>0</v>
      </c>
      <c r="F59" s="2489" t="str">
        <f>IF(E2="办公",SUMIF(L1:L12,G2,N1:N12),"——")</f>
        <v>——</v>
      </c>
      <c r="G59" s="1280"/>
      <c r="H59" s="1284" t="str">
        <f t="shared" ref="H59:H67" si="17">IFERROR(ROUNDDOWN($F$59*I59/2,4),"——")</f>
        <v>——</v>
      </c>
      <c r="I59" s="819">
        <v>0.24</v>
      </c>
      <c r="J59" s="1281">
        <f t="shared" ref="J59:J67" si="18">K59+$G59</f>
        <v>0</v>
      </c>
      <c r="K59" s="1281">
        <f t="shared" ref="K59:K67" si="19">$L59+$G59</f>
        <v>0</v>
      </c>
      <c r="L59" s="1281">
        <v>0</v>
      </c>
      <c r="M59" s="1281">
        <f t="shared" ref="M59:N67" si="20">L59-$G59</f>
        <v>0</v>
      </c>
      <c r="N59" s="1281">
        <f t="shared" si="20"/>
        <v>0</v>
      </c>
      <c r="AA59" s="1367"/>
      <c r="AB59" s="1367"/>
      <c r="AC59" s="1367"/>
      <c r="AD59" s="1367"/>
      <c r="AE59" s="1367"/>
      <c r="AF59" s="1367"/>
      <c r="AG59" s="1367"/>
      <c r="AH59" s="1367"/>
      <c r="AI59" s="1367"/>
      <c r="AJ59" s="1367"/>
      <c r="AK59" s="1367"/>
    </row>
    <row r="60" spans="1:37" s="1366" customFormat="1" ht="51">
      <c r="A60" s="2858" t="s">
        <v>2948</v>
      </c>
      <c r="B60" s="2862" t="str">
        <f>估价对象房地状况!C18</f>
        <v>估价对象周边道路状况、公共交通通达情况、停车便捷程度，综合评价交通便捷度较好</v>
      </c>
      <c r="C60" s="2758"/>
      <c r="D60" s="1282">
        <f t="shared" si="16"/>
        <v>0</v>
      </c>
      <c r="E60" s="821"/>
      <c r="F60" s="2489"/>
      <c r="G60" s="1280"/>
      <c r="H60" s="1284" t="str">
        <f t="shared" si="17"/>
        <v>——</v>
      </c>
      <c r="I60" s="819">
        <v>0.3</v>
      </c>
      <c r="J60" s="1281">
        <f t="shared" si="18"/>
        <v>0</v>
      </c>
      <c r="K60" s="1281">
        <f t="shared" si="19"/>
        <v>0</v>
      </c>
      <c r="L60" s="1281">
        <v>0</v>
      </c>
      <c r="M60" s="1281">
        <f t="shared" si="20"/>
        <v>0</v>
      </c>
      <c r="N60" s="1281">
        <f t="shared" si="20"/>
        <v>0</v>
      </c>
      <c r="AA60" s="1367"/>
      <c r="AB60" s="1367"/>
      <c r="AC60" s="1367"/>
      <c r="AD60" s="1367"/>
      <c r="AE60" s="1367"/>
      <c r="AF60" s="1367"/>
      <c r="AG60" s="1367"/>
      <c r="AH60" s="1367"/>
      <c r="AI60" s="1367"/>
      <c r="AJ60" s="1367"/>
      <c r="AK60" s="1367"/>
    </row>
    <row r="61" spans="1:37" s="1366" customFormat="1" ht="24">
      <c r="A61" s="2858" t="s">
        <v>2949</v>
      </c>
      <c r="B61" s="2862">
        <f>估价对象房地状况!C19</f>
        <v>0</v>
      </c>
      <c r="C61" s="2758"/>
      <c r="D61" s="1282">
        <f t="shared" si="16"/>
        <v>0</v>
      </c>
      <c r="E61" s="821"/>
      <c r="F61" s="2489"/>
      <c r="G61" s="1280"/>
      <c r="H61" s="1284" t="str">
        <f t="shared" si="17"/>
        <v>——</v>
      </c>
      <c r="I61" s="819">
        <v>0.08</v>
      </c>
      <c r="J61" s="1281">
        <f t="shared" si="18"/>
        <v>0</v>
      </c>
      <c r="K61" s="1281">
        <f t="shared" si="19"/>
        <v>0</v>
      </c>
      <c r="L61" s="1281">
        <v>0</v>
      </c>
      <c r="M61" s="1281">
        <f t="shared" si="20"/>
        <v>0</v>
      </c>
      <c r="N61" s="1281">
        <f t="shared" si="20"/>
        <v>0</v>
      </c>
      <c r="AA61" s="1367"/>
      <c r="AB61" s="1367"/>
      <c r="AC61" s="1367"/>
      <c r="AD61" s="1367"/>
      <c r="AE61" s="1367"/>
      <c r="AF61" s="1367"/>
      <c r="AG61" s="1367"/>
      <c r="AH61" s="1367"/>
      <c r="AI61" s="1367"/>
      <c r="AJ61" s="1367"/>
      <c r="AK61" s="1367"/>
    </row>
    <row r="62" spans="1:37" s="1366" customFormat="1" ht="36.75">
      <c r="A62" s="2858" t="s">
        <v>2950</v>
      </c>
      <c r="B62" s="2863" t="s">
        <v>2951</v>
      </c>
      <c r="C62" s="2758"/>
      <c r="D62" s="1282">
        <f t="shared" si="16"/>
        <v>0</v>
      </c>
      <c r="E62" s="821"/>
      <c r="F62" s="2489"/>
      <c r="G62" s="1280"/>
      <c r="H62" s="1284" t="str">
        <f t="shared" si="17"/>
        <v>——</v>
      </c>
      <c r="I62" s="819">
        <v>0.04</v>
      </c>
      <c r="J62" s="1281">
        <f t="shared" si="18"/>
        <v>0</v>
      </c>
      <c r="K62" s="1281">
        <f t="shared" si="19"/>
        <v>0</v>
      </c>
      <c r="L62" s="1281">
        <v>0</v>
      </c>
      <c r="M62" s="1281">
        <f t="shared" si="20"/>
        <v>0</v>
      </c>
      <c r="N62" s="1281">
        <f t="shared" si="20"/>
        <v>0</v>
      </c>
      <c r="AA62" s="1367"/>
      <c r="AB62" s="1367"/>
      <c r="AC62" s="1367"/>
      <c r="AD62" s="1367"/>
      <c r="AE62" s="1367"/>
      <c r="AF62" s="1367"/>
      <c r="AG62" s="1367"/>
      <c r="AH62" s="1367"/>
      <c r="AI62" s="1367"/>
      <c r="AJ62" s="1367"/>
      <c r="AK62" s="1367"/>
    </row>
    <row r="63" spans="1:37" s="1366" customFormat="1" ht="24">
      <c r="A63" s="2858" t="s">
        <v>2952</v>
      </c>
      <c r="B63" s="2862">
        <f>估价对象房地状况!C24</f>
        <v>0</v>
      </c>
      <c r="C63" s="2758"/>
      <c r="D63" s="1282">
        <f t="shared" si="16"/>
        <v>0</v>
      </c>
      <c r="E63" s="821"/>
      <c r="F63" s="2489"/>
      <c r="G63" s="1280"/>
      <c r="H63" s="1284" t="str">
        <f t="shared" si="17"/>
        <v>——</v>
      </c>
      <c r="I63" s="819">
        <v>0.05</v>
      </c>
      <c r="J63" s="1281">
        <f t="shared" si="18"/>
        <v>0</v>
      </c>
      <c r="K63" s="1281">
        <f t="shared" si="19"/>
        <v>0</v>
      </c>
      <c r="L63" s="1281">
        <v>0</v>
      </c>
      <c r="M63" s="1281">
        <f t="shared" si="20"/>
        <v>0</v>
      </c>
      <c r="N63" s="1281">
        <f t="shared" si="20"/>
        <v>0</v>
      </c>
      <c r="AA63" s="1367"/>
      <c r="AB63" s="1367"/>
      <c r="AC63" s="1367"/>
      <c r="AD63" s="1367"/>
      <c r="AE63" s="1367"/>
      <c r="AF63" s="1367"/>
      <c r="AG63" s="1367"/>
      <c r="AH63" s="1367"/>
      <c r="AI63" s="1367"/>
      <c r="AJ63" s="1367"/>
      <c r="AK63" s="1367"/>
    </row>
    <row r="64" spans="1:37" s="1366" customFormat="1" ht="24">
      <c r="A64" s="2858" t="s">
        <v>2953</v>
      </c>
      <c r="B64" s="2864" t="s">
        <v>2954</v>
      </c>
      <c r="C64" s="2758"/>
      <c r="D64" s="1282">
        <f t="shared" si="16"/>
        <v>0</v>
      </c>
      <c r="E64" s="821"/>
      <c r="F64" s="2489"/>
      <c r="G64" s="1280"/>
      <c r="H64" s="1284" t="str">
        <f t="shared" si="17"/>
        <v>——</v>
      </c>
      <c r="I64" s="819">
        <v>0.05</v>
      </c>
      <c r="J64" s="1281">
        <f t="shared" si="18"/>
        <v>0</v>
      </c>
      <c r="K64" s="1281">
        <f t="shared" si="19"/>
        <v>0</v>
      </c>
      <c r="L64" s="1281">
        <v>0</v>
      </c>
      <c r="M64" s="1281">
        <f t="shared" si="20"/>
        <v>0</v>
      </c>
      <c r="N64" s="1281">
        <f t="shared" si="20"/>
        <v>0</v>
      </c>
      <c r="AA64" s="1367"/>
      <c r="AB64" s="1367"/>
      <c r="AC64" s="1367"/>
      <c r="AD64" s="1367"/>
      <c r="AE64" s="1367"/>
      <c r="AF64" s="1367"/>
      <c r="AG64" s="1367"/>
      <c r="AH64" s="1367"/>
      <c r="AI64" s="1367"/>
      <c r="AJ64" s="1367"/>
      <c r="AK64" s="1367"/>
    </row>
    <row r="65" spans="1:37" s="1366" customFormat="1" ht="25.5">
      <c r="A65" s="2858" t="s">
        <v>2955</v>
      </c>
      <c r="B65" s="1721" t="str">
        <f>估价对象房地状况!C21</f>
        <v>估价对象所在区域公共配套设施齐备情况</v>
      </c>
      <c r="C65" s="2758"/>
      <c r="D65" s="1282">
        <f t="shared" si="16"/>
        <v>0</v>
      </c>
      <c r="E65" s="821"/>
      <c r="F65" s="2489"/>
      <c r="G65" s="1280"/>
      <c r="H65" s="1284" t="str">
        <f t="shared" si="17"/>
        <v>——</v>
      </c>
      <c r="I65" s="819">
        <v>0.06</v>
      </c>
      <c r="J65" s="1281">
        <f t="shared" si="18"/>
        <v>0</v>
      </c>
      <c r="K65" s="1281">
        <f t="shared" si="19"/>
        <v>0</v>
      </c>
      <c r="L65" s="1281">
        <v>0</v>
      </c>
      <c r="M65" s="1281">
        <f t="shared" si="20"/>
        <v>0</v>
      </c>
      <c r="N65" s="1281">
        <f t="shared" si="20"/>
        <v>0</v>
      </c>
      <c r="AA65" s="1367"/>
      <c r="AB65" s="1367"/>
      <c r="AC65" s="1367"/>
      <c r="AD65" s="1367"/>
      <c r="AE65" s="1367"/>
      <c r="AF65" s="1367"/>
      <c r="AG65" s="1367"/>
      <c r="AH65" s="1367"/>
      <c r="AI65" s="1367"/>
      <c r="AJ65" s="1367"/>
      <c r="AK65" s="1367"/>
    </row>
    <row r="66" spans="1:37" s="1366" customFormat="1" ht="25.5">
      <c r="A66" s="2858" t="s">
        <v>2956</v>
      </c>
      <c r="B66" s="1721" t="str">
        <f>估价对象房地状况!C22</f>
        <v>估价对象所在区域基础设施水平</v>
      </c>
      <c r="C66" s="2758"/>
      <c r="D66" s="1282">
        <f t="shared" si="16"/>
        <v>0</v>
      </c>
      <c r="E66" s="821"/>
      <c r="F66" s="2489"/>
      <c r="G66" s="1280"/>
      <c r="H66" s="1284" t="str">
        <f t="shared" si="17"/>
        <v>——</v>
      </c>
      <c r="I66" s="819">
        <v>0.12</v>
      </c>
      <c r="J66" s="1281">
        <f t="shared" si="18"/>
        <v>0</v>
      </c>
      <c r="K66" s="1281">
        <f t="shared" si="19"/>
        <v>0</v>
      </c>
      <c r="L66" s="1281">
        <v>0</v>
      </c>
      <c r="M66" s="1281">
        <f t="shared" si="20"/>
        <v>0</v>
      </c>
      <c r="N66" s="1281">
        <f t="shared" si="20"/>
        <v>0</v>
      </c>
      <c r="AA66" s="1367"/>
      <c r="AB66" s="1367"/>
      <c r="AC66" s="1367"/>
      <c r="AD66" s="1367"/>
      <c r="AE66" s="1367"/>
      <c r="AF66" s="1367"/>
      <c r="AG66" s="1367"/>
      <c r="AH66" s="1367"/>
      <c r="AI66" s="1367"/>
      <c r="AJ66" s="1367"/>
      <c r="AK66" s="1367"/>
    </row>
    <row r="67" spans="1:37" s="1366" customFormat="1" ht="39" thickBot="1">
      <c r="A67" s="2866" t="s">
        <v>2957</v>
      </c>
      <c r="B67" s="2868" t="str">
        <f>估价对象房地状况!C20</f>
        <v>区域自然环境：；人文环境；综合评价环境状况一般</v>
      </c>
      <c r="C67" s="2758"/>
      <c r="D67" s="1282">
        <f t="shared" si="16"/>
        <v>0</v>
      </c>
      <c r="E67" s="824"/>
      <c r="F67" s="2489"/>
      <c r="G67" s="1280"/>
      <c r="H67" s="1284" t="str">
        <f t="shared" si="17"/>
        <v>——</v>
      </c>
      <c r="I67" s="823">
        <v>0.06</v>
      </c>
      <c r="J67" s="1281">
        <f t="shared" si="18"/>
        <v>0</v>
      </c>
      <c r="K67" s="1281">
        <f t="shared" si="19"/>
        <v>0</v>
      </c>
      <c r="L67" s="1281">
        <v>0</v>
      </c>
      <c r="M67" s="1281">
        <f t="shared" si="20"/>
        <v>0</v>
      </c>
      <c r="N67" s="1281">
        <f t="shared" si="20"/>
        <v>0</v>
      </c>
      <c r="AA67" s="1367"/>
      <c r="AB67" s="1367"/>
      <c r="AC67" s="1367"/>
      <c r="AD67" s="1367"/>
      <c r="AE67" s="1367"/>
      <c r="AF67" s="1367"/>
      <c r="AG67" s="1367"/>
      <c r="AH67" s="1367"/>
      <c r="AI67" s="1367"/>
      <c r="AJ67" s="1367"/>
      <c r="AK67" s="1367"/>
    </row>
    <row r="68" spans="1:37" s="1366" customFormat="1" ht="15">
      <c r="A68" s="2854" t="s">
        <v>2961</v>
      </c>
      <c r="B68" s="2855">
        <f>1+E70</f>
        <v>1</v>
      </c>
      <c r="C68" s="813"/>
      <c r="D68" s="813"/>
      <c r="E68" s="814"/>
      <c r="F68" s="2857"/>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8" t="s">
        <v>2939</v>
      </c>
      <c r="B69" s="1797"/>
      <c r="C69" s="1797" t="s">
        <v>2941</v>
      </c>
      <c r="D69" s="1797" t="s">
        <v>2942</v>
      </c>
      <c r="E69" s="818" t="s">
        <v>2943</v>
      </c>
      <c r="F69" s="2859" t="s">
        <v>2959</v>
      </c>
      <c r="G69" s="1797" t="s">
        <v>754</v>
      </c>
      <c r="H69" s="2860" t="s">
        <v>2945</v>
      </c>
      <c r="I69" s="1797" t="s">
        <v>2946</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51">
      <c r="A70" s="2858" t="s">
        <v>2962</v>
      </c>
      <c r="B70" s="2861" t="str">
        <f>估价对象房地状况!C15</f>
        <v>估价对象周边居住用地比例、居住小区规模和社区发展完善程度，综合评价居住社区成熟度一般</v>
      </c>
      <c r="C70" s="2758"/>
      <c r="D70" s="1282">
        <f t="shared" ref="D70:D78" si="21">SUMIF($J$69:$N$69,C70,J70:N70)</f>
        <v>0</v>
      </c>
      <c r="E70" s="820">
        <f>ROUND(SUM(D70:D78),4)</f>
        <v>0</v>
      </c>
      <c r="F70" s="2489" t="str">
        <f>IF(E2="住宅",SUMIF(L1:L12,G2,N1:N12),"——")</f>
        <v>——</v>
      </c>
      <c r="G70" s="1280"/>
      <c r="H70" s="1284" t="str">
        <f t="shared" ref="H70:H78" si="22">IFERROR(ROUNDDOWN($F$70*I70/2,4),"——")</f>
        <v>——</v>
      </c>
      <c r="I70" s="819">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51">
      <c r="A71" s="2858" t="s">
        <v>2948</v>
      </c>
      <c r="B71" s="2862" t="str">
        <f>估价对象房地状况!C18</f>
        <v>估价对象周边道路状况、公共交通通达情况、停车便捷程度，综合评价交通便捷度较好</v>
      </c>
      <c r="C71" s="2758"/>
      <c r="D71" s="1282">
        <f t="shared" si="21"/>
        <v>0</v>
      </c>
      <c r="E71" s="825"/>
      <c r="F71" s="2489"/>
      <c r="G71" s="1280"/>
      <c r="H71" s="1284" t="str">
        <f t="shared" si="22"/>
        <v>——</v>
      </c>
      <c r="I71" s="819">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58" t="s">
        <v>2949</v>
      </c>
      <c r="B72" s="2862">
        <f>估价对象房地状况!C19</f>
        <v>0</v>
      </c>
      <c r="C72" s="2758"/>
      <c r="D72" s="1282">
        <f t="shared" si="21"/>
        <v>0</v>
      </c>
      <c r="E72" s="825"/>
      <c r="F72" s="2489"/>
      <c r="G72" s="1280"/>
      <c r="H72" s="1284" t="str">
        <f t="shared" si="22"/>
        <v>——</v>
      </c>
      <c r="I72" s="819">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58" t="s">
        <v>2963</v>
      </c>
      <c r="B73" s="2862">
        <f>估价对象房地状况!C24</f>
        <v>0</v>
      </c>
      <c r="C73" s="2758"/>
      <c r="D73" s="1282">
        <f t="shared" si="21"/>
        <v>0</v>
      </c>
      <c r="E73" s="825"/>
      <c r="F73" s="2489"/>
      <c r="G73" s="1280"/>
      <c r="H73" s="1284" t="str">
        <f t="shared" si="22"/>
        <v>——</v>
      </c>
      <c r="I73" s="819">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5.5">
      <c r="A74" s="2858" t="s">
        <v>2955</v>
      </c>
      <c r="B74" s="1721" t="str">
        <f>估价对象房地状况!C21</f>
        <v>估价对象所在区域公共配套设施齐备情况</v>
      </c>
      <c r="C74" s="2758"/>
      <c r="D74" s="1282">
        <f t="shared" si="21"/>
        <v>0</v>
      </c>
      <c r="E74" s="825"/>
      <c r="F74" s="2489"/>
      <c r="G74" s="1280"/>
      <c r="H74" s="1284" t="str">
        <f t="shared" si="22"/>
        <v>——</v>
      </c>
      <c r="I74" s="819">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5.5">
      <c r="A75" s="2858" t="s">
        <v>2956</v>
      </c>
      <c r="B75" s="1721" t="str">
        <f>估价对象房地状况!C22</f>
        <v>估价对象所在区域基础设施水平</v>
      </c>
      <c r="C75" s="2758"/>
      <c r="D75" s="1282">
        <f t="shared" si="21"/>
        <v>0</v>
      </c>
      <c r="E75" s="825"/>
      <c r="F75" s="2489"/>
      <c r="G75" s="1280"/>
      <c r="H75" s="1284" t="str">
        <f t="shared" si="22"/>
        <v>——</v>
      </c>
      <c r="I75" s="819">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07" customFormat="1" ht="24">
      <c r="A76" s="2858" t="s">
        <v>2953</v>
      </c>
      <c r="B76" s="2864" t="s">
        <v>2954</v>
      </c>
      <c r="C76" s="2758"/>
      <c r="D76" s="1282">
        <f t="shared" si="21"/>
        <v>0</v>
      </c>
      <c r="E76" s="825"/>
      <c r="F76" s="2489"/>
      <c r="G76" s="1280"/>
      <c r="H76" s="1284" t="str">
        <f t="shared" si="22"/>
        <v>——</v>
      </c>
      <c r="I76" s="819">
        <v>0.05</v>
      </c>
      <c r="J76" s="1281">
        <f t="shared" si="23"/>
        <v>0</v>
      </c>
      <c r="K76" s="1281">
        <f t="shared" si="24"/>
        <v>0</v>
      </c>
      <c r="L76" s="1281">
        <v>0</v>
      </c>
      <c r="M76" s="1281">
        <f t="shared" si="25"/>
        <v>0</v>
      </c>
      <c r="N76" s="1281">
        <f t="shared" si="25"/>
        <v>0</v>
      </c>
      <c r="AA76" s="2869"/>
      <c r="AB76" s="1367"/>
      <c r="AC76" s="1367"/>
      <c r="AD76" s="1367"/>
      <c r="AE76" s="1367"/>
      <c r="AF76" s="1367"/>
      <c r="AG76" s="1367"/>
      <c r="AH76" s="2869"/>
      <c r="AI76" s="2869"/>
      <c r="AJ76" s="2869"/>
      <c r="AK76" s="2869"/>
    </row>
    <row r="77" spans="1:37" ht="38.25">
      <c r="A77" s="2858" t="s">
        <v>2957</v>
      </c>
      <c r="B77" s="2861" t="str">
        <f>估价对象房地状况!C20</f>
        <v>区域自然环境：；人文环境；综合评价环境状况一般</v>
      </c>
      <c r="C77" s="2758"/>
      <c r="D77" s="1282">
        <f t="shared" si="21"/>
        <v>0</v>
      </c>
      <c r="E77" s="825"/>
      <c r="F77" s="2489"/>
      <c r="G77" s="1280"/>
      <c r="H77" s="1284" t="str">
        <f t="shared" si="22"/>
        <v>——</v>
      </c>
      <c r="I77" s="819">
        <v>0.15</v>
      </c>
      <c r="J77" s="1281">
        <f t="shared" si="23"/>
        <v>0</v>
      </c>
      <c r="K77" s="1281">
        <f t="shared" si="24"/>
        <v>0</v>
      </c>
      <c r="L77" s="1281">
        <v>0</v>
      </c>
      <c r="M77" s="1281">
        <f t="shared" si="25"/>
        <v>0</v>
      </c>
      <c r="N77" s="1281">
        <f t="shared" si="25"/>
        <v>0</v>
      </c>
      <c r="Z77" s="2708"/>
      <c r="AA77" s="2776"/>
      <c r="AG77" s="1368"/>
      <c r="AK77" s="2776"/>
    </row>
    <row r="78" spans="1:37" ht="24.75" thickBot="1">
      <c r="A78" s="2866" t="s">
        <v>2964</v>
      </c>
      <c r="B78" s="2870"/>
      <c r="C78" s="2758"/>
      <c r="D78" s="1282">
        <f t="shared" si="21"/>
        <v>0</v>
      </c>
      <c r="E78" s="826"/>
      <c r="F78" s="2489"/>
      <c r="G78" s="1280"/>
      <c r="H78" s="1284" t="str">
        <f t="shared" si="22"/>
        <v>——</v>
      </c>
      <c r="I78" s="823">
        <v>0.04</v>
      </c>
      <c r="J78" s="1281">
        <f t="shared" si="23"/>
        <v>0</v>
      </c>
      <c r="K78" s="1281">
        <f t="shared" si="24"/>
        <v>0</v>
      </c>
      <c r="L78" s="1281">
        <v>0</v>
      </c>
      <c r="M78" s="1281">
        <f t="shared" si="25"/>
        <v>0</v>
      </c>
      <c r="N78" s="1281">
        <f t="shared" si="25"/>
        <v>0</v>
      </c>
      <c r="Z78" s="2708"/>
      <c r="AA78" s="2776"/>
      <c r="AG78" s="1368"/>
      <c r="AK78" s="2776"/>
    </row>
    <row r="79" spans="1:37" ht="15">
      <c r="A79" s="2854" t="s">
        <v>2965</v>
      </c>
      <c r="B79" s="2855">
        <f>1+E81</f>
        <v>1</v>
      </c>
      <c r="C79" s="813"/>
      <c r="D79" s="813"/>
      <c r="E79" s="814"/>
      <c r="F79" s="2857"/>
      <c r="G79" s="6"/>
      <c r="H79" s="6"/>
      <c r="I79" s="6"/>
      <c r="J79" s="7"/>
      <c r="K79" s="7"/>
      <c r="L79" s="7"/>
      <c r="M79" s="7"/>
      <c r="N79" s="7"/>
      <c r="Z79" s="2708"/>
      <c r="AA79" s="2776"/>
      <c r="AG79" s="1368"/>
      <c r="AK79" s="2776"/>
    </row>
    <row r="80" spans="1:37" ht="24.75">
      <c r="A80" s="2858" t="s">
        <v>2939</v>
      </c>
      <c r="B80" s="1797"/>
      <c r="C80" s="1797" t="s">
        <v>2941</v>
      </c>
      <c r="D80" s="1797" t="s">
        <v>2942</v>
      </c>
      <c r="E80" s="818" t="s">
        <v>2943</v>
      </c>
      <c r="F80" s="2859" t="s">
        <v>2959</v>
      </c>
      <c r="G80" s="1797" t="s">
        <v>754</v>
      </c>
      <c r="H80" s="2860" t="s">
        <v>2945</v>
      </c>
      <c r="I80" s="1797" t="s">
        <v>2946</v>
      </c>
      <c r="J80" s="602" t="s">
        <v>2596</v>
      </c>
      <c r="K80" s="602" t="s">
        <v>2597</v>
      </c>
      <c r="L80" s="602" t="s">
        <v>2598</v>
      </c>
      <c r="M80" s="602" t="s">
        <v>2599</v>
      </c>
      <c r="N80" s="602" t="s">
        <v>2600</v>
      </c>
      <c r="Z80" s="2708"/>
      <c r="AA80" s="2776"/>
      <c r="AG80" s="1368"/>
      <c r="AK80" s="2776"/>
    </row>
    <row r="81" spans="1:37" ht="38.25">
      <c r="A81" s="2858" t="s">
        <v>2966</v>
      </c>
      <c r="B81" s="2862" t="str">
        <f>估价对象房地状况!G15</f>
        <v>估价对象位于XX开发区，园区建设成熟度XX，产业集聚程度XX</v>
      </c>
      <c r="C81" s="2758"/>
      <c r="D81" s="1282">
        <f t="shared" ref="D81:D88" si="26">SUMIF($J$80:$N$80,C81,J81:N81)</f>
        <v>0</v>
      </c>
      <c r="E81" s="820">
        <f>ROUND(SUM(D81:D88),4)</f>
        <v>0</v>
      </c>
      <c r="F81" s="2489" t="str">
        <f>IF(E2="工业",SUMIF(L1:L12,G2,N1:N12),"——")</f>
        <v>——</v>
      </c>
      <c r="G81" s="1280"/>
      <c r="H81" s="1284" t="str">
        <f t="shared" ref="H81:H88" si="27">IFERROR(ROUNDDOWN($F$81*I81/2,4),"——")</f>
        <v>——</v>
      </c>
      <c r="I81" s="819">
        <v>0.26</v>
      </c>
      <c r="J81" s="1281">
        <f t="shared" ref="J81:J88" si="28">K81+$G81</f>
        <v>0</v>
      </c>
      <c r="K81" s="1281">
        <f t="shared" ref="K81:K88" si="29">$L81+$G81</f>
        <v>0</v>
      </c>
      <c r="L81" s="1281">
        <v>0</v>
      </c>
      <c r="M81" s="1281">
        <f t="shared" ref="M81:N88" si="30">L81-$G81</f>
        <v>0</v>
      </c>
      <c r="N81" s="1281">
        <f t="shared" si="30"/>
        <v>0</v>
      </c>
      <c r="Z81" s="2708"/>
      <c r="AA81" s="2776"/>
      <c r="AG81" s="1368"/>
      <c r="AK81" s="2776"/>
    </row>
    <row r="82" spans="1:37" ht="51">
      <c r="A82" s="2858" t="s">
        <v>2948</v>
      </c>
      <c r="B82" s="2862" t="str">
        <f>估价对象房地状况!G16</f>
        <v>估价对象周边道路状况、公共交通通达情况、停车便捷程度，综合评价交通便捷度较好</v>
      </c>
      <c r="C82" s="2758"/>
      <c r="D82" s="1282">
        <f t="shared" si="26"/>
        <v>0</v>
      </c>
      <c r="E82" s="825"/>
      <c r="F82" s="2489"/>
      <c r="G82" s="1280"/>
      <c r="H82" s="1284" t="str">
        <f t="shared" si="27"/>
        <v>——</v>
      </c>
      <c r="I82" s="819">
        <v>0.33</v>
      </c>
      <c r="J82" s="1281">
        <f t="shared" si="28"/>
        <v>0</v>
      </c>
      <c r="K82" s="1281">
        <f t="shared" si="29"/>
        <v>0</v>
      </c>
      <c r="L82" s="1281">
        <v>0</v>
      </c>
      <c r="M82" s="1281">
        <f t="shared" si="30"/>
        <v>0</v>
      </c>
      <c r="N82" s="1281">
        <f t="shared" si="30"/>
        <v>0</v>
      </c>
      <c r="Z82" s="2708"/>
      <c r="AA82" s="2776"/>
      <c r="AG82" s="1368"/>
      <c r="AK82" s="2776"/>
    </row>
    <row r="83" spans="1:37" ht="24">
      <c r="A83" s="2858" t="s">
        <v>2949</v>
      </c>
      <c r="B83" s="2862">
        <f>估价对象房地状况!G17</f>
        <v>0</v>
      </c>
      <c r="C83" s="2758"/>
      <c r="D83" s="1282">
        <f t="shared" si="26"/>
        <v>0</v>
      </c>
      <c r="E83" s="825"/>
      <c r="F83" s="2489"/>
      <c r="G83" s="1280"/>
      <c r="H83" s="1284" t="str">
        <f t="shared" si="27"/>
        <v>——</v>
      </c>
      <c r="I83" s="819">
        <v>0.05</v>
      </c>
      <c r="J83" s="1281">
        <f t="shared" si="28"/>
        <v>0</v>
      </c>
      <c r="K83" s="1281">
        <f t="shared" si="29"/>
        <v>0</v>
      </c>
      <c r="L83" s="1281">
        <v>0</v>
      </c>
      <c r="M83" s="1281">
        <f t="shared" si="30"/>
        <v>0</v>
      </c>
      <c r="N83" s="1281">
        <f t="shared" si="30"/>
        <v>0</v>
      </c>
      <c r="Z83" s="2708"/>
      <c r="AA83" s="2776"/>
      <c r="AG83" s="1368"/>
      <c r="AK83" s="2776"/>
    </row>
    <row r="84" spans="1:37" ht="14.25">
      <c r="A84" s="2858" t="s">
        <v>2963</v>
      </c>
      <c r="B84" s="2862">
        <f>估价对象房地状况!G22</f>
        <v>0</v>
      </c>
      <c r="C84" s="2758"/>
      <c r="D84" s="1282">
        <f t="shared" si="26"/>
        <v>0</v>
      </c>
      <c r="E84" s="825"/>
      <c r="F84" s="2489"/>
      <c r="G84" s="1280"/>
      <c r="H84" s="1284" t="str">
        <f t="shared" si="27"/>
        <v>——</v>
      </c>
      <c r="I84" s="819">
        <v>0.04</v>
      </c>
      <c r="J84" s="1281">
        <f t="shared" si="28"/>
        <v>0</v>
      </c>
      <c r="K84" s="1281">
        <f t="shared" si="29"/>
        <v>0</v>
      </c>
      <c r="L84" s="1281">
        <v>0</v>
      </c>
      <c r="M84" s="1281">
        <f t="shared" si="30"/>
        <v>0</v>
      </c>
      <c r="N84" s="1281">
        <f t="shared" si="30"/>
        <v>0</v>
      </c>
      <c r="Z84" s="2708"/>
      <c r="AA84" s="2776"/>
      <c r="AG84" s="1368"/>
      <c r="AK84" s="2776"/>
    </row>
    <row r="85" spans="1:37" ht="25.5">
      <c r="A85" s="2858" t="s">
        <v>2955</v>
      </c>
      <c r="B85" s="1721" t="str">
        <f>估价对象房地状况!G19</f>
        <v>估价对象所在区域公共配套设施齐备情况</v>
      </c>
      <c r="C85" s="2758"/>
      <c r="D85" s="1282">
        <f t="shared" si="26"/>
        <v>0</v>
      </c>
      <c r="E85" s="825"/>
      <c r="F85" s="2489"/>
      <c r="G85" s="1280"/>
      <c r="H85" s="1284" t="str">
        <f t="shared" si="27"/>
        <v>——</v>
      </c>
      <c r="I85" s="819">
        <v>0.06</v>
      </c>
      <c r="J85" s="1281">
        <f t="shared" si="28"/>
        <v>0</v>
      </c>
      <c r="K85" s="1281">
        <f t="shared" si="29"/>
        <v>0</v>
      </c>
      <c r="L85" s="1281">
        <v>0</v>
      </c>
      <c r="M85" s="1281">
        <f t="shared" si="30"/>
        <v>0</v>
      </c>
      <c r="N85" s="1281">
        <f t="shared" si="30"/>
        <v>0</v>
      </c>
      <c r="Z85" s="2708"/>
      <c r="AA85" s="2776"/>
      <c r="AG85" s="1368"/>
      <c r="AK85" s="2776"/>
    </row>
    <row r="86" spans="1:37" ht="25.5">
      <c r="A86" s="2858" t="s">
        <v>2956</v>
      </c>
      <c r="B86" s="1721" t="str">
        <f>估价对象房地状况!G20</f>
        <v>估价对象所在区域基础设施水平</v>
      </c>
      <c r="C86" s="2758"/>
      <c r="D86" s="1282">
        <f t="shared" si="26"/>
        <v>0</v>
      </c>
      <c r="E86" s="825"/>
      <c r="F86" s="2489"/>
      <c r="G86" s="1280"/>
      <c r="H86" s="1284" t="str">
        <f t="shared" si="27"/>
        <v>——</v>
      </c>
      <c r="I86" s="819">
        <v>0.15</v>
      </c>
      <c r="J86" s="1281">
        <f t="shared" si="28"/>
        <v>0</v>
      </c>
      <c r="K86" s="1281">
        <f t="shared" si="29"/>
        <v>0</v>
      </c>
      <c r="L86" s="1281">
        <v>0</v>
      </c>
      <c r="M86" s="1281">
        <f t="shared" si="30"/>
        <v>0</v>
      </c>
      <c r="N86" s="1281">
        <f t="shared" si="30"/>
        <v>0</v>
      </c>
      <c r="Z86" s="2708"/>
      <c r="AA86" s="2776"/>
      <c r="AG86" s="1368"/>
      <c r="AK86" s="2776"/>
    </row>
    <row r="87" spans="1:37" ht="24">
      <c r="A87" s="2858" t="s">
        <v>2953</v>
      </c>
      <c r="B87" s="2864" t="s">
        <v>2967</v>
      </c>
      <c r="C87" s="2758"/>
      <c r="D87" s="1282">
        <f t="shared" si="26"/>
        <v>0</v>
      </c>
      <c r="E87" s="825"/>
      <c r="F87" s="2489"/>
      <c r="G87" s="1280"/>
      <c r="H87" s="1284" t="str">
        <f t="shared" si="27"/>
        <v>——</v>
      </c>
      <c r="I87" s="819">
        <v>0.05</v>
      </c>
      <c r="J87" s="1281">
        <f t="shared" si="28"/>
        <v>0</v>
      </c>
      <c r="K87" s="1281">
        <f t="shared" si="29"/>
        <v>0</v>
      </c>
      <c r="L87" s="1281">
        <v>0</v>
      </c>
      <c r="M87" s="1281">
        <f t="shared" si="30"/>
        <v>0</v>
      </c>
      <c r="N87" s="1281">
        <f t="shared" si="30"/>
        <v>0</v>
      </c>
      <c r="Z87" s="2708"/>
      <c r="AA87" s="2776"/>
      <c r="AG87" s="1368"/>
      <c r="AK87" s="2776"/>
    </row>
    <row r="88" spans="1:37" ht="39" thickBot="1">
      <c r="A88" s="2866" t="s">
        <v>2968</v>
      </c>
      <c r="B88" s="2871" t="str">
        <f>估价对象房地状况!G18</f>
        <v>该园区内是否有污染型企业，绿化情况，卫生条件，整体环境状况判断</v>
      </c>
      <c r="C88" s="2758"/>
      <c r="D88" s="1282">
        <f t="shared" si="26"/>
        <v>0</v>
      </c>
      <c r="E88" s="826"/>
      <c r="F88" s="2489"/>
      <c r="G88" s="1280"/>
      <c r="H88" s="1284" t="str">
        <f t="shared" si="27"/>
        <v>——</v>
      </c>
      <c r="I88" s="823">
        <v>0.06</v>
      </c>
      <c r="J88" s="1281">
        <f t="shared" si="28"/>
        <v>0</v>
      </c>
      <c r="K88" s="1281">
        <f t="shared" si="29"/>
        <v>0</v>
      </c>
      <c r="L88" s="1281">
        <v>0</v>
      </c>
      <c r="M88" s="1281">
        <f t="shared" si="30"/>
        <v>0</v>
      </c>
      <c r="N88" s="1281">
        <f t="shared" si="30"/>
        <v>0</v>
      </c>
      <c r="Z88" s="2708"/>
      <c r="AA88" s="2776"/>
      <c r="AG88" s="1368"/>
      <c r="AK88" s="2776"/>
    </row>
    <row r="90" spans="1:37">
      <c r="A90" s="3623" t="s">
        <v>2969</v>
      </c>
      <c r="B90" s="3623"/>
      <c r="C90" s="3623"/>
      <c r="D90" s="3623"/>
      <c r="E90" s="3623"/>
      <c r="F90" s="3623"/>
      <c r="G90" s="3623"/>
      <c r="H90" s="3623"/>
      <c r="I90" s="3623"/>
      <c r="J90" s="3623"/>
      <c r="K90" s="2872"/>
      <c r="L90" s="2872"/>
      <c r="M90" s="2872"/>
      <c r="N90" s="2872"/>
    </row>
    <row r="91" spans="1:37">
      <c r="A91" s="3625" t="s">
        <v>2970</v>
      </c>
      <c r="B91" s="3625" t="s">
        <v>2971</v>
      </c>
      <c r="C91" s="2826" t="s">
        <v>2972</v>
      </c>
      <c r="D91" s="2827"/>
      <c r="E91" s="2827"/>
      <c r="F91" s="2827"/>
      <c r="G91" s="2827"/>
      <c r="H91" s="2827"/>
      <c r="I91" s="2827"/>
      <c r="J91" s="2873"/>
      <c r="K91" s="2874"/>
      <c r="L91" s="2874"/>
      <c r="M91" s="2874"/>
      <c r="N91" s="2874"/>
    </row>
    <row r="92" spans="1:37">
      <c r="A92" s="3625"/>
      <c r="B92" s="3625"/>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626" t="s">
        <v>2973</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627"/>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627"/>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627"/>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627"/>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627"/>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627"/>
      <c r="B99" s="2875" t="s">
        <v>2855</v>
      </c>
      <c r="C99" s="2877">
        <f>$I$3</f>
        <v>1</v>
      </c>
      <c r="D99" s="2877">
        <f t="shared" ref="D99:M99" si="31">$I$3</f>
        <v>1</v>
      </c>
      <c r="E99" s="2877">
        <f t="shared" si="31"/>
        <v>1</v>
      </c>
      <c r="F99" s="2877">
        <f t="shared" si="31"/>
        <v>1</v>
      </c>
      <c r="G99" s="2877">
        <f t="shared" si="31"/>
        <v>1</v>
      </c>
      <c r="H99" s="2877">
        <f t="shared" si="31"/>
        <v>1</v>
      </c>
      <c r="I99" s="2877">
        <f t="shared" si="31"/>
        <v>1</v>
      </c>
      <c r="J99" s="2877">
        <f t="shared" si="31"/>
        <v>1</v>
      </c>
      <c r="K99" s="2877">
        <f t="shared" si="31"/>
        <v>1</v>
      </c>
      <c r="L99" s="2877">
        <f t="shared" si="31"/>
        <v>1</v>
      </c>
      <c r="M99" s="2877">
        <f t="shared" si="31"/>
        <v>1</v>
      </c>
      <c r="N99" s="2877">
        <f>$I$3</f>
        <v>1</v>
      </c>
    </row>
    <row r="100" spans="1:14">
      <c r="A100" s="3628"/>
      <c r="B100" s="2875">
        <v>7</v>
      </c>
      <c r="C100" s="2878">
        <f>(-0.163*(C99^2)-0.59*C99+7617)*(10^(-4))</f>
        <v>0.76162470000000004</v>
      </c>
      <c r="D100" s="2878">
        <f>(-0.163*(D99^2)-0.59*D99+7617)*(10^(-4))</f>
        <v>0.76162470000000004</v>
      </c>
      <c r="E100" s="2878">
        <f>(-0.161*(E99^2)-7.509*E99+6533)*(10^(-4))</f>
        <v>0.65253300000000003</v>
      </c>
      <c r="F100" s="2878">
        <f>(-0.161*(F99^2)-7.509*F99+6533)*(10^(-4))</f>
        <v>0.65253300000000003</v>
      </c>
      <c r="G100" s="2878">
        <f>(-0.161*(G99^2)-7.509*G99+6533)*(10^(-4))</f>
        <v>0.65253300000000003</v>
      </c>
      <c r="H100" s="2878">
        <f>(-0.161*(H99^2)-7.509*H99+6533)*(10^(-4))</f>
        <v>0.65253300000000003</v>
      </c>
      <c r="I100" s="2878">
        <f>(-0.161*(I99^2)-7.509*I99+6533)*(10^(-4))</f>
        <v>0.65253300000000003</v>
      </c>
      <c r="J100" s="2878">
        <f>(-0.214*(J99^2)-21.991*J99+4665)*(10^(-4))</f>
        <v>0.46427950000000001</v>
      </c>
      <c r="K100" s="2878">
        <f>(-0.214*(K99^2)-21.991*K99+4665)*(10^(-4))</f>
        <v>0.46427950000000001</v>
      </c>
      <c r="L100" s="2878">
        <f>(-0.214*(L99^2)-21.991*L99+4665)*(10^(-4))</f>
        <v>0.46427950000000001</v>
      </c>
      <c r="M100" s="2878">
        <f>(-0.214*(M99^2)-21.991*M99+4665)*(10^(-4))</f>
        <v>0.46427950000000001</v>
      </c>
      <c r="N100" s="2878">
        <f>(-0.214*(N99^2)-21.991*N99+4665)*(10^(-4))</f>
        <v>0.46427950000000001</v>
      </c>
    </row>
    <row r="101" spans="1:14">
      <c r="A101" s="3626" t="s">
        <v>2974</v>
      </c>
      <c r="B101" s="2879" t="s">
        <v>2975</v>
      </c>
      <c r="C101" s="2880">
        <f>$G$3</f>
        <v>3</v>
      </c>
      <c r="D101" s="2880">
        <f t="shared" ref="D101:N101" si="32">$G$3</f>
        <v>3</v>
      </c>
      <c r="E101" s="2880">
        <f t="shared" si="32"/>
        <v>3</v>
      </c>
      <c r="F101" s="2880">
        <f t="shared" si="32"/>
        <v>3</v>
      </c>
      <c r="G101" s="2880">
        <f t="shared" si="32"/>
        <v>3</v>
      </c>
      <c r="H101" s="2880">
        <f t="shared" si="32"/>
        <v>3</v>
      </c>
      <c r="I101" s="2880">
        <f t="shared" si="32"/>
        <v>3</v>
      </c>
      <c r="J101" s="2880">
        <f t="shared" si="32"/>
        <v>3</v>
      </c>
      <c r="K101" s="2880">
        <f t="shared" si="32"/>
        <v>3</v>
      </c>
      <c r="L101" s="2880">
        <f t="shared" si="32"/>
        <v>3</v>
      </c>
      <c r="M101" s="2880">
        <f t="shared" si="32"/>
        <v>3</v>
      </c>
      <c r="N101" s="2880">
        <f t="shared" si="32"/>
        <v>3</v>
      </c>
    </row>
    <row r="102" spans="1:14">
      <c r="A102" s="3627"/>
      <c r="B102" s="2875">
        <v>1</v>
      </c>
      <c r="C102" s="2876">
        <f>1.9362/C101</f>
        <v>0.64539999999999997</v>
      </c>
      <c r="D102" s="2876">
        <f>1.9362/D101</f>
        <v>0.64539999999999997</v>
      </c>
      <c r="E102" s="2876">
        <f>1.8629/E101</f>
        <v>0.62096666666666667</v>
      </c>
      <c r="F102" s="2876">
        <f>1.8629/F101</f>
        <v>0.62096666666666667</v>
      </c>
      <c r="G102" s="2876">
        <f>1.8629/G101</f>
        <v>0.62096666666666667</v>
      </c>
      <c r="H102" s="2876">
        <f>1.8629/H101</f>
        <v>0.62096666666666667</v>
      </c>
      <c r="I102" s="2876">
        <f>1.8629/I101</f>
        <v>0.62096666666666667</v>
      </c>
      <c r="J102" s="2876">
        <f>1.942/J101</f>
        <v>0.64733333333333332</v>
      </c>
      <c r="K102" s="2876">
        <f>1.942/K101</f>
        <v>0.64733333333333332</v>
      </c>
      <c r="L102" s="2876">
        <f>1.942/L101</f>
        <v>0.64733333333333332</v>
      </c>
      <c r="M102" s="2876">
        <f>1.942/M101</f>
        <v>0.64733333333333332</v>
      </c>
      <c r="N102" s="2876">
        <f>1.942/N101</f>
        <v>0.64733333333333332</v>
      </c>
    </row>
    <row r="103" spans="1:14">
      <c r="A103" s="3627"/>
      <c r="B103" s="2875">
        <v>2</v>
      </c>
      <c r="C103" s="2876">
        <f>1.4198/C101</f>
        <v>0.47326666666666667</v>
      </c>
      <c r="D103" s="2876">
        <f>1.4198/D101</f>
        <v>0.47326666666666667</v>
      </c>
      <c r="E103" s="2876">
        <f>1.3372/E101</f>
        <v>0.44573333333333331</v>
      </c>
      <c r="F103" s="2876">
        <f>1.3372/F101</f>
        <v>0.44573333333333331</v>
      </c>
      <c r="G103" s="2876">
        <f>1.3372/G101</f>
        <v>0.44573333333333331</v>
      </c>
      <c r="H103" s="2876">
        <f>1.3372/H101</f>
        <v>0.44573333333333331</v>
      </c>
      <c r="I103" s="2876">
        <f>1.3372/I101</f>
        <v>0.44573333333333331</v>
      </c>
      <c r="J103" s="2876">
        <f>1.2799/J101</f>
        <v>0.42663333333333336</v>
      </c>
      <c r="K103" s="2876">
        <f>1.2799/K101</f>
        <v>0.42663333333333336</v>
      </c>
      <c r="L103" s="2876">
        <f>1.2799/L101</f>
        <v>0.42663333333333336</v>
      </c>
      <c r="M103" s="2876">
        <f>1.2799/M101</f>
        <v>0.42663333333333336</v>
      </c>
      <c r="N103" s="2876">
        <f>1.2799/N101</f>
        <v>0.42663333333333336</v>
      </c>
    </row>
    <row r="104" spans="1:14">
      <c r="A104" s="3627"/>
      <c r="B104" s="2875">
        <v>3</v>
      </c>
      <c r="C104" s="2876">
        <f>1.1594/C101</f>
        <v>0.38646666666666668</v>
      </c>
      <c r="D104" s="2876">
        <f>1.1594/D101</f>
        <v>0.38646666666666668</v>
      </c>
      <c r="E104" s="2876">
        <f>1.0788/E101</f>
        <v>0.35959999999999998</v>
      </c>
      <c r="F104" s="2876">
        <f>1.0788/F101</f>
        <v>0.35959999999999998</v>
      </c>
      <c r="G104" s="2876">
        <f>1.0788/G101</f>
        <v>0.35959999999999998</v>
      </c>
      <c r="H104" s="2876">
        <f>1.0788/H101</f>
        <v>0.35959999999999998</v>
      </c>
      <c r="I104" s="2876">
        <f>1.0788/I101</f>
        <v>0.35959999999999998</v>
      </c>
      <c r="J104" s="2876">
        <f>1.0072/J101</f>
        <v>0.33573333333333338</v>
      </c>
      <c r="K104" s="2876">
        <f>1.0072/K101</f>
        <v>0.33573333333333338</v>
      </c>
      <c r="L104" s="2876">
        <f>1.0072/L101</f>
        <v>0.33573333333333338</v>
      </c>
      <c r="M104" s="2876">
        <f>1.0072/M101</f>
        <v>0.33573333333333338</v>
      </c>
      <c r="N104" s="2876">
        <f>1.0072/N101</f>
        <v>0.33573333333333338</v>
      </c>
    </row>
    <row r="105" spans="1:14">
      <c r="A105" s="3627"/>
      <c r="B105" s="2875">
        <v>4</v>
      </c>
      <c r="C105" s="2876">
        <f>0.9622/C101</f>
        <v>0.32073333333333337</v>
      </c>
      <c r="D105" s="2876">
        <f>0.9622/D101</f>
        <v>0.32073333333333337</v>
      </c>
      <c r="E105" s="2876">
        <f>0.8656/E101</f>
        <v>0.28853333333333336</v>
      </c>
      <c r="F105" s="2876">
        <f>0.8656/F101</f>
        <v>0.28853333333333336</v>
      </c>
      <c r="G105" s="2876">
        <f>0.8656/G101</f>
        <v>0.28853333333333336</v>
      </c>
      <c r="H105" s="2876">
        <f>0.8656/H101</f>
        <v>0.28853333333333336</v>
      </c>
      <c r="I105" s="2876">
        <f>0.8656/I101</f>
        <v>0.28853333333333336</v>
      </c>
      <c r="J105" s="2876">
        <f>0.7525/J101</f>
        <v>0.2508333333333333</v>
      </c>
      <c r="K105" s="2876">
        <f>0.7525/K101</f>
        <v>0.2508333333333333</v>
      </c>
      <c r="L105" s="2876">
        <f>0.7525/L101</f>
        <v>0.2508333333333333</v>
      </c>
      <c r="M105" s="2876">
        <f>0.7525/M101</f>
        <v>0.2508333333333333</v>
      </c>
      <c r="N105" s="2876">
        <f>0.7525/N101</f>
        <v>0.2508333333333333</v>
      </c>
    </row>
    <row r="106" spans="1:14">
      <c r="A106" s="3627"/>
      <c r="B106" s="2875">
        <v>5</v>
      </c>
      <c r="C106" s="2876">
        <f>0.8417/C101</f>
        <v>0.28056666666666669</v>
      </c>
      <c r="D106" s="2876">
        <f>0.8417/D101</f>
        <v>0.28056666666666669</v>
      </c>
      <c r="E106" s="2876">
        <f>0.7371/E101</f>
        <v>0.2457</v>
      </c>
      <c r="F106" s="2876">
        <f>0.7371/F101</f>
        <v>0.2457</v>
      </c>
      <c r="G106" s="2876">
        <f>0.7371/G101</f>
        <v>0.2457</v>
      </c>
      <c r="H106" s="2876">
        <f>0.7371/H101</f>
        <v>0.2457</v>
      </c>
      <c r="I106" s="2876">
        <f>0.7371/I101</f>
        <v>0.2457</v>
      </c>
      <c r="J106" s="2876">
        <f>0.5659/J101</f>
        <v>0.18863333333333332</v>
      </c>
      <c r="K106" s="2876">
        <f>0.5659/K101</f>
        <v>0.18863333333333332</v>
      </c>
      <c r="L106" s="2876">
        <f>0.5659/L101</f>
        <v>0.18863333333333332</v>
      </c>
      <c r="M106" s="2876">
        <f>0.5659/M101</f>
        <v>0.18863333333333332</v>
      </c>
      <c r="N106" s="2876">
        <f>0.5659/N101</f>
        <v>0.18863333333333332</v>
      </c>
    </row>
    <row r="107" spans="1:14">
      <c r="A107" s="3627"/>
      <c r="B107" s="2875">
        <v>6</v>
      </c>
      <c r="C107" s="2876">
        <f>0.7608/C101</f>
        <v>0.25359999999999999</v>
      </c>
      <c r="D107" s="2876">
        <f>0.7608/D101</f>
        <v>0.25359999999999999</v>
      </c>
      <c r="E107" s="2876">
        <f>0.6482/E101</f>
        <v>0.21606666666666666</v>
      </c>
      <c r="F107" s="2876">
        <f>0.6482/F101</f>
        <v>0.21606666666666666</v>
      </c>
      <c r="G107" s="2876">
        <f>0.6482/G101</f>
        <v>0.21606666666666666</v>
      </c>
      <c r="H107" s="2876">
        <f>0.6482/H101</f>
        <v>0.21606666666666666</v>
      </c>
      <c r="I107" s="2876">
        <f>0.6482/I101</f>
        <v>0.21606666666666666</v>
      </c>
      <c r="J107" s="2876">
        <f>0.4525/J101</f>
        <v>0.15083333333333335</v>
      </c>
      <c r="K107" s="2876">
        <f>0.4525/K101</f>
        <v>0.15083333333333335</v>
      </c>
      <c r="L107" s="2876">
        <f>0.4525/L101</f>
        <v>0.15083333333333335</v>
      </c>
      <c r="M107" s="2876">
        <f>0.4525/M101</f>
        <v>0.15083333333333335</v>
      </c>
      <c r="N107" s="2876">
        <f>0.4525/N101</f>
        <v>0.15083333333333335</v>
      </c>
    </row>
    <row r="108" spans="1:14">
      <c r="A108" s="3627"/>
      <c r="B108" s="3505" t="s">
        <v>2976</v>
      </c>
      <c r="C108" s="2877">
        <f>C99</f>
        <v>1</v>
      </c>
      <c r="D108" s="2877">
        <f t="shared" ref="D108:N108" si="33">D99</f>
        <v>1</v>
      </c>
      <c r="E108" s="2877">
        <f t="shared" si="33"/>
        <v>1</v>
      </c>
      <c r="F108" s="2877">
        <f t="shared" si="33"/>
        <v>1</v>
      </c>
      <c r="G108" s="2877">
        <f t="shared" si="33"/>
        <v>1</v>
      </c>
      <c r="H108" s="2877">
        <f t="shared" si="33"/>
        <v>1</v>
      </c>
      <c r="I108" s="2877">
        <f t="shared" si="33"/>
        <v>1</v>
      </c>
      <c r="J108" s="2877">
        <f t="shared" si="33"/>
        <v>1</v>
      </c>
      <c r="K108" s="2877">
        <f t="shared" si="33"/>
        <v>1</v>
      </c>
      <c r="L108" s="2877">
        <f t="shared" si="33"/>
        <v>1</v>
      </c>
      <c r="M108" s="2877">
        <f t="shared" si="33"/>
        <v>1</v>
      </c>
      <c r="N108" s="2877">
        <f t="shared" si="33"/>
        <v>1</v>
      </c>
    </row>
    <row r="109" spans="1:14">
      <c r="A109" s="3628"/>
      <c r="B109" s="3506"/>
      <c r="C109" s="2878">
        <f>(-0.163*(C108^2)-0.59*C108+7617)*(10^(-4))/C101</f>
        <v>0.25387490000000001</v>
      </c>
      <c r="D109" s="2878">
        <f>(-0.163*(D108^2)-0.59*D108+7617)*(10^(-4))/D101</f>
        <v>0.25387490000000001</v>
      </c>
      <c r="E109" s="2878">
        <f>(-0.161*(E108^2)-7.509*E108+6533)*(10^(-4))/E101</f>
        <v>0.21751100000000001</v>
      </c>
      <c r="F109" s="2878">
        <f>(-0.161*(F108^2)-7.509*F108+6533)*(10^(-4))/F101</f>
        <v>0.21751100000000001</v>
      </c>
      <c r="G109" s="2878">
        <f>(-0.161*(G108^2)-7.509*G108+6533)*(10^(-4))/G101</f>
        <v>0.21751100000000001</v>
      </c>
      <c r="H109" s="2878">
        <f>(-0.161*(H108^2)-7.509*H108+6533)*(10^(-4))/H101</f>
        <v>0.21751100000000001</v>
      </c>
      <c r="I109" s="2878">
        <f>(-0.161*(I108^2)-7.509*I108+6533)*(10^(-4))/I101</f>
        <v>0.21751100000000001</v>
      </c>
      <c r="J109" s="2878">
        <f>(-0.214*(J108^2)-21.991*J108+4665)*(10^(-4))/J101</f>
        <v>0.15475983333333335</v>
      </c>
      <c r="K109" s="2878">
        <f>(-0.214*(K108^2)-21.991*K108+4665)*(10^(-4))/K101</f>
        <v>0.15475983333333335</v>
      </c>
      <c r="L109" s="2878">
        <f>(-0.214*(L108^2)-21.991*L108+4665)*(10^(-4))/L101</f>
        <v>0.15475983333333335</v>
      </c>
      <c r="M109" s="2878">
        <f>(-0.214*(M108^2)-21.991*M108+4665)*(10^(-4))/M101</f>
        <v>0.15475983333333335</v>
      </c>
      <c r="N109" s="2878">
        <f>(-0.214*(N108^2)-21.991*N108+4665)*(10^(-4))/N101</f>
        <v>0.15475983333333335</v>
      </c>
    </row>
    <row r="110" spans="1:14">
      <c r="A110" s="3624" t="s">
        <v>2977</v>
      </c>
      <c r="B110" s="3624"/>
      <c r="C110" s="3624"/>
      <c r="D110" s="3624"/>
      <c r="E110" s="3624"/>
      <c r="F110" s="3624"/>
      <c r="G110" s="3624"/>
      <c r="H110" s="3624"/>
      <c r="I110" s="3624"/>
      <c r="J110" s="3624"/>
      <c r="K110" s="2881"/>
      <c r="L110" s="2881"/>
      <c r="M110" s="2881"/>
      <c r="N110" s="2881"/>
    </row>
    <row r="112" spans="1:14" ht="13.5" thickBot="1"/>
    <row r="113" spans="1:13" ht="15.75" thickBot="1">
      <c r="A113" s="902" t="s">
        <v>2978</v>
      </c>
      <c r="B113" s="1283">
        <f>G3</f>
        <v>3</v>
      </c>
      <c r="C113" s="903" t="s">
        <v>2979</v>
      </c>
      <c r="D113" s="904">
        <f>SUMPRODUCT((A115:A118=F113)*(B114:M114=H113)*B115:M118)</f>
        <v>0.8004</v>
      </c>
      <c r="E113" s="2712" t="s">
        <v>2813</v>
      </c>
      <c r="F113" s="2883" t="str">
        <f>E2</f>
        <v>商业</v>
      </c>
      <c r="G113" s="2712" t="s">
        <v>2814</v>
      </c>
      <c r="H113" s="2883" t="str">
        <f>G2</f>
        <v>六级</v>
      </c>
      <c r="I113" s="2712"/>
      <c r="J113" s="2884"/>
      <c r="K113" s="2884"/>
      <c r="L113" s="2884"/>
      <c r="M113" s="2884"/>
    </row>
    <row r="114" spans="1:13">
      <c r="A114" s="907"/>
      <c r="B114" s="2885" t="s">
        <v>2980</v>
      </c>
      <c r="C114" s="2885" t="s">
        <v>2981</v>
      </c>
      <c r="D114" s="2885" t="s">
        <v>2982</v>
      </c>
      <c r="E114" s="2886" t="s">
        <v>2983</v>
      </c>
      <c r="F114" s="2886" t="s">
        <v>2984</v>
      </c>
      <c r="G114" s="2886" t="s">
        <v>2985</v>
      </c>
      <c r="H114" s="2887" t="s">
        <v>2986</v>
      </c>
      <c r="I114" s="2887" t="s">
        <v>2987</v>
      </c>
      <c r="J114" s="2888" t="s">
        <v>2988</v>
      </c>
      <c r="K114" s="2888" t="s">
        <v>2989</v>
      </c>
      <c r="L114" s="2888" t="s">
        <v>2990</v>
      </c>
      <c r="M114" s="2889" t="s">
        <v>2991</v>
      </c>
    </row>
    <row r="115" spans="1:13">
      <c r="A115" s="908" t="s">
        <v>2877</v>
      </c>
      <c r="B115" s="909">
        <f>ROUND(0.9335-0.0094*B113,4)</f>
        <v>0.90529999999999999</v>
      </c>
      <c r="C115" s="909">
        <f>B115</f>
        <v>0.90529999999999999</v>
      </c>
      <c r="D115" s="909">
        <f>ROUND(0.8331-0.0109*B113,4)</f>
        <v>0.8004</v>
      </c>
      <c r="E115" s="909">
        <f>D115</f>
        <v>0.8004</v>
      </c>
      <c r="F115" s="909">
        <f>E115</f>
        <v>0.8004</v>
      </c>
      <c r="G115" s="909">
        <f>F115</f>
        <v>0.8004</v>
      </c>
      <c r="H115" s="909">
        <f>G115</f>
        <v>0.8004</v>
      </c>
      <c r="I115" s="909">
        <f>ROUND(0.689-0.0155*B113,4)</f>
        <v>0.64249999999999996</v>
      </c>
      <c r="J115" s="909">
        <f t="shared" ref="J115:M118" si="34">I115</f>
        <v>0.64249999999999996</v>
      </c>
      <c r="K115" s="909">
        <f t="shared" si="34"/>
        <v>0.64249999999999996</v>
      </c>
      <c r="L115" s="909">
        <f t="shared" si="34"/>
        <v>0.64249999999999996</v>
      </c>
      <c r="M115" s="910">
        <f t="shared" si="34"/>
        <v>0.64249999999999996</v>
      </c>
    </row>
    <row r="116" spans="1:13">
      <c r="A116" s="908" t="s">
        <v>2878</v>
      </c>
      <c r="B116" s="909">
        <f>ROUND(0.949-0.012*B113,4)</f>
        <v>0.91300000000000003</v>
      </c>
      <c r="C116" s="909">
        <f>B116</f>
        <v>0.91300000000000003</v>
      </c>
      <c r="D116" s="909">
        <f>ROUND(0.8567-0.013*B113,4)</f>
        <v>0.81769999999999998</v>
      </c>
      <c r="E116" s="909">
        <f t="shared" ref="E116:H117" si="35">D116</f>
        <v>0.81769999999999998</v>
      </c>
      <c r="F116" s="909">
        <f t="shared" si="35"/>
        <v>0.81769999999999998</v>
      </c>
      <c r="G116" s="909">
        <f t="shared" si="35"/>
        <v>0.81769999999999998</v>
      </c>
      <c r="H116" s="909">
        <f t="shared" si="35"/>
        <v>0.81769999999999998</v>
      </c>
      <c r="I116" s="909">
        <f>ROUND(0.7694-0.014*B113,4)</f>
        <v>0.72740000000000005</v>
      </c>
      <c r="J116" s="909">
        <f t="shared" si="34"/>
        <v>0.72740000000000005</v>
      </c>
      <c r="K116" s="909">
        <f t="shared" si="34"/>
        <v>0.72740000000000005</v>
      </c>
      <c r="L116" s="909">
        <f t="shared" si="34"/>
        <v>0.72740000000000005</v>
      </c>
      <c r="M116" s="910">
        <f t="shared" si="34"/>
        <v>0.72740000000000005</v>
      </c>
    </row>
    <row r="117" spans="1:13">
      <c r="A117" s="908" t="s">
        <v>2879</v>
      </c>
      <c r="B117" s="909">
        <f>ROUND(0.8808-0.006*B113,4)</f>
        <v>0.86280000000000001</v>
      </c>
      <c r="C117" s="909">
        <f>B117</f>
        <v>0.86280000000000001</v>
      </c>
      <c r="D117" s="909">
        <f>ROUND(0.8748-0.008*B113,4)</f>
        <v>0.8508</v>
      </c>
      <c r="E117" s="909">
        <f t="shared" si="35"/>
        <v>0.8508</v>
      </c>
      <c r="F117" s="909">
        <f t="shared" si="35"/>
        <v>0.8508</v>
      </c>
      <c r="G117" s="909">
        <f t="shared" si="35"/>
        <v>0.8508</v>
      </c>
      <c r="H117" s="909">
        <f t="shared" si="35"/>
        <v>0.8508</v>
      </c>
      <c r="I117" s="909">
        <f>ROUND(0.7412-0.0095*B113,4)</f>
        <v>0.7127</v>
      </c>
      <c r="J117" s="909">
        <f t="shared" si="34"/>
        <v>0.7127</v>
      </c>
      <c r="K117" s="909">
        <f t="shared" si="34"/>
        <v>0.7127</v>
      </c>
      <c r="L117" s="909">
        <f t="shared" si="34"/>
        <v>0.7127</v>
      </c>
      <c r="M117" s="910">
        <f t="shared" si="34"/>
        <v>0.7127</v>
      </c>
    </row>
    <row r="118" spans="1:13" ht="13.5" thickBot="1">
      <c r="A118" s="713" t="s">
        <v>2880</v>
      </c>
      <c r="B118" s="911">
        <f>ROUND(0.7275-0.01*B113,4)</f>
        <v>0.69750000000000001</v>
      </c>
      <c r="C118" s="911">
        <f>B118</f>
        <v>0.69750000000000001</v>
      </c>
      <c r="D118" s="911">
        <f>ROUND(0.7043-0.012*B113,4)</f>
        <v>0.66830000000000001</v>
      </c>
      <c r="E118" s="911">
        <f>D118</f>
        <v>0.66830000000000001</v>
      </c>
      <c r="F118" s="911">
        <f>E118</f>
        <v>0.66830000000000001</v>
      </c>
      <c r="G118" s="911">
        <f>ROUND(0.6299-0.0122*B113,4)</f>
        <v>0.59330000000000005</v>
      </c>
      <c r="H118" s="911">
        <f>G118</f>
        <v>0.59330000000000005</v>
      </c>
      <c r="I118" s="911">
        <f>ROUND(0.5667-0.0136*B113,4)</f>
        <v>0.52590000000000003</v>
      </c>
      <c r="J118" s="911">
        <f t="shared" si="34"/>
        <v>0.52590000000000003</v>
      </c>
      <c r="K118" s="911">
        <f t="shared" si="34"/>
        <v>0.52590000000000003</v>
      </c>
      <c r="L118" s="911">
        <f t="shared" si="34"/>
        <v>0.52590000000000003</v>
      </c>
      <c r="M118" s="912">
        <f t="shared" si="34"/>
        <v>0.52590000000000003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87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22" customWidth="1"/>
    <col min="12" max="12" width="16.375" style="301" customWidth="1"/>
    <col min="13" max="13" width="13" style="301" customWidth="1"/>
    <col min="14" max="14" width="13.875" style="1830" customWidth="1"/>
    <col min="15" max="15" width="5.125" style="1830" customWidth="1"/>
    <col min="16" max="16" width="25.875" style="1830" customWidth="1"/>
    <col min="17" max="17" width="13.875" style="1830" customWidth="1"/>
    <col min="18" max="18" width="20.5" style="1830" customWidth="1"/>
    <col min="19" max="19" width="13.125" style="1830" customWidth="1"/>
    <col min="20" max="37" width="9" style="1830"/>
    <col min="38" max="16384" width="9" style="301"/>
  </cols>
  <sheetData>
    <row r="1" spans="1:37" s="336" customFormat="1" ht="21">
      <c r="A1" s="1821" t="s">
        <v>1583</v>
      </c>
      <c r="B1" s="781"/>
      <c r="C1" s="1825"/>
      <c r="D1" s="1808"/>
      <c r="E1" s="1809" t="s">
        <v>1381</v>
      </c>
      <c r="F1" s="1279">
        <f ca="1">J53</f>
        <v>0</v>
      </c>
      <c r="G1" s="182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1" t="s">
        <v>1509</v>
      </c>
      <c r="B2" s="1832" t="e">
        <f ca="1">C40+J29+L46</f>
        <v>#DIV/0!</v>
      </c>
      <c r="C2" s="1833" t="s">
        <v>1510</v>
      </c>
      <c r="D2" s="1833"/>
      <c r="E2" s="1834"/>
      <c r="F2" s="1835"/>
      <c r="G2" s="1836"/>
      <c r="H2" s="1828"/>
      <c r="I2" s="1828"/>
      <c r="J2" s="1828"/>
      <c r="K2" s="1829"/>
      <c r="L2" s="1828"/>
      <c r="M2" s="1828"/>
    </row>
    <row r="3" spans="1:37" ht="18" customHeight="1" thickBot="1">
      <c r="A3" s="1837" t="s">
        <v>1511</v>
      </c>
      <c r="B3" s="1838">
        <f ca="1">IF(ISERROR(B2*10000/F43),0,ROUND(B2*10000/F43,0))</f>
        <v>0</v>
      </c>
      <c r="C3" s="1833" t="s">
        <v>1512</v>
      </c>
      <c r="D3" s="1833"/>
      <c r="E3" s="1834"/>
      <c r="F3" s="1835"/>
      <c r="G3" s="1836"/>
      <c r="H3" s="743" t="s">
        <v>1582</v>
      </c>
      <c r="I3" s="1828"/>
      <c r="J3" s="1828"/>
      <c r="K3" s="1829"/>
      <c r="L3" s="1828"/>
      <c r="M3" s="1828"/>
    </row>
    <row r="4" spans="1:37" ht="18" customHeight="1">
      <c r="A4" s="339" t="s">
        <v>1390</v>
      </c>
      <c r="B4" s="340" t="s">
        <v>1391</v>
      </c>
      <c r="C4" s="340" t="s">
        <v>1392</v>
      </c>
      <c r="D4" s="340" t="s">
        <v>1393</v>
      </c>
      <c r="E4" s="341" t="s">
        <v>1394</v>
      </c>
      <c r="F4" s="342"/>
      <c r="G4" s="1839"/>
      <c r="H4" s="339" t="s">
        <v>1390</v>
      </c>
      <c r="I4" s="340" t="s">
        <v>1391</v>
      </c>
      <c r="J4" s="340" t="s">
        <v>1392</v>
      </c>
      <c r="K4" s="340" t="s">
        <v>1393</v>
      </c>
      <c r="L4" s="341" t="s">
        <v>1394</v>
      </c>
      <c r="M4" s="342"/>
    </row>
    <row r="5" spans="1:37" ht="18" customHeight="1">
      <c r="A5" s="343">
        <v>1</v>
      </c>
      <c r="B5" s="344" t="s">
        <v>1395</v>
      </c>
      <c r="C5" s="1288">
        <f ca="1">C6+C10+C12</f>
        <v>0</v>
      </c>
      <c r="D5" s="1810" t="s">
        <v>1396</v>
      </c>
      <c r="E5" s="1289"/>
      <c r="F5" s="1290"/>
      <c r="G5" s="1839"/>
      <c r="H5" s="343">
        <v>1</v>
      </c>
      <c r="I5" s="344" t="s">
        <v>1395</v>
      </c>
      <c r="J5" s="1288">
        <f ca="1">J6+J10+J12</f>
        <v>0</v>
      </c>
      <c r="K5" s="1810" t="s">
        <v>1396</v>
      </c>
      <c r="L5" s="1289"/>
      <c r="M5" s="1290"/>
    </row>
    <row r="6" spans="1:37" ht="18" customHeight="1">
      <c r="A6" s="1287" t="s">
        <v>1031</v>
      </c>
      <c r="B6" s="3646" t="s">
        <v>1397</v>
      </c>
      <c r="C6" s="1292">
        <f ca="1">ROUND(F6*F8*F7*(1-F9)/10000,0)</f>
        <v>0</v>
      </c>
      <c r="D6" s="163" t="s">
        <v>3027</v>
      </c>
      <c r="E6" s="346" t="s">
        <v>1399</v>
      </c>
      <c r="F6" s="347">
        <f ca="1">INDIRECT("'数据-取费表'!u"&amp;$G$1)</f>
        <v>0</v>
      </c>
      <c r="G6" s="1839"/>
      <c r="H6" s="1287" t="s">
        <v>1031</v>
      </c>
      <c r="I6" s="3646" t="s">
        <v>1397</v>
      </c>
      <c r="J6" s="345">
        <f ca="1">ROUND(M6*M8*M7*(1-M9)/10000,0)</f>
        <v>0</v>
      </c>
      <c r="K6" s="163" t="s">
        <v>3026</v>
      </c>
      <c r="L6" s="346" t="s">
        <v>1399</v>
      </c>
      <c r="M6" s="347">
        <f ca="1">INDIRECT("'数据-取费表'!z"&amp;$G$1)</f>
        <v>0</v>
      </c>
    </row>
    <row r="7" spans="1:37" ht="18" customHeight="1">
      <c r="A7" s="1291"/>
      <c r="B7" s="3647"/>
      <c r="C7" s="1293"/>
      <c r="D7" s="351"/>
      <c r="E7" s="1294" t="s">
        <v>1400</v>
      </c>
      <c r="F7" s="347">
        <f ca="1">IF(INDIRECT("'数据-取费表'!ah"&amp;$G$1)="",INDIRECT("'数据-取费表'!k"&amp;$G$1),INDIRECT("'数据-取费表'!ah"&amp;$G$1))</f>
        <v>0</v>
      </c>
      <c r="G7" s="1839"/>
      <c r="H7" s="348"/>
      <c r="I7" s="3647"/>
      <c r="J7" s="350"/>
      <c r="K7" s="351"/>
      <c r="L7" s="346" t="s">
        <v>1400</v>
      </c>
      <c r="M7" s="347">
        <f ca="1">F7</f>
        <v>0</v>
      </c>
    </row>
    <row r="8" spans="1:37" ht="18" customHeight="1">
      <c r="A8" s="348"/>
      <c r="B8" s="3647"/>
      <c r="C8" s="350"/>
      <c r="D8" s="351"/>
      <c r="E8" s="346" t="s">
        <v>1401</v>
      </c>
      <c r="F8" s="347">
        <f ca="1">INDIRECT("'数据-取费表'!ai"&amp;$G$1)</f>
        <v>0</v>
      </c>
      <c r="G8" s="1839"/>
      <c r="H8" s="348"/>
      <c r="I8" s="3647"/>
      <c r="J8" s="350"/>
      <c r="K8" s="351"/>
      <c r="L8" s="346" t="s">
        <v>1401</v>
      </c>
      <c r="M8" s="347">
        <f ca="1">INDIRECT("'数据-取费表'!ai"&amp;$G$1)</f>
        <v>0</v>
      </c>
    </row>
    <row r="9" spans="1:37" ht="18" customHeight="1">
      <c r="A9" s="348"/>
      <c r="B9" s="3648"/>
      <c r="C9" s="350"/>
      <c r="D9" s="351"/>
      <c r="E9" s="346" t="s">
        <v>1402</v>
      </c>
      <c r="F9" s="356">
        <f ca="1">INDIRECT("'数据-取费表'!w"&amp;$G$1)</f>
        <v>0</v>
      </c>
      <c r="G9" s="1839"/>
      <c r="H9" s="348"/>
      <c r="I9" s="3648"/>
      <c r="J9" s="350"/>
      <c r="K9" s="351"/>
      <c r="L9" s="357" t="s">
        <v>1402</v>
      </c>
      <c r="M9" s="358">
        <f ca="1">INDIRECT("'数据-取费表'!ab"&amp;$G$1)</f>
        <v>0</v>
      </c>
    </row>
    <row r="10" spans="1:37" ht="18" customHeight="1">
      <c r="A10" s="1287" t="s">
        <v>1035</v>
      </c>
      <c r="B10" s="1811" t="s">
        <v>1403</v>
      </c>
      <c r="C10" s="360">
        <f ca="1">ROUND(IF(F10="押一",C6/12*F11,IF(F10="押二",C6/12*2*F11,IF(F10="押三",C6/12*3*F11,C11*F11))),0)</f>
        <v>0</v>
      </c>
      <c r="D10" s="1812" t="s">
        <v>3036</v>
      </c>
      <c r="E10" s="357" t="s">
        <v>1404</v>
      </c>
      <c r="F10" s="1362"/>
      <c r="G10" s="1839"/>
      <c r="H10" s="1287" t="s">
        <v>1035</v>
      </c>
      <c r="I10" s="1811" t="s">
        <v>1403</v>
      </c>
      <c r="J10" s="345">
        <f ca="1">ROUND(IF(M10="押一",J6/12*M11,IF(M10="押二",J6/12*2*M11,IF(M10="押三",J6/12*3*M11,J11*M11))),0)</f>
        <v>0</v>
      </c>
      <c r="K10" s="1812" t="s">
        <v>3035</v>
      </c>
      <c r="L10" s="357" t="s">
        <v>1404</v>
      </c>
      <c r="M10" s="1362" t="s">
        <v>1405</v>
      </c>
    </row>
    <row r="11" spans="1:37" ht="18" customHeight="1">
      <c r="A11" s="352"/>
      <c r="B11" s="1813" t="s">
        <v>1382</v>
      </c>
      <c r="C11" s="1177"/>
      <c r="D11" s="1814"/>
      <c r="E11" s="357" t="s">
        <v>1406</v>
      </c>
      <c r="F11" s="358">
        <f ca="1">'数据-取费表'!B39</f>
        <v>1.4999999999999999E-2</v>
      </c>
      <c r="G11" s="1839"/>
      <c r="H11" s="1295"/>
      <c r="I11" s="1813" t="s">
        <v>1382</v>
      </c>
      <c r="J11" s="1177"/>
      <c r="K11" s="747"/>
      <c r="L11" s="357" t="s">
        <v>1406</v>
      </c>
      <c r="M11" s="1055">
        <f ca="1">'数据-取费表'!B39</f>
        <v>1.4999999999999999E-2</v>
      </c>
    </row>
    <row r="12" spans="1:37" ht="18" customHeight="1" thickBot="1">
      <c r="A12" s="1329" t="s">
        <v>1071</v>
      </c>
      <c r="B12" s="1815" t="s">
        <v>1407</v>
      </c>
      <c r="C12" s="1330"/>
      <c r="D12" s="1331"/>
      <c r="E12" s="1336"/>
      <c r="F12" s="1332"/>
      <c r="G12" s="1839"/>
      <c r="H12" s="1329" t="s">
        <v>1071</v>
      </c>
      <c r="I12" s="1815" t="s">
        <v>1407</v>
      </c>
      <c r="J12" s="1330"/>
      <c r="K12" s="1344"/>
      <c r="L12" s="1336"/>
      <c r="M12" s="1345"/>
    </row>
    <row r="13" spans="1:37" ht="18" customHeight="1" thickTop="1">
      <c r="A13" s="1325">
        <v>2</v>
      </c>
      <c r="B13" s="1326" t="s">
        <v>1408</v>
      </c>
      <c r="C13" s="354">
        <f ca="1">ROUND(C29*F13,0)</f>
        <v>0</v>
      </c>
      <c r="D13" s="1327" t="s">
        <v>1409</v>
      </c>
      <c r="E13" s="1327" t="s">
        <v>1410</v>
      </c>
      <c r="F13" s="1328">
        <f ca="1">INDIRECT("'数据-取费表'!y"&amp;$G$1)</f>
        <v>0</v>
      </c>
      <c r="G13" s="1839"/>
      <c r="H13" s="1325">
        <v>2</v>
      </c>
      <c r="I13" s="1326" t="s">
        <v>1408</v>
      </c>
      <c r="J13" s="1286">
        <f ca="1">ROUND(J14*J15,0)</f>
        <v>0</v>
      </c>
      <c r="K13" s="1333" t="s">
        <v>1409</v>
      </c>
      <c r="L13" s="1840"/>
      <c r="M13" s="1841"/>
    </row>
    <row r="14" spans="1:37" ht="18" customHeight="1">
      <c r="A14" s="1200" t="s">
        <v>1030</v>
      </c>
      <c r="B14" s="346" t="s">
        <v>1411</v>
      </c>
      <c r="C14" s="362">
        <f ca="1">INDIRECT("'数据-取费表'!m"&amp;$G$1)+INDIRECT("'数据-取费表'!t"&amp;$G$1)</f>
        <v>0</v>
      </c>
      <c r="D14" s="1788" t="s">
        <v>1412</v>
      </c>
      <c r="E14" s="1782"/>
      <c r="F14" s="363"/>
      <c r="G14" s="1839"/>
      <c r="H14" s="1200" t="s">
        <v>1031</v>
      </c>
      <c r="I14" s="346" t="s">
        <v>1413</v>
      </c>
      <c r="J14" s="24">
        <f ca="1">C29</f>
        <v>0</v>
      </c>
      <c r="K14" s="15"/>
      <c r="L14" s="978"/>
      <c r="M14" s="979"/>
    </row>
    <row r="15" spans="1:37" s="1846" customFormat="1" ht="18" customHeight="1" thickBot="1">
      <c r="A15" s="1200" t="s">
        <v>1032</v>
      </c>
      <c r="B15" s="346" t="s">
        <v>1414</v>
      </c>
      <c r="C15" s="24">
        <f ca="1">ROUND(C14*F15,0)</f>
        <v>0</v>
      </c>
      <c r="D15" s="364" t="s">
        <v>1415</v>
      </c>
      <c r="E15" s="364" t="s">
        <v>1416</v>
      </c>
      <c r="F15" s="365">
        <f>'数据-取费表'!B33</f>
        <v>0.03</v>
      </c>
      <c r="G15" s="1842"/>
      <c r="H15" s="1335" t="s">
        <v>1035</v>
      </c>
      <c r="I15" s="1336" t="s">
        <v>1410</v>
      </c>
      <c r="J15" s="1345">
        <f ca="1">INDIRECT("'数据-取费表'!ad"&amp;$G$1)</f>
        <v>0</v>
      </c>
      <c r="K15" s="1346"/>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39"/>
      <c r="H16" s="1325" t="s">
        <v>1026</v>
      </c>
      <c r="I16" s="1326" t="s">
        <v>1418</v>
      </c>
      <c r="J16" s="354">
        <f ca="1">ROUND(J17+J22+J23+J24,0)</f>
        <v>0</v>
      </c>
      <c r="K16" s="1333" t="s">
        <v>1419</v>
      </c>
      <c r="L16" s="1334"/>
      <c r="M16" s="1290"/>
    </row>
    <row r="17" spans="1:37" s="1846" customFormat="1" ht="18" customHeight="1">
      <c r="A17" s="1200" t="s">
        <v>1384</v>
      </c>
      <c r="B17" s="346" t="s">
        <v>1420</v>
      </c>
      <c r="C17" s="24">
        <f ca="1">ROUND(F17*(F43+INDIRECT("'数据-取费表'!S"&amp;$G$1))/10000,0)</f>
        <v>0</v>
      </c>
      <c r="D17" s="346" t="s">
        <v>1421</v>
      </c>
      <c r="E17" s="346" t="s">
        <v>1422</v>
      </c>
      <c r="F17" s="26">
        <f>'数据-取费表'!B35</f>
        <v>200</v>
      </c>
      <c r="G17" s="1842"/>
      <c r="H17" s="1200" t="s">
        <v>1031</v>
      </c>
      <c r="I17" s="346" t="s">
        <v>1423</v>
      </c>
      <c r="J17" s="24">
        <f ca="1">ROUND(IF(项目基本情况!B11="自然人",J6*M17/(1+'数据-取费表'!C42),J18+J19+J20),1)</f>
        <v>0</v>
      </c>
      <c r="K17" s="1788" t="s">
        <v>1424</v>
      </c>
      <c r="L17" s="1786" t="s">
        <v>1425</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200" t="s">
        <v>1385</v>
      </c>
      <c r="B18" s="346" t="s">
        <v>1426</v>
      </c>
      <c r="C18" s="24">
        <f ca="1">ROUND(C14*F18,0)</f>
        <v>0</v>
      </c>
      <c r="D18" s="346" t="s">
        <v>1415</v>
      </c>
      <c r="E18" s="346" t="s">
        <v>1416</v>
      </c>
      <c r="F18" s="366">
        <f>'数据-取费表'!B36</f>
        <v>1.4999999999999999E-2</v>
      </c>
      <c r="G18" s="1842"/>
      <c r="H18" s="1200" t="s">
        <v>1030</v>
      </c>
      <c r="I18" s="346" t="s">
        <v>1427</v>
      </c>
      <c r="J18" s="24">
        <f ca="1">ROUND(J6*M18/(1+'数据-取费表'!C42),2)</f>
        <v>0</v>
      </c>
      <c r="K18" s="1786" t="s">
        <v>1428</v>
      </c>
      <c r="L18" s="346" t="s">
        <v>1416</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200" t="s">
        <v>1031</v>
      </c>
      <c r="B19" s="346" t="s">
        <v>1429</v>
      </c>
      <c r="C19" s="24">
        <f ca="1">SUM(C14:C18)</f>
        <v>0</v>
      </c>
      <c r="D19" s="139" t="s">
        <v>1430</v>
      </c>
      <c r="E19" s="1806"/>
      <c r="F19" s="26"/>
      <c r="G19" s="1839"/>
      <c r="H19" s="1200" t="s">
        <v>1032</v>
      </c>
      <c r="I19" s="346" t="s">
        <v>1431</v>
      </c>
      <c r="J19" s="24">
        <f ca="1">IF(K19="按租金收入计税",ROUND(J6*M19/(1+'数据-取费表'!C42),2),ROUND(C29*M19*0.7,2))</f>
        <v>0</v>
      </c>
      <c r="K19" s="1816" t="s">
        <v>1432</v>
      </c>
      <c r="L19" s="346" t="s">
        <v>1416</v>
      </c>
      <c r="M19" s="366">
        <f>IF(K19="按租金收入计税",'数据-取费表'!B51,'数据-取费表'!B50)</f>
        <v>1.2E-2</v>
      </c>
    </row>
    <row r="20" spans="1:37" s="1846" customFormat="1" ht="18" customHeight="1">
      <c r="A20" s="1200" t="s">
        <v>1035</v>
      </c>
      <c r="B20" s="346" t="s">
        <v>1433</v>
      </c>
      <c r="C20" s="24">
        <f ca="1">ROUND(C19*F20,0)</f>
        <v>0</v>
      </c>
      <c r="D20" s="368" t="s">
        <v>1434</v>
      </c>
      <c r="E20" s="346" t="s">
        <v>1416</v>
      </c>
      <c r="F20" s="366">
        <f>'数据-取费表'!B37</f>
        <v>0.02</v>
      </c>
      <c r="G20" s="1842"/>
      <c r="H20" s="1200" t="s">
        <v>1383</v>
      </c>
      <c r="I20" s="163" t="s">
        <v>1435</v>
      </c>
      <c r="J20" s="25">
        <f ca="1">ROUND(M20*M21/10000,2)</f>
        <v>0</v>
      </c>
      <c r="K20" s="369" t="s">
        <v>1436</v>
      </c>
      <c r="L20" s="346" t="s">
        <v>1437</v>
      </c>
      <c r="M20" s="370">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200" t="s">
        <v>1071</v>
      </c>
      <c r="B21" s="346" t="s">
        <v>1438</v>
      </c>
      <c r="C21" s="24" t="s">
        <v>18</v>
      </c>
      <c r="D21" s="368" t="s">
        <v>1439</v>
      </c>
      <c r="E21" s="346" t="s">
        <v>1440</v>
      </c>
      <c r="F21" s="366">
        <f>'数据-取费表'!B38</f>
        <v>0.02</v>
      </c>
      <c r="G21" s="1842"/>
      <c r="H21" s="371"/>
      <c r="I21" s="355"/>
      <c r="J21" s="29"/>
      <c r="K21" s="372"/>
      <c r="L21" s="346" t="s">
        <v>1441</v>
      </c>
      <c r="M21" s="347">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6"/>
      <c r="F22" s="26"/>
      <c r="G22" s="1839"/>
      <c r="H22" s="1200" t="s">
        <v>1035</v>
      </c>
      <c r="I22" s="346" t="s">
        <v>1443</v>
      </c>
      <c r="J22" s="24">
        <f ca="1">ROUND(J14*M22,1)</f>
        <v>0</v>
      </c>
      <c r="K22" s="1786" t="s">
        <v>1444</v>
      </c>
      <c r="L22" s="346" t="s">
        <v>1416</v>
      </c>
      <c r="M22" s="373">
        <f ca="1">INDIRECT("'数据-取费表'!Ak"&amp;$G$1)</f>
        <v>0</v>
      </c>
    </row>
    <row r="23" spans="1:37" s="1846"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1.5</v>
      </c>
      <c r="G23" s="1842"/>
      <c r="H23" s="1200" t="s">
        <v>1071</v>
      </c>
      <c r="I23" s="346" t="s">
        <v>1447</v>
      </c>
      <c r="J23" s="24">
        <f ca="1">ROUND(J13*M23,1)</f>
        <v>0</v>
      </c>
      <c r="K23" s="1786" t="s">
        <v>1448</v>
      </c>
      <c r="L23" s="346" t="s">
        <v>1449</v>
      </c>
      <c r="M23" s="375">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200" t="s">
        <v>1450</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2"/>
      <c r="H24" s="1335" t="s">
        <v>1387</v>
      </c>
      <c r="I24" s="1336" t="s">
        <v>1433</v>
      </c>
      <c r="J24" s="1337">
        <f ca="1">ROUND(J5*M24,1)</f>
        <v>0</v>
      </c>
      <c r="K24" s="1338" t="s">
        <v>1453</v>
      </c>
      <c r="L24" s="1336" t="s">
        <v>1449</v>
      </c>
      <c r="M24" s="1332">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200" t="s">
        <v>1454</v>
      </c>
      <c r="B25" s="346" t="s">
        <v>1455</v>
      </c>
      <c r="C25" s="24"/>
      <c r="D25" s="139" t="s">
        <v>1456</v>
      </c>
      <c r="E25" s="1806"/>
      <c r="F25" s="26"/>
      <c r="G25" s="1839"/>
      <c r="H25" s="1325" t="s">
        <v>1027</v>
      </c>
      <c r="I25" s="1340" t="s">
        <v>1457</v>
      </c>
      <c r="J25" s="354">
        <f ca="1">J5-J16</f>
        <v>0</v>
      </c>
      <c r="K25" s="1341" t="s">
        <v>1458</v>
      </c>
      <c r="L25" s="1342"/>
      <c r="M25" s="1343"/>
    </row>
    <row r="26" spans="1:37">
      <c r="A26" s="1200" t="s">
        <v>1030</v>
      </c>
      <c r="B26" s="346" t="s">
        <v>1459</v>
      </c>
      <c r="C26" s="24">
        <f ca="1">ROUND((C19+C20)*F26,0)</f>
        <v>0</v>
      </c>
      <c r="D26" s="368" t="s">
        <v>1460</v>
      </c>
      <c r="E26" s="357" t="s">
        <v>1461</v>
      </c>
      <c r="F26" s="356">
        <f ca="1">INDIRECT("'数据-取费表'!q"&amp;$G$1)</f>
        <v>0</v>
      </c>
      <c r="G26" s="1839"/>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39"/>
      <c r="H27" s="348"/>
      <c r="I27" s="349"/>
      <c r="J27" s="350"/>
      <c r="K27" s="377" t="s">
        <v>1467</v>
      </c>
      <c r="L27" s="346" t="s">
        <v>1468</v>
      </c>
      <c r="M27" s="378">
        <f ca="1">INDIRECT("'数据-取费表'!ag"&amp;$G$1)</f>
        <v>0</v>
      </c>
    </row>
    <row r="28" spans="1:37" s="1846" customFormat="1" ht="18" customHeight="1">
      <c r="A28" s="1200" t="s">
        <v>1033</v>
      </c>
      <c r="B28" s="346" t="s">
        <v>1469</v>
      </c>
      <c r="C28" s="24">
        <f>ROUND(F28/(1+'数据-取费表'!C42),4)</f>
        <v>5.33E-2</v>
      </c>
      <c r="D28" s="368" t="s">
        <v>1470</v>
      </c>
      <c r="E28" s="346" t="s">
        <v>1416</v>
      </c>
      <c r="F28" s="366">
        <f>'数据-取费表'!B41</f>
        <v>5.6000000000000001E-2</v>
      </c>
      <c r="G28" s="1842"/>
      <c r="H28" s="352"/>
      <c r="I28" s="353"/>
      <c r="J28" s="354"/>
      <c r="K28" s="372"/>
      <c r="L28" s="346" t="s">
        <v>1471</v>
      </c>
      <c r="M28" s="356">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5" t="s">
        <v>1034</v>
      </c>
      <c r="B29" s="1336" t="s">
        <v>1472</v>
      </c>
      <c r="C29" s="1337">
        <f ca="1">ROUND((C19+C20+C23+C26)/(1-F21-C24-C27-C28),0)</f>
        <v>0</v>
      </c>
      <c r="D29" s="1338"/>
      <c r="E29" s="1336"/>
      <c r="F29" s="1339"/>
      <c r="G29" s="1842"/>
      <c r="H29" s="379" t="s">
        <v>1029</v>
      </c>
      <c r="I29" s="380" t="s">
        <v>1473</v>
      </c>
      <c r="J29" s="381">
        <f ca="1">ROUND(J26/(1+F40)^F41,0)</f>
        <v>0</v>
      </c>
      <c r="K29" s="382" t="s">
        <v>1474</v>
      </c>
      <c r="L29" s="383"/>
      <c r="M29" s="384">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5" t="s">
        <v>1026</v>
      </c>
      <c r="B30" s="1326" t="s">
        <v>1418</v>
      </c>
      <c r="C30" s="354">
        <f ca="1">ROUND(C31+C36+C37+C38,0)</f>
        <v>0</v>
      </c>
      <c r="D30" s="1333" t="s">
        <v>1419</v>
      </c>
      <c r="E30" s="1334"/>
      <c r="F30" s="1290"/>
      <c r="G30" s="1839"/>
      <c r="H30" s="744"/>
      <c r="I30" s="745"/>
      <c r="J30" s="746"/>
      <c r="K30" s="747"/>
      <c r="L30" s="748"/>
      <c r="M30" s="749"/>
    </row>
    <row r="31" spans="1:37" ht="18" customHeight="1">
      <c r="A31" s="1200" t="s">
        <v>1031</v>
      </c>
      <c r="B31" s="346" t="s">
        <v>1423</v>
      </c>
      <c r="C31" s="24">
        <f ca="1">ROUND(IF(项目基本情况!B11="自然人",C6*F31/(1+'数据-取费表'!C42),C32+C33+C34),1)</f>
        <v>0</v>
      </c>
      <c r="D31" s="1788" t="s">
        <v>1424</v>
      </c>
      <c r="E31" s="1786" t="s">
        <v>1475</v>
      </c>
      <c r="F31" s="367" t="str">
        <f ca="1">IF(项目基本情况!B11="企业","",IF(INDIRECT("'数据-取费表'!c"&amp;$G$1)="住宅",5%,IF(F6*F7*F8/12/(1+'数据-取费表'!C42)&gt;20000,12%,7%)))</f>
        <v/>
      </c>
      <c r="G31" s="1839"/>
      <c r="H31" s="744"/>
      <c r="I31" s="745"/>
      <c r="J31" s="746"/>
      <c r="K31" s="747"/>
      <c r="L31" s="748"/>
      <c r="M31" s="749"/>
    </row>
    <row r="32" spans="1:37" ht="18" customHeight="1">
      <c r="A32" s="1200" t="s">
        <v>1030</v>
      </c>
      <c r="B32" s="346" t="s">
        <v>1427</v>
      </c>
      <c r="C32" s="24">
        <f ca="1">IF(项目基本情况!B11="自然人","——",ROUND(C6*F32/(1+'数据-取费表'!C42),2))</f>
        <v>0</v>
      </c>
      <c r="D32" s="1786" t="s">
        <v>1428</v>
      </c>
      <c r="E32" s="346" t="s">
        <v>1416</v>
      </c>
      <c r="F32" s="376">
        <f>'数据-取费表'!B41</f>
        <v>5.6000000000000001E-2</v>
      </c>
      <c r="G32" s="1839"/>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0</v>
      </c>
      <c r="D33" s="1816" t="s">
        <v>1432</v>
      </c>
      <c r="E33" s="346" t="s">
        <v>1416</v>
      </c>
      <c r="F33" s="366">
        <f>IF(D33="按票据","——",IF(D33="按租金收入计税",'数据-取费表'!B51,'数据-取费表'!B50))</f>
        <v>1.2E-2</v>
      </c>
      <c r="G33" s="1839"/>
      <c r="H33" s="1847"/>
      <c r="I33" s="1848"/>
      <c r="J33" s="1849"/>
      <c r="K33" s="1850"/>
      <c r="L33" s="1847"/>
      <c r="M33" s="1847"/>
    </row>
    <row r="34" spans="1:18" ht="18" customHeight="1">
      <c r="A34" s="1287" t="s">
        <v>1383</v>
      </c>
      <c r="B34" s="163" t="s">
        <v>1435</v>
      </c>
      <c r="C34" s="25">
        <f ca="1">IF(项目基本情况!B11="自然人","——",ROUND(F34*F35/10000,2))</f>
        <v>0</v>
      </c>
      <c r="D34" s="369" t="s">
        <v>1436</v>
      </c>
      <c r="E34" s="346" t="s">
        <v>1437</v>
      </c>
      <c r="F34" s="370">
        <f>'数据-取费表'!B52</f>
        <v>1.5</v>
      </c>
      <c r="G34" s="1839"/>
      <c r="H34" s="744"/>
      <c r="I34" s="1848"/>
      <c r="J34" s="1849"/>
      <c r="K34" s="1851"/>
      <c r="L34" s="1852"/>
      <c r="M34" s="1852"/>
    </row>
    <row r="35" spans="1:18" ht="18" customHeight="1">
      <c r="A35" s="1349"/>
      <c r="B35" s="1347"/>
      <c r="C35" s="29"/>
      <c r="D35" s="372"/>
      <c r="E35" s="346" t="s">
        <v>1441</v>
      </c>
      <c r="F35" s="347">
        <f ca="1">INDIRECT("'数据-取费表'!r"&amp;$G$1)</f>
        <v>0</v>
      </c>
      <c r="G35" s="1839"/>
      <c r="H35" s="744"/>
      <c r="I35" s="1848"/>
      <c r="J35" s="1849"/>
      <c r="K35" s="1850"/>
      <c r="L35" s="1847"/>
      <c r="M35" s="1847"/>
    </row>
    <row r="36" spans="1:18" ht="18" customHeight="1">
      <c r="A36" s="1348" t="s">
        <v>1035</v>
      </c>
      <c r="B36" s="346" t="s">
        <v>1443</v>
      </c>
      <c r="C36" s="24">
        <f ca="1">ROUND(C29*F36,1)</f>
        <v>0</v>
      </c>
      <c r="D36" s="1786" t="s">
        <v>1476</v>
      </c>
      <c r="E36" s="346" t="s">
        <v>1416</v>
      </c>
      <c r="F36" s="373">
        <f ca="1">INDIRECT("'数据-取费表'!Ak"&amp;$G$1)</f>
        <v>0</v>
      </c>
      <c r="G36" s="1839"/>
      <c r="H36" s="1847"/>
      <c r="I36" s="1848"/>
      <c r="J36" s="1849"/>
      <c r="K36" s="750"/>
      <c r="L36" s="1847"/>
      <c r="M36" s="1847"/>
    </row>
    <row r="37" spans="1:18" ht="18" customHeight="1">
      <c r="A37" s="1200" t="s">
        <v>1071</v>
      </c>
      <c r="B37" s="346" t="s">
        <v>1447</v>
      </c>
      <c r="C37" s="24">
        <f ca="1">ROUND(C13*F37,1)</f>
        <v>0</v>
      </c>
      <c r="D37" s="1786" t="s">
        <v>1448</v>
      </c>
      <c r="E37" s="346" t="s">
        <v>1449</v>
      </c>
      <c r="F37" s="375">
        <f ca="1">INDIRECT("'数据-取费表'!Al"&amp;$G$1)</f>
        <v>0</v>
      </c>
      <c r="G37" s="1839"/>
      <c r="H37" s="1847"/>
      <c r="I37" s="1848"/>
      <c r="J37" s="1849"/>
      <c r="K37" s="750"/>
      <c r="L37" s="1847"/>
      <c r="M37" s="1847"/>
    </row>
    <row r="38" spans="1:18" ht="18" customHeight="1" thickBot="1">
      <c r="A38" s="1335" t="s">
        <v>1387</v>
      </c>
      <c r="B38" s="1336" t="s">
        <v>1433</v>
      </c>
      <c r="C38" s="1337">
        <f ca="1">ROUND(C5*F38,1)</f>
        <v>0</v>
      </c>
      <c r="D38" s="1338" t="s">
        <v>1453</v>
      </c>
      <c r="E38" s="1336" t="s">
        <v>1449</v>
      </c>
      <c r="F38" s="1332">
        <f ca="1">INDIRECT("'数据-取费表'!Am"&amp;$G$1)</f>
        <v>0</v>
      </c>
      <c r="G38" s="1839"/>
      <c r="H38" s="1847"/>
      <c r="I38" s="1848"/>
      <c r="J38" s="1849"/>
      <c r="K38" s="1853"/>
      <c r="L38" s="1847"/>
      <c r="M38" s="1847"/>
    </row>
    <row r="39" spans="1:18" ht="24.6" customHeight="1" thickTop="1">
      <c r="A39" s="1325" t="s">
        <v>1027</v>
      </c>
      <c r="B39" s="1340" t="s">
        <v>1477</v>
      </c>
      <c r="C39" s="354">
        <f ca="1">C5-C30</f>
        <v>0</v>
      </c>
      <c r="D39" s="1341" t="s">
        <v>1478</v>
      </c>
      <c r="E39" s="1342"/>
      <c r="F39" s="1343"/>
      <c r="G39" s="1839"/>
      <c r="H39" s="1847"/>
      <c r="I39" s="1848"/>
      <c r="J39" s="1849"/>
      <c r="K39" s="1853"/>
      <c r="L39" s="1847"/>
      <c r="M39" s="1847"/>
    </row>
    <row r="40" spans="1:18" ht="18" customHeight="1">
      <c r="A40" s="343" t="s">
        <v>1028</v>
      </c>
      <c r="B40" s="344" t="s">
        <v>1479</v>
      </c>
      <c r="C40" s="345" t="e">
        <f ca="1">ROUND(C39*(1-((1+F42)/(1+F40))^F41)/(F40-F42),0)</f>
        <v>#DIV/0!</v>
      </c>
      <c r="D40" s="369" t="s">
        <v>1463</v>
      </c>
      <c r="E40" s="346" t="s">
        <v>1464</v>
      </c>
      <c r="F40" s="356">
        <f ca="1">INDIRECT("'数据-取费表'!I"&amp;$G$1)</f>
        <v>0</v>
      </c>
      <c r="G40" s="1839"/>
      <c r="H40" s="1827"/>
      <c r="I40" s="1848"/>
      <c r="J40" s="1849"/>
      <c r="K40" s="1853"/>
      <c r="L40" s="1827"/>
      <c r="M40" s="1827"/>
    </row>
    <row r="41" spans="1:18" ht="18" customHeight="1">
      <c r="A41" s="348"/>
      <c r="B41" s="349"/>
      <c r="C41" s="350"/>
      <c r="D41" s="377" t="s">
        <v>1480</v>
      </c>
      <c r="E41" s="346" t="s">
        <v>1468</v>
      </c>
      <c r="F41" s="378">
        <f ca="1">IF(INDIRECT("'数据-取费表'!af"&amp;$G$1)=0,INDIRECT("'数据-取费表'!ae"&amp;$G$1),INDIRECT("'数据-取费表'!af"&amp;$G$1))</f>
        <v>0</v>
      </c>
      <c r="G41" s="1839"/>
      <c r="H41" s="731"/>
      <c r="I41" s="1848"/>
      <c r="J41" s="1849"/>
      <c r="K41" s="750"/>
      <c r="L41" s="731"/>
      <c r="M41" s="731"/>
    </row>
    <row r="42" spans="1:18" ht="18" customHeight="1">
      <c r="A42" s="352"/>
      <c r="B42" s="353"/>
      <c r="C42" s="354"/>
      <c r="D42" s="372"/>
      <c r="E42" s="346" t="s">
        <v>1471</v>
      </c>
      <c r="F42" s="356">
        <f ca="1">INDIRECT("'数据-取费表'!v"&amp;$G$1)</f>
        <v>0</v>
      </c>
      <c r="G42" s="1839"/>
      <c r="H42" s="731"/>
      <c r="I42" s="1848"/>
      <c r="J42" s="1849"/>
      <c r="K42" s="750"/>
      <c r="L42" s="731"/>
      <c r="M42" s="731"/>
    </row>
    <row r="43" spans="1:18" ht="18" customHeight="1" thickBot="1">
      <c r="A43" s="379" t="s">
        <v>1029</v>
      </c>
      <c r="B43" s="380" t="s">
        <v>1481</v>
      </c>
      <c r="C43" s="381" t="e">
        <f ca="1">ROUND(C40*10000/F43,0)</f>
        <v>#DIV/0!</v>
      </c>
      <c r="D43" s="382" t="s">
        <v>1482</v>
      </c>
      <c r="E43" s="383" t="s">
        <v>1483</v>
      </c>
      <c r="F43" s="384">
        <f ca="1">INDIRECT("'数据-取费表'!k"&amp;$G$1)</f>
        <v>0</v>
      </c>
      <c r="G43" s="1839"/>
      <c r="H43" s="731"/>
      <c r="I43" s="731"/>
      <c r="J43" s="731"/>
      <c r="K43" s="750"/>
      <c r="L43" s="731"/>
      <c r="M43" s="731"/>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5"/>
      <c r="O45" s="1857" t="s">
        <v>1513</v>
      </c>
      <c r="P45" s="1827"/>
      <c r="Q45" s="1827"/>
      <c r="R45" s="1827"/>
    </row>
    <row r="46" spans="1:18" s="1830" customFormat="1" ht="13.5" thickBot="1">
      <c r="A46" s="1858" t="s">
        <v>1514</v>
      </c>
      <c r="C46" s="1859" t="e">
        <f ca="1">C68-C40</f>
        <v>#DIV/0!</v>
      </c>
      <c r="D46" s="1860" t="str">
        <f>C2</f>
        <v>万元</v>
      </c>
      <c r="E46" s="1854"/>
      <c r="F46" s="1854"/>
      <c r="I46" s="1861" t="s">
        <v>1515</v>
      </c>
      <c r="J46" s="1862"/>
      <c r="K46" s="1863"/>
      <c r="L46" s="1864" t="e">
        <f ca="1">IF(M47="住宅",0,IF(L48&gt;J51,L60,J60))</f>
        <v>#DIV/0!</v>
      </c>
      <c r="O46" s="1865" t="s">
        <v>1516</v>
      </c>
      <c r="P46" s="1866" t="s">
        <v>1517</v>
      </c>
      <c r="Q46" s="1867" t="s">
        <v>1518</v>
      </c>
      <c r="R46" s="1867" t="s">
        <v>1519</v>
      </c>
    </row>
    <row r="47" spans="1:18" s="1830" customFormat="1" ht="13.5" thickBot="1">
      <c r="A47" s="1164" t="s">
        <v>1390</v>
      </c>
      <c r="B47" s="1196" t="s">
        <v>1391</v>
      </c>
      <c r="C47" s="1363" t="s">
        <v>1392</v>
      </c>
      <c r="D47" s="1196" t="s">
        <v>1393</v>
      </c>
      <c r="E47" s="1275" t="s">
        <v>1394</v>
      </c>
      <c r="F47" s="1276"/>
      <c r="G47" s="791"/>
      <c r="I47" s="1868" t="s">
        <v>1520</v>
      </c>
      <c r="J47" s="1869"/>
      <c r="K47" s="1870" t="s">
        <v>1521</v>
      </c>
      <c r="L47" s="1871">
        <f ca="1">INDIRECT("'数据-取费表'!d"&amp;$G$1)</f>
        <v>0</v>
      </c>
      <c r="M47" s="1826" t="str">
        <f>IF(ISNUMBER(FIND("住宅",C1)),"住宅","非住宅")</f>
        <v>非住宅</v>
      </c>
      <c r="O47" s="1872" t="s">
        <v>1036</v>
      </c>
      <c r="P47" s="1873" t="s">
        <v>1522</v>
      </c>
      <c r="Q47" s="1874" t="e">
        <f ca="1">C40+J29</f>
        <v>#DIV/0!</v>
      </c>
      <c r="R47" s="1874" t="s">
        <v>1523</v>
      </c>
    </row>
    <row r="48" spans="1:18" s="1830" customFormat="1" ht="28.5" thickBot="1">
      <c r="A48" s="1356" t="s">
        <v>1131</v>
      </c>
      <c r="B48" s="344" t="s">
        <v>1395</v>
      </c>
      <c r="C48" s="1805">
        <f ca="1">C49+C53+C55</f>
        <v>0</v>
      </c>
      <c r="D48" s="1358"/>
      <c r="E48" s="1359"/>
      <c r="F48" s="1180"/>
      <c r="G48" s="791"/>
      <c r="H48" s="792"/>
      <c r="I48" s="1875" t="s">
        <v>1524</v>
      </c>
      <c r="J48" s="1876"/>
      <c r="K48" s="1877" t="s">
        <v>1525</v>
      </c>
      <c r="L48" s="1878">
        <f ca="1">INDIRECT("'数据-取费表'!f"&amp;$G$1)</f>
        <v>0</v>
      </c>
      <c r="O48" s="1872" t="s">
        <v>1037</v>
      </c>
      <c r="P48" s="1873" t="s">
        <v>1526</v>
      </c>
      <c r="Q48" s="1874" t="e">
        <f ca="1">J60</f>
        <v>#DIV/0!</v>
      </c>
      <c r="R48" s="1874" t="s">
        <v>1527</v>
      </c>
    </row>
    <row r="49" spans="1:18" s="1830" customFormat="1" ht="13.5" thickBot="1">
      <c r="A49" s="1193" t="s">
        <v>1132</v>
      </c>
      <c r="B49" s="1817" t="s">
        <v>1484</v>
      </c>
      <c r="C49" s="1360">
        <f ca="1">ROUND(F49*F51*F50*(1-F52)/10000,0)</f>
        <v>0</v>
      </c>
      <c r="D49" s="1272" t="s">
        <v>3028</v>
      </c>
      <c r="E49" s="1818" t="s">
        <v>1485</v>
      </c>
      <c r="F49" s="1277"/>
      <c r="G49" s="1879"/>
      <c r="H49" s="792"/>
      <c r="I49" s="1875" t="s">
        <v>1528</v>
      </c>
      <c r="J49" s="1880"/>
      <c r="K49" s="1877" t="s">
        <v>1529</v>
      </c>
      <c r="L49" s="1881"/>
      <c r="O49" s="1882" t="s">
        <v>1038</v>
      </c>
      <c r="P49" s="1873" t="s">
        <v>1530</v>
      </c>
      <c r="Q49" s="1874">
        <f ca="1">C29</f>
        <v>0</v>
      </c>
      <c r="R49" s="1874" t="s">
        <v>1523</v>
      </c>
    </row>
    <row r="50" spans="1:18" s="1830" customFormat="1" ht="13.5" thickBot="1">
      <c r="A50" s="1194"/>
      <c r="B50" s="1197"/>
      <c r="C50" s="1364"/>
      <c r="D50" s="1171"/>
      <c r="E50" s="1273" t="s">
        <v>1400</v>
      </c>
      <c r="F50" s="1274">
        <f ca="1">F7</f>
        <v>0</v>
      </c>
      <c r="H50" s="792"/>
      <c r="I50" s="1875" t="s">
        <v>1531</v>
      </c>
      <c r="J50" s="1883">
        <f>SUMPRODUCT((I63:I65=J47)*(J62:L62=J48)*(J63:L65))</f>
        <v>0</v>
      </c>
      <c r="K50" s="1877" t="s">
        <v>1532</v>
      </c>
      <c r="L50" s="1881"/>
      <c r="M50" s="1884"/>
      <c r="O50" s="1882" t="s">
        <v>1039</v>
      </c>
      <c r="P50" s="1873" t="s">
        <v>1533</v>
      </c>
      <c r="Q50" s="1885" t="e">
        <f ca="1">J58</f>
        <v>#DIV/0!</v>
      </c>
      <c r="R50" s="1874"/>
    </row>
    <row r="51" spans="1:18" s="1830" customFormat="1" ht="13.5" thickBot="1">
      <c r="A51" s="1195"/>
      <c r="B51" s="1197"/>
      <c r="C51" s="1198"/>
      <c r="D51" s="1171"/>
      <c r="E51" s="1199" t="s">
        <v>1401</v>
      </c>
      <c r="F51" s="347">
        <f ca="1">F8</f>
        <v>0</v>
      </c>
      <c r="I51" s="1886" t="s">
        <v>1534</v>
      </c>
      <c r="J51" s="1887">
        <f>IF(J49="",J50,J49+J50-YEAR('数据-取费表'!B2))</f>
        <v>0</v>
      </c>
      <c r="K51" s="1888" t="s">
        <v>1535</v>
      </c>
      <c r="L51" s="1889">
        <f ca="1">ROUND(-PV(INDIRECT("'数据-取费表'!h"&amp;$G$1),J51,(C39-C13*C76),0),0)</f>
        <v>0</v>
      </c>
      <c r="M51" s="1890"/>
      <c r="O51" s="1882" t="s">
        <v>1040</v>
      </c>
      <c r="P51" s="1873" t="s">
        <v>1536</v>
      </c>
      <c r="Q51" s="1885">
        <f>J52</f>
        <v>0</v>
      </c>
      <c r="R51" s="1874"/>
    </row>
    <row r="52" spans="1:18" s="1830" customFormat="1" ht="13.5" thickBot="1">
      <c r="A52" s="1195"/>
      <c r="B52" s="1197"/>
      <c r="C52" s="1198"/>
      <c r="D52" s="1171"/>
      <c r="E52" s="1199" t="s">
        <v>1402</v>
      </c>
      <c r="F52" s="1271"/>
      <c r="I52" s="1891" t="s">
        <v>1537</v>
      </c>
      <c r="J52" s="1892"/>
      <c r="K52" s="1891" t="s">
        <v>1538</v>
      </c>
      <c r="L52" s="1892"/>
      <c r="O52" s="1882" t="s">
        <v>1041</v>
      </c>
      <c r="P52" s="1873" t="s">
        <v>1539</v>
      </c>
      <c r="Q52" s="1874">
        <f ca="1">J53</f>
        <v>0</v>
      </c>
      <c r="R52" s="1874" t="s">
        <v>1540</v>
      </c>
    </row>
    <row r="53" spans="1:18" s="1830" customFormat="1" ht="24.75" thickBot="1">
      <c r="A53" s="1401" t="s">
        <v>1133</v>
      </c>
      <c r="B53" s="1819" t="s">
        <v>1403</v>
      </c>
      <c r="C53" s="360">
        <f ca="1">ROUND(IF(F53="押一",C49/12*F11,IF(F53="押二",C49/12*2*F11,IF(F53="押三",C49/12*3*F11,C54*F11))),0)</f>
        <v>0</v>
      </c>
      <c r="D53" s="1812" t="s">
        <v>3035</v>
      </c>
      <c r="E53" s="357" t="s">
        <v>1404</v>
      </c>
      <c r="F53" s="1362"/>
      <c r="I53" s="1893" t="s">
        <v>1541</v>
      </c>
      <c r="J53" s="2937">
        <f ca="1">IF(M47="住宅",IF(D1="——",MAX(J51,L48),MAX(J51,L48-'数据-取费表'!B24)),IF(D1="——",MIN(J51,L48),MIN(J51,L48-'数据-取费表'!B24)))</f>
        <v>0</v>
      </c>
      <c r="K53" s="3644" t="s">
        <v>1542</v>
      </c>
      <c r="L53" s="3645"/>
      <c r="O53" s="1872" t="s">
        <v>1042</v>
      </c>
      <c r="P53" s="1873" t="s">
        <v>1543</v>
      </c>
      <c r="Q53" s="1874" t="e">
        <f ca="1">Q47+Q48</f>
        <v>#DIV/0!</v>
      </c>
      <c r="R53" s="1874" t="s">
        <v>1043</v>
      </c>
    </row>
    <row r="54" spans="1:18" s="1830" customFormat="1" ht="13.5" thickBot="1">
      <c r="A54" s="1402"/>
      <c r="B54" s="1813" t="s">
        <v>1382</v>
      </c>
      <c r="C54" s="1177"/>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9"/>
      <c r="O54" s="1857" t="s">
        <v>1544</v>
      </c>
      <c r="P54" s="1827"/>
      <c r="Q54" s="1827"/>
      <c r="R54" s="1827"/>
    </row>
    <row r="55" spans="1:18" s="1830" customFormat="1" ht="13.5" thickBot="1">
      <c r="A55" s="1329" t="s">
        <v>1071</v>
      </c>
      <c r="B55" s="1815" t="s">
        <v>1407</v>
      </c>
      <c r="C55" s="1330"/>
      <c r="D55" s="1812"/>
      <c r="E55" s="1820"/>
      <c r="F55" s="1894"/>
      <c r="I55" s="1897" t="s">
        <v>1545</v>
      </c>
      <c r="J55" s="1898" t="e">
        <f ca="1">ROUND(IF(J47="钢混",J57/J50,1-(1-2%)*(J50-J57)/J50),3)</f>
        <v>#DIV/0!</v>
      </c>
      <c r="K55" s="1899" t="s">
        <v>1546</v>
      </c>
      <c r="L55" s="1900" t="s">
        <v>1547</v>
      </c>
      <c r="O55" s="1865" t="s">
        <v>1516</v>
      </c>
      <c r="P55" s="1866" t="s">
        <v>1517</v>
      </c>
      <c r="Q55" s="1867" t="s">
        <v>1518</v>
      </c>
      <c r="R55" s="1867" t="s">
        <v>1519</v>
      </c>
    </row>
    <row r="56" spans="1:18" s="1830" customFormat="1" ht="25.5" thickTop="1" thickBot="1">
      <c r="A56" s="1175">
        <v>2</v>
      </c>
      <c r="B56" s="1176" t="s">
        <v>1408</v>
      </c>
      <c r="C56" s="275">
        <f ca="1">C13</f>
        <v>0</v>
      </c>
      <c r="D56" s="1901"/>
      <c r="E56" s="1902"/>
      <c r="F56" s="1894"/>
      <c r="I56" s="1903" t="s">
        <v>1548</v>
      </c>
      <c r="J56" s="1904"/>
      <c r="K56" s="1875" t="s">
        <v>1549</v>
      </c>
      <c r="L56" s="1878">
        <f ca="1">IF(L48&lt;J51,"——",L48-J53)</f>
        <v>0</v>
      </c>
      <c r="O56" s="1872" t="s">
        <v>1036</v>
      </c>
      <c r="P56" s="1873" t="s">
        <v>1522</v>
      </c>
      <c r="Q56" s="1874" t="e">
        <f ca="1">C40+J29</f>
        <v>#DIV/0!</v>
      </c>
      <c r="R56" s="1874" t="s">
        <v>1523</v>
      </c>
    </row>
    <row r="57" spans="1:18" s="1830" customFormat="1" ht="24.75" thickBot="1">
      <c r="A57" s="1905"/>
      <c r="B57" s="1168" t="s">
        <v>1472</v>
      </c>
      <c r="C57" s="281">
        <f ca="1">C29</f>
        <v>0</v>
      </c>
      <c r="D57" s="1906"/>
      <c r="E57" s="1907"/>
      <c r="F57" s="1908"/>
      <c r="I57" s="1909" t="s">
        <v>1550</v>
      </c>
      <c r="J57" s="1910">
        <f ca="1">IF(OR(M47="住宅",J51&lt;L48,J56="是"),"——",J51-L48)</f>
        <v>0</v>
      </c>
      <c r="K57" s="1875" t="s">
        <v>1551</v>
      </c>
      <c r="L57" s="1878">
        <f ca="1">IF(L48&lt;J51,"——",IF(L55="比较法",L49,IF(L55="基准地价",L50,L51)))</f>
        <v>0</v>
      </c>
      <c r="O57" s="1872" t="s">
        <v>1037</v>
      </c>
      <c r="P57" s="1873" t="s">
        <v>1552</v>
      </c>
      <c r="Q57" s="1874" t="e">
        <f ca="1">L60</f>
        <v>#DIV/0!</v>
      </c>
      <c r="R57" s="1874" t="s">
        <v>1553</v>
      </c>
    </row>
    <row r="58" spans="1:18" s="1830" customFormat="1" ht="24.75" thickBot="1">
      <c r="A58" s="359" t="s">
        <v>1026</v>
      </c>
      <c r="B58" s="1176" t="s">
        <v>1418</v>
      </c>
      <c r="C58" s="360">
        <f ca="1">ROUND(C59+C64+C65+C66,0)</f>
        <v>0</v>
      </c>
      <c r="D58" s="1178" t="s">
        <v>1419</v>
      </c>
      <c r="E58" s="1179"/>
      <c r="F58" s="1180"/>
      <c r="I58" s="1909" t="s">
        <v>1554</v>
      </c>
      <c r="J58" s="1911" t="e">
        <f ca="1">IF(J55&lt;0.4,0.4,J55)</f>
        <v>#DIV/0!</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200" t="s">
        <v>1031</v>
      </c>
      <c r="B59" s="1168" t="s">
        <v>1423</v>
      </c>
      <c r="C59" s="24">
        <f ca="1">ROUND(IF(项目基本情况!B11="自然人",C48*F59,C60+C61+C62),1)</f>
        <v>0</v>
      </c>
      <c r="D59" s="1181" t="s">
        <v>1424</v>
      </c>
      <c r="E59" s="1182" t="s">
        <v>1425</v>
      </c>
      <c r="F59" s="367" t="str">
        <f ca="1">IF(项目基本情况!B11="企业","",IF(INDIRECT("'数据-取费表'!c"&amp;$G$1)="住宅",5%,IF(F49*F50*F51/12/(1+'数据-取费表'!C42)&gt;20000,12%,7%)))</f>
        <v/>
      </c>
      <c r="I59" s="1909" t="s">
        <v>1557</v>
      </c>
      <c r="J59" s="1910"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200" t="s">
        <v>1030</v>
      </c>
      <c r="B60" s="1168" t="s">
        <v>1427</v>
      </c>
      <c r="C60" s="24">
        <f ca="1">IF(项目基本情况!B11="自然人","——",ROUND(C48*F60/(1+'数据-取费表'!C42),2))</f>
        <v>0</v>
      </c>
      <c r="D60" s="1182" t="s">
        <v>1428</v>
      </c>
      <c r="E60" s="1168" t="s">
        <v>1416</v>
      </c>
      <c r="F60" s="376">
        <f t="shared" ref="F60:F66" si="0">F32</f>
        <v>5.6000000000000001E-2</v>
      </c>
      <c r="I60" s="1912" t="s">
        <v>1559</v>
      </c>
      <c r="J60" s="1913" t="e">
        <f ca="1">IF(OR(M47="住宅",J51&lt;L48,J56="是"),"0",ROUND(J59/(1+J52)^J53,0))</f>
        <v>#DIV/0!</v>
      </c>
      <c r="K60" s="1914" t="s">
        <v>1560</v>
      </c>
      <c r="L60" s="1913" t="e">
        <f ca="1">IF(OR(M47="住宅",L48&lt;J51),0,ROUND(L57*(L58/L59-1),0))</f>
        <v>#DIV/0!</v>
      </c>
      <c r="O60" s="1882" t="s">
        <v>1040</v>
      </c>
      <c r="P60" s="1873" t="s">
        <v>1561</v>
      </c>
      <c r="Q60" s="1874" t="e">
        <f ca="1">L58</f>
        <v>#DIV/0!</v>
      </c>
      <c r="R60" s="1874" t="s">
        <v>1562</v>
      </c>
    </row>
    <row r="61" spans="1:18" s="1830" customFormat="1" ht="13.5" thickBot="1">
      <c r="A61" s="1200" t="s">
        <v>1486</v>
      </c>
      <c r="B61" s="1168" t="s">
        <v>1487</v>
      </c>
      <c r="C61" s="24">
        <f ca="1">IF(项目基本情况!B11="自然人","——",IF(D61="按租金收入计税",ROUND(C48*F61,2),IF(D61="按房产原值计税",ROUND(C57*F61*0.7,2),INDIRECT("'数据-取费表'!Aj"&amp;$G$1))))</f>
        <v>0</v>
      </c>
      <c r="D61" s="1816" t="s">
        <v>1432</v>
      </c>
      <c r="E61" s="1168" t="s">
        <v>1488</v>
      </c>
      <c r="F61" s="366">
        <f t="shared" si="0"/>
        <v>1.2E-2</v>
      </c>
      <c r="I61" s="1915"/>
      <c r="J61" s="1915"/>
      <c r="K61" s="1915"/>
      <c r="L61" s="1915"/>
      <c r="O61" s="1882" t="s">
        <v>1041</v>
      </c>
      <c r="P61" s="1873" t="str">
        <f>K59</f>
        <v>建设期及建筑物耐用年限下的土地年期修正系数Kn</v>
      </c>
      <c r="Q61" s="1874" t="e">
        <f ca="1">L59</f>
        <v>#DIV/0!</v>
      </c>
      <c r="R61" s="1874" t="s">
        <v>1563</v>
      </c>
    </row>
    <row r="62" spans="1:18" s="1830" customFormat="1" ht="13.5" thickBot="1">
      <c r="A62" s="1200" t="s">
        <v>1489</v>
      </c>
      <c r="B62" s="1167" t="s">
        <v>1490</v>
      </c>
      <c r="C62" s="25">
        <f ca="1">IF(项目基本情况!B11="自然人","——",ROUND(F62*F63/10000,2))</f>
        <v>0</v>
      </c>
      <c r="D62" s="1183" t="s">
        <v>1491</v>
      </c>
      <c r="E62" s="1168" t="s">
        <v>1492</v>
      </c>
      <c r="F62" s="370">
        <f t="shared" si="0"/>
        <v>1.5</v>
      </c>
      <c r="I62" s="1916" t="s">
        <v>1564</v>
      </c>
      <c r="J62" s="1917" t="s">
        <v>1565</v>
      </c>
      <c r="K62" s="1917" t="s">
        <v>1566</v>
      </c>
      <c r="L62" s="1917" t="s">
        <v>1567</v>
      </c>
      <c r="M62" s="1918" t="s">
        <v>1568</v>
      </c>
      <c r="O62" s="1872" t="s">
        <v>1042</v>
      </c>
      <c r="P62" s="1873" t="s">
        <v>1569</v>
      </c>
      <c r="Q62" s="1874" t="e">
        <f ca="1">Q56+Q57</f>
        <v>#DIV/0!</v>
      </c>
      <c r="R62" s="1874" t="s">
        <v>1043</v>
      </c>
    </row>
    <row r="63" spans="1:18" s="1830" customFormat="1" ht="13.5" thickBot="1">
      <c r="A63" s="371"/>
      <c r="B63" s="1174"/>
      <c r="C63" s="29"/>
      <c r="D63" s="1184"/>
      <c r="E63" s="1168" t="s">
        <v>1493</v>
      </c>
      <c r="F63" s="347">
        <f t="shared" ca="1" si="0"/>
        <v>0</v>
      </c>
      <c r="I63" s="1916" t="s">
        <v>1570</v>
      </c>
      <c r="J63" s="1917">
        <v>70</v>
      </c>
      <c r="K63" s="1917">
        <v>50</v>
      </c>
      <c r="L63" s="1917">
        <v>80</v>
      </c>
      <c r="M63" s="1919">
        <v>0.02</v>
      </c>
      <c r="O63" s="1857" t="s">
        <v>1571</v>
      </c>
      <c r="P63" s="1827"/>
      <c r="Q63" s="1827"/>
      <c r="R63" s="1827"/>
    </row>
    <row r="64" spans="1:18" s="1830" customFormat="1" ht="13.5" thickBot="1">
      <c r="A64" s="1200" t="s">
        <v>1494</v>
      </c>
      <c r="B64" s="1168" t="s">
        <v>1495</v>
      </c>
      <c r="C64" s="24">
        <f ca="1">ROUND(C57*F64,1)</f>
        <v>0</v>
      </c>
      <c r="D64" s="1182" t="s">
        <v>1496</v>
      </c>
      <c r="E64" s="1168" t="s">
        <v>1488</v>
      </c>
      <c r="F64" s="373">
        <f t="shared" ca="1" si="0"/>
        <v>0</v>
      </c>
      <c r="I64" s="1916" t="s">
        <v>1572</v>
      </c>
      <c r="J64" s="1917">
        <v>50</v>
      </c>
      <c r="K64" s="1917">
        <v>35</v>
      </c>
      <c r="L64" s="1917">
        <v>60</v>
      </c>
      <c r="M64" s="1918">
        <v>0</v>
      </c>
      <c r="O64" s="1865" t="s">
        <v>1516</v>
      </c>
      <c r="P64" s="1866" t="s">
        <v>1517</v>
      </c>
      <c r="Q64" s="1867" t="s">
        <v>1518</v>
      </c>
      <c r="R64" s="1867" t="s">
        <v>1519</v>
      </c>
    </row>
    <row r="65" spans="1:18" s="1830" customFormat="1" ht="13.5" thickBot="1">
      <c r="A65" s="1200" t="s">
        <v>1497</v>
      </c>
      <c r="B65" s="1168" t="s">
        <v>1447</v>
      </c>
      <c r="C65" s="24">
        <f ca="1">ROUND(C56*F65,1)</f>
        <v>0</v>
      </c>
      <c r="D65" s="1182" t="s">
        <v>1448</v>
      </c>
      <c r="E65" s="1168" t="s">
        <v>1449</v>
      </c>
      <c r="F65" s="375">
        <f t="shared" ca="1" si="0"/>
        <v>0</v>
      </c>
      <c r="I65" s="1916" t="s">
        <v>1573</v>
      </c>
      <c r="J65" s="1917">
        <v>40</v>
      </c>
      <c r="K65" s="1917">
        <v>30</v>
      </c>
      <c r="L65" s="1917">
        <v>50</v>
      </c>
      <c r="M65" s="1919">
        <v>0.02</v>
      </c>
      <c r="O65" s="1872" t="s">
        <v>1036</v>
      </c>
      <c r="P65" s="1873" t="s">
        <v>1574</v>
      </c>
      <c r="Q65" s="1874" t="e">
        <f ca="1">C40+J29</f>
        <v>#DIV/0!</v>
      </c>
      <c r="R65" s="1874" t="s">
        <v>1523</v>
      </c>
    </row>
    <row r="66" spans="1:18" s="1830" customFormat="1" ht="16.5" thickBot="1">
      <c r="A66" s="1200" t="s">
        <v>1498</v>
      </c>
      <c r="B66" s="1168" t="s">
        <v>1433</v>
      </c>
      <c r="C66" s="24">
        <f ca="1">ROUND(C48*F66,1)</f>
        <v>0</v>
      </c>
      <c r="D66" s="1182" t="s">
        <v>1499</v>
      </c>
      <c r="E66" s="1168" t="s">
        <v>1416</v>
      </c>
      <c r="F66" s="356">
        <f t="shared" ca="1" si="0"/>
        <v>0</v>
      </c>
      <c r="O66" s="1872" t="s">
        <v>1037</v>
      </c>
      <c r="P66" s="1873" t="s">
        <v>1552</v>
      </c>
      <c r="Q66" s="1874" t="e">
        <f ca="1">L60</f>
        <v>#DIV/0!</v>
      </c>
      <c r="R66" s="1874" t="s">
        <v>1575</v>
      </c>
    </row>
    <row r="67" spans="1:18" s="1830" customFormat="1" ht="16.5" thickBot="1">
      <c r="A67" s="1175" t="s">
        <v>1027</v>
      </c>
      <c r="B67" s="1185" t="s">
        <v>1457</v>
      </c>
      <c r="C67" s="360">
        <f ca="1">C48-C58</f>
        <v>0</v>
      </c>
      <c r="D67" s="1181" t="s">
        <v>1458</v>
      </c>
      <c r="E67" s="1186"/>
      <c r="F67" s="1187"/>
      <c r="O67" s="1882" t="s">
        <v>1038</v>
      </c>
      <c r="P67" s="1873" t="s">
        <v>1556</v>
      </c>
      <c r="Q67" s="1920">
        <f ca="1">L51</f>
        <v>0</v>
      </c>
      <c r="R67" s="1874" t="s">
        <v>1576</v>
      </c>
    </row>
    <row r="68" spans="1:18" s="1830" customFormat="1" ht="16.5" thickBot="1">
      <c r="A68" s="1165" t="s">
        <v>1028</v>
      </c>
      <c r="B68" s="1166" t="s">
        <v>1479</v>
      </c>
      <c r="C68" s="345" t="e">
        <f ca="1">ROUND(C67*(1-((1+F70)/(1+F68))^F69)/(F68-F70),0)</f>
        <v>#DIV/0!</v>
      </c>
      <c r="D68" s="1183" t="s">
        <v>1463</v>
      </c>
      <c r="E68" s="1168" t="s">
        <v>1464</v>
      </c>
      <c r="F68" s="356">
        <f ca="1">F40</f>
        <v>0</v>
      </c>
      <c r="O68" s="1882" t="s">
        <v>1039</v>
      </c>
      <c r="P68" s="1921" t="s">
        <v>1577</v>
      </c>
      <c r="Q68" s="1874">
        <f ca="1">ROUND(Q69-Q70*Q71,0)</f>
        <v>0</v>
      </c>
      <c r="R68" s="1874" t="s">
        <v>1047</v>
      </c>
    </row>
    <row r="69" spans="1:18" s="1830" customFormat="1" ht="13.5" thickBot="1">
      <c r="A69" s="1169"/>
      <c r="B69" s="1170"/>
      <c r="C69" s="350"/>
      <c r="D69" s="1188" t="s">
        <v>1467</v>
      </c>
      <c r="E69" s="1168" t="s">
        <v>1468</v>
      </c>
      <c r="F69" s="378">
        <f ca="1">F41</f>
        <v>0</v>
      </c>
      <c r="O69" s="1882" t="s">
        <v>1044</v>
      </c>
      <c r="P69" s="1921" t="s">
        <v>1578</v>
      </c>
      <c r="Q69" s="1874">
        <f ca="1">C39</f>
        <v>0</v>
      </c>
      <c r="R69" s="1874" t="s">
        <v>1523</v>
      </c>
    </row>
    <row r="70" spans="1:18" s="1830" customFormat="1" ht="13.5" thickBot="1">
      <c r="A70" s="1172"/>
      <c r="B70" s="1173"/>
      <c r="C70" s="354"/>
      <c r="D70" s="1184"/>
      <c r="E70" s="1168" t="s">
        <v>1471</v>
      </c>
      <c r="F70" s="1271"/>
      <c r="O70" s="1882" t="s">
        <v>1045</v>
      </c>
      <c r="P70" s="1921" t="s">
        <v>1579</v>
      </c>
      <c r="Q70" s="1874">
        <f ca="1">C13</f>
        <v>0</v>
      </c>
      <c r="R70" s="1874" t="s">
        <v>1523</v>
      </c>
    </row>
    <row r="71" spans="1:18" s="1830" customFormat="1" ht="13.5" thickBot="1">
      <c r="A71" s="1189" t="s">
        <v>1029</v>
      </c>
      <c r="B71" s="1190" t="s">
        <v>1481</v>
      </c>
      <c r="C71" s="381" t="e">
        <f ca="1">ROUND(C68*10000/F71,0)</f>
        <v>#DIV/0!</v>
      </c>
      <c r="D71" s="1191" t="s">
        <v>1482</v>
      </c>
      <c r="E71" s="1192" t="s">
        <v>1483</v>
      </c>
      <c r="F71" s="384">
        <f ca="1">F43</f>
        <v>0</v>
      </c>
      <c r="O71" s="1882" t="s">
        <v>1046</v>
      </c>
      <c r="P71" s="1921" t="s">
        <v>1580</v>
      </c>
      <c r="Q71" s="1885">
        <f ca="1">C76</f>
        <v>0</v>
      </c>
      <c r="R71" s="1874"/>
    </row>
    <row r="72" spans="1:18" s="1830" customFormat="1" ht="13.5" thickBot="1">
      <c r="B72" s="795"/>
      <c r="C72" s="795"/>
      <c r="O72" s="1882" t="s">
        <v>1040</v>
      </c>
      <c r="P72" s="1873" t="s">
        <v>1558</v>
      </c>
      <c r="Q72" s="1885">
        <f>L52</f>
        <v>0</v>
      </c>
      <c r="R72" s="1874"/>
    </row>
    <row r="73" spans="1:18" ht="16.5" thickBot="1">
      <c r="A73" s="1830"/>
      <c r="B73" s="795"/>
      <c r="C73" s="795"/>
      <c r="D73" s="1830"/>
      <c r="E73" s="1830"/>
      <c r="F73" s="1830"/>
      <c r="O73" s="1882" t="s">
        <v>1041</v>
      </c>
      <c r="P73" s="1873" t="s">
        <v>1561</v>
      </c>
      <c r="Q73" s="1874" t="e">
        <f ca="1">L58</f>
        <v>#DIV/0!</v>
      </c>
      <c r="R73" s="1874" t="s">
        <v>1562</v>
      </c>
    </row>
    <row r="74" spans="1:18" ht="13.5" thickBot="1">
      <c r="A74" s="1830"/>
      <c r="B74" s="316" t="s">
        <v>1581</v>
      </c>
      <c r="C74" s="1923"/>
      <c r="D74" s="1830"/>
      <c r="E74" s="1830"/>
      <c r="F74" s="1830"/>
      <c r="O74" s="1882" t="s">
        <v>1048</v>
      </c>
      <c r="P74" s="1873" t="str">
        <f>K59</f>
        <v>建设期及建筑物耐用年限下的土地年期修正系数Kn</v>
      </c>
      <c r="Q74" s="1874" t="e">
        <f ca="1">L59</f>
        <v>#DIV/0!</v>
      </c>
      <c r="R74" s="1874" t="s">
        <v>1563</v>
      </c>
    </row>
    <row r="75" spans="1:18" ht="13.5" thickBot="1">
      <c r="A75" s="1830"/>
      <c r="B75" s="385" t="s">
        <v>1500</v>
      </c>
      <c r="C75" s="386">
        <f ca="1">ROUND(C13*C76,0)</f>
        <v>0</v>
      </c>
      <c r="D75" s="1830"/>
      <c r="E75" s="1830"/>
      <c r="F75" s="1830"/>
      <c r="K75" s="1856"/>
      <c r="L75" s="1830"/>
      <c r="O75" s="1872" t="s">
        <v>1042</v>
      </c>
      <c r="P75" s="1873" t="s">
        <v>1543</v>
      </c>
      <c r="Q75" s="1874" t="e">
        <f ca="1">Q65+Q66</f>
        <v>#DIV/0!</v>
      </c>
      <c r="R75" s="1874" t="s">
        <v>1043</v>
      </c>
    </row>
    <row r="76" spans="1:18">
      <c r="B76" s="387" t="s">
        <v>1501</v>
      </c>
      <c r="C76" s="388">
        <f ca="1">INDIRECT("'数据-取费表'!j"&amp;$G$1)</f>
        <v>0</v>
      </c>
      <c r="I76" s="1830"/>
      <c r="J76" s="1830"/>
      <c r="K76" s="1856"/>
      <c r="L76" s="1830"/>
    </row>
    <row r="77" spans="1:18">
      <c r="B77" s="389" t="s">
        <v>1502</v>
      </c>
      <c r="C77" s="390"/>
      <c r="I77" s="1830"/>
      <c r="J77" s="1830"/>
      <c r="K77" s="1856"/>
      <c r="L77" s="1830"/>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enableFormatConditionsCalculation="0">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87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22" customWidth="1"/>
    <col min="12" max="12" width="16.375" style="301" customWidth="1"/>
    <col min="13" max="13" width="13" style="301" customWidth="1"/>
    <col min="14" max="14" width="13.875" style="1830" customWidth="1"/>
    <col min="15" max="15" width="5.125" style="1830" customWidth="1"/>
    <col min="16" max="16" width="25.875" style="1830" customWidth="1"/>
    <col min="17" max="17" width="13.875" style="1830" customWidth="1"/>
    <col min="18" max="18" width="20.5" style="1830" customWidth="1"/>
    <col min="19" max="19" width="13.125" style="1830" customWidth="1"/>
    <col min="20" max="37" width="9" style="1830"/>
    <col min="38" max="16384" width="9" style="301"/>
  </cols>
  <sheetData>
    <row r="1" spans="1:37" s="336" customFormat="1" ht="21">
      <c r="A1" s="1821" t="s">
        <v>1583</v>
      </c>
      <c r="B1" s="781"/>
      <c r="C1" s="1825"/>
      <c r="D1" s="1808"/>
      <c r="E1" s="1809" t="s">
        <v>1381</v>
      </c>
      <c r="F1" s="1279">
        <f ca="1">J53</f>
        <v>0</v>
      </c>
      <c r="G1" s="182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1" t="s">
        <v>1584</v>
      </c>
      <c r="B2" s="1832" t="e">
        <f ca="1">ROUND(D2/10000,0)</f>
        <v>#DIV/0!</v>
      </c>
      <c r="C2" s="1833" t="s">
        <v>1585</v>
      </c>
      <c r="D2" s="1925" t="e">
        <f ca="1">C40+J29+L46</f>
        <v>#DIV/0!</v>
      </c>
      <c r="E2" s="1834" t="s">
        <v>1586</v>
      </c>
      <c r="F2" s="1835"/>
      <c r="G2" s="1836"/>
      <c r="H2" s="1828"/>
      <c r="I2" s="1828"/>
      <c r="J2" s="1828"/>
      <c r="K2" s="1829"/>
      <c r="L2" s="1828"/>
      <c r="M2" s="1828"/>
    </row>
    <row r="3" spans="1:37" ht="18" customHeight="1" thickBot="1">
      <c r="A3" s="1837" t="s">
        <v>1587</v>
      </c>
      <c r="B3" s="1838">
        <f ca="1">IF(ISERROR(D2/F43),0,ROUND(D2/F43,0))</f>
        <v>0</v>
      </c>
      <c r="C3" s="1833" t="s">
        <v>1588</v>
      </c>
      <c r="D3" s="1833"/>
      <c r="E3" s="1834"/>
      <c r="F3" s="1835"/>
      <c r="G3" s="1836"/>
      <c r="H3" s="743" t="s">
        <v>1582</v>
      </c>
      <c r="I3" s="1828"/>
      <c r="J3" s="1828"/>
      <c r="K3" s="1829"/>
      <c r="L3" s="1828"/>
      <c r="M3" s="1828"/>
    </row>
    <row r="4" spans="1:37" ht="18" customHeight="1">
      <c r="A4" s="339" t="s">
        <v>1589</v>
      </c>
      <c r="B4" s="340" t="s">
        <v>1590</v>
      </c>
      <c r="C4" s="340" t="s">
        <v>1591</v>
      </c>
      <c r="D4" s="340" t="s">
        <v>1592</v>
      </c>
      <c r="E4" s="341" t="s">
        <v>1593</v>
      </c>
      <c r="F4" s="342"/>
      <c r="G4" s="1839"/>
      <c r="H4" s="339" t="s">
        <v>1589</v>
      </c>
      <c r="I4" s="340" t="s">
        <v>1590</v>
      </c>
      <c r="J4" s="340" t="s">
        <v>1591</v>
      </c>
      <c r="K4" s="340" t="s">
        <v>1592</v>
      </c>
      <c r="L4" s="341" t="s">
        <v>1593</v>
      </c>
      <c r="M4" s="342"/>
    </row>
    <row r="5" spans="1:37" ht="18" customHeight="1">
      <c r="A5" s="343">
        <v>1</v>
      </c>
      <c r="B5" s="344" t="s">
        <v>1594</v>
      </c>
      <c r="C5" s="1288">
        <f ca="1">C6+C10+C12</f>
        <v>0</v>
      </c>
      <c r="D5" s="1810" t="s">
        <v>1595</v>
      </c>
      <c r="E5" s="1289"/>
      <c r="F5" s="1290"/>
      <c r="G5" s="1839"/>
      <c r="H5" s="343">
        <v>1</v>
      </c>
      <c r="I5" s="344" t="s">
        <v>1594</v>
      </c>
      <c r="J5" s="1288">
        <f ca="1">J6+J10+J12</f>
        <v>0</v>
      </c>
      <c r="K5" s="1810" t="s">
        <v>1595</v>
      </c>
      <c r="L5" s="1289"/>
      <c r="M5" s="1290"/>
    </row>
    <row r="6" spans="1:37" ht="18" customHeight="1">
      <c r="A6" s="1287" t="s">
        <v>1031</v>
      </c>
      <c r="B6" s="3646" t="s">
        <v>1397</v>
      </c>
      <c r="C6" s="1292">
        <f ca="1">ROUND(F6*F8*F7*(1-F9),0)</f>
        <v>0</v>
      </c>
      <c r="D6" s="163" t="s">
        <v>3024</v>
      </c>
      <c r="E6" s="346" t="s">
        <v>1399</v>
      </c>
      <c r="F6" s="347">
        <f ca="1">INDIRECT("'数据-取费表'!u"&amp;$G$1)</f>
        <v>0</v>
      </c>
      <c r="G6" s="1839"/>
      <c r="H6" s="1287" t="s">
        <v>1031</v>
      </c>
      <c r="I6" s="3646" t="s">
        <v>1397</v>
      </c>
      <c r="J6" s="345">
        <f ca="1">ROUND(M6*M8*M7*(1-M9),0)</f>
        <v>0</v>
      </c>
      <c r="K6" s="1822" t="s">
        <v>3025</v>
      </c>
      <c r="L6" s="346" t="s">
        <v>1399</v>
      </c>
      <c r="M6" s="347">
        <f ca="1">INDIRECT("'数据-取费表'!z"&amp;$G$1)</f>
        <v>0</v>
      </c>
    </row>
    <row r="7" spans="1:37" ht="18" customHeight="1">
      <c r="A7" s="1291"/>
      <c r="B7" s="3647"/>
      <c r="C7" s="1293"/>
      <c r="D7" s="351"/>
      <c r="E7" s="1294" t="s">
        <v>1400</v>
      </c>
      <c r="F7" s="347">
        <f ca="1">IF(INDIRECT("'数据-取费表'!ah"&amp;$G$1)="",INDIRECT("'数据-取费表'!k"&amp;$G$1),INDIRECT("'数据-取费表'!ah"&amp;$G$1))</f>
        <v>0</v>
      </c>
      <c r="G7" s="1839"/>
      <c r="H7" s="348"/>
      <c r="I7" s="3647"/>
      <c r="J7" s="350"/>
      <c r="K7" s="351"/>
      <c r="L7" s="346" t="s">
        <v>1400</v>
      </c>
      <c r="M7" s="347">
        <f ca="1">F7</f>
        <v>0</v>
      </c>
    </row>
    <row r="8" spans="1:37" ht="18" customHeight="1">
      <c r="A8" s="348"/>
      <c r="B8" s="3647"/>
      <c r="C8" s="350"/>
      <c r="D8" s="351"/>
      <c r="E8" s="346" t="s">
        <v>1401</v>
      </c>
      <c r="F8" s="347">
        <f ca="1">INDIRECT("'数据-取费表'!ai"&amp;$G$1)</f>
        <v>0</v>
      </c>
      <c r="G8" s="1839"/>
      <c r="H8" s="348"/>
      <c r="I8" s="3647"/>
      <c r="J8" s="350"/>
      <c r="K8" s="351"/>
      <c r="L8" s="346" t="s">
        <v>1401</v>
      </c>
      <c r="M8" s="347">
        <f ca="1">INDIRECT("'数据-取费表'!ai"&amp;$G$1)</f>
        <v>0</v>
      </c>
    </row>
    <row r="9" spans="1:37" ht="18" customHeight="1">
      <c r="A9" s="348"/>
      <c r="B9" s="3648"/>
      <c r="C9" s="350"/>
      <c r="D9" s="351"/>
      <c r="E9" s="346" t="s">
        <v>1402</v>
      </c>
      <c r="F9" s="356">
        <f ca="1">INDIRECT("'数据-取费表'!w"&amp;$G$1)</f>
        <v>0</v>
      </c>
      <c r="G9" s="1839"/>
      <c r="H9" s="348"/>
      <c r="I9" s="3648"/>
      <c r="J9" s="350"/>
      <c r="K9" s="351"/>
      <c r="L9" s="357" t="s">
        <v>1402</v>
      </c>
      <c r="M9" s="358">
        <f ca="1">INDIRECT("'数据-取费表'!ab"&amp;$G$1)</f>
        <v>0</v>
      </c>
    </row>
    <row r="10" spans="1:37" ht="18" customHeight="1">
      <c r="A10" s="1287" t="s">
        <v>1035</v>
      </c>
      <c r="B10" s="1811" t="s">
        <v>1403</v>
      </c>
      <c r="C10" s="360">
        <f ca="1">ROUND(IF(F10="押一",C6/12*F11,IF(F10="押二",C6/12*2*F11,IF(F10="押三",C6/12*3*F11,C11*F11))),0)</f>
        <v>0</v>
      </c>
      <c r="D10" s="1812" t="s">
        <v>3035</v>
      </c>
      <c r="E10" s="357" t="s">
        <v>1404</v>
      </c>
      <c r="F10" s="1362"/>
      <c r="G10" s="1839"/>
      <c r="H10" s="1287" t="s">
        <v>1035</v>
      </c>
      <c r="I10" s="1811" t="s">
        <v>1403</v>
      </c>
      <c r="J10" s="345">
        <f ca="1">ROUND(IF(M10="押一",J6/12*M11,IF(M10="押二",J6/12*2*M11,IF(M10="押三",J6/12*3*M11,J11*M11))),0)</f>
        <v>0</v>
      </c>
      <c r="K10" s="1823" t="s">
        <v>3037</v>
      </c>
      <c r="L10" s="357" t="s">
        <v>1404</v>
      </c>
      <c r="M10" s="1362"/>
    </row>
    <row r="11" spans="1:37" ht="18" customHeight="1">
      <c r="A11" s="352"/>
      <c r="B11" s="1813" t="s">
        <v>1596</v>
      </c>
      <c r="C11" s="1177"/>
      <c r="D11" s="351"/>
      <c r="E11" s="357" t="s">
        <v>1406</v>
      </c>
      <c r="F11" s="358">
        <f ca="1">'数据-取费表'!B39</f>
        <v>1.4999999999999999E-2</v>
      </c>
      <c r="G11" s="1839"/>
      <c r="H11" s="1295"/>
      <c r="I11" s="1813" t="s">
        <v>1597</v>
      </c>
      <c r="J11" s="1177"/>
      <c r="K11" s="747"/>
      <c r="L11" s="357" t="s">
        <v>1406</v>
      </c>
      <c r="M11" s="1055">
        <f ca="1">'数据-取费表'!B39</f>
        <v>1.4999999999999999E-2</v>
      </c>
    </row>
    <row r="12" spans="1:37" ht="18" customHeight="1" thickBot="1">
      <c r="A12" s="1329" t="s">
        <v>1071</v>
      </c>
      <c r="B12" s="1815" t="s">
        <v>1407</v>
      </c>
      <c r="C12" s="1330"/>
      <c r="D12" s="1331"/>
      <c r="E12" s="1336"/>
      <c r="F12" s="1332"/>
      <c r="G12" s="1839"/>
      <c r="H12" s="1329" t="s">
        <v>1071</v>
      </c>
      <c r="I12" s="1815" t="s">
        <v>1407</v>
      </c>
      <c r="J12" s="1330"/>
      <c r="K12" s="1344"/>
      <c r="L12" s="1336"/>
      <c r="M12" s="1345"/>
    </row>
    <row r="13" spans="1:37" ht="18" customHeight="1" thickTop="1">
      <c r="A13" s="1325">
        <v>2</v>
      </c>
      <c r="B13" s="1326" t="s">
        <v>1408</v>
      </c>
      <c r="C13" s="354">
        <f ca="1">ROUND(C29*F13,0)</f>
        <v>0</v>
      </c>
      <c r="D13" s="1327" t="s">
        <v>1409</v>
      </c>
      <c r="E13" s="1327" t="s">
        <v>1410</v>
      </c>
      <c r="F13" s="1328">
        <f ca="1">INDIRECT("'数据-取费表'!y"&amp;$G$1)</f>
        <v>0</v>
      </c>
      <c r="G13" s="1839"/>
      <c r="H13" s="1325">
        <v>2</v>
      </c>
      <c r="I13" s="1326" t="s">
        <v>1408</v>
      </c>
      <c r="J13" s="1286">
        <f ca="1">ROUND(J14*J15,0)</f>
        <v>0</v>
      </c>
      <c r="K13" s="1333" t="s">
        <v>1409</v>
      </c>
      <c r="L13" s="1840"/>
      <c r="M13" s="1841"/>
    </row>
    <row r="14" spans="1:37" ht="18" customHeight="1">
      <c r="A14" s="1200" t="s">
        <v>1030</v>
      </c>
      <c r="B14" s="346" t="s">
        <v>1411</v>
      </c>
      <c r="C14" s="362">
        <f ca="1">ROUND(INDIRECT("'数据-取费表'!l"&amp;$G$1)*F43+'数据-取费表'!L14*INDIRECT("'数据-取费表'!S"&amp;$G$1),0)</f>
        <v>0</v>
      </c>
      <c r="D14" s="1788" t="s">
        <v>1412</v>
      </c>
      <c r="E14" s="1782"/>
      <c r="F14" s="363"/>
      <c r="G14" s="1839"/>
      <c r="H14" s="1200" t="s">
        <v>1031</v>
      </c>
      <c r="I14" s="346" t="s">
        <v>1413</v>
      </c>
      <c r="J14" s="24">
        <f ca="1">C29</f>
        <v>0</v>
      </c>
      <c r="K14" s="15"/>
      <c r="L14" s="978"/>
      <c r="M14" s="979"/>
    </row>
    <row r="15" spans="1:37" s="1846" customFormat="1" ht="18" customHeight="1" thickBot="1">
      <c r="A15" s="1200" t="s">
        <v>1032</v>
      </c>
      <c r="B15" s="346" t="s">
        <v>1414</v>
      </c>
      <c r="C15" s="24">
        <f ca="1">ROUND(C14*F15,0)</f>
        <v>0</v>
      </c>
      <c r="D15" s="364" t="s">
        <v>1415</v>
      </c>
      <c r="E15" s="364" t="s">
        <v>1416</v>
      </c>
      <c r="F15" s="365">
        <f>'数据-取费表'!B33</f>
        <v>0.03</v>
      </c>
      <c r="G15" s="1842"/>
      <c r="H15" s="1335" t="s">
        <v>1035</v>
      </c>
      <c r="I15" s="1336" t="s">
        <v>1410</v>
      </c>
      <c r="J15" s="1345">
        <f ca="1">INDIRECT("'数据-取费表'!ad"&amp;$G$1)</f>
        <v>0</v>
      </c>
      <c r="K15" s="1346"/>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39"/>
      <c r="H16" s="1325" t="s">
        <v>1026</v>
      </c>
      <c r="I16" s="1326" t="s">
        <v>1418</v>
      </c>
      <c r="J16" s="354">
        <f ca="1">ROUND(J17+J22+J23+J24,0)</f>
        <v>0</v>
      </c>
      <c r="K16" s="1333" t="s">
        <v>1419</v>
      </c>
      <c r="L16" s="1334"/>
      <c r="M16" s="1290"/>
    </row>
    <row r="17" spans="1:37" s="1846" customFormat="1" ht="18" customHeight="1">
      <c r="A17" s="1200" t="s">
        <v>1384</v>
      </c>
      <c r="B17" s="346" t="s">
        <v>1420</v>
      </c>
      <c r="C17" s="24">
        <f ca="1">ROUND(F17*(F43+INDIRECT("'数据-取费表'!S"&amp;$G$1)),0)</f>
        <v>0</v>
      </c>
      <c r="D17" s="346" t="s">
        <v>1421</v>
      </c>
      <c r="E17" s="346" t="s">
        <v>1422</v>
      </c>
      <c r="F17" s="26">
        <f>'数据-取费表'!B35</f>
        <v>200</v>
      </c>
      <c r="G17" s="1842"/>
      <c r="H17" s="1200" t="s">
        <v>1031</v>
      </c>
      <c r="I17" s="346" t="s">
        <v>1423</v>
      </c>
      <c r="J17" s="24">
        <f ca="1">ROUND(IF(项目基本情况!B11="自然人",J6*M17/(1+'数据-取费表'!C42),J18+J19+J20),0)</f>
        <v>0</v>
      </c>
      <c r="K17" s="1788" t="s">
        <v>1424</v>
      </c>
      <c r="L17" s="1786" t="s">
        <v>1425</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200" t="s">
        <v>1385</v>
      </c>
      <c r="B18" s="346" t="s">
        <v>1426</v>
      </c>
      <c r="C18" s="24">
        <f ca="1">ROUND(C14*F18,0)</f>
        <v>0</v>
      </c>
      <c r="D18" s="346" t="s">
        <v>1415</v>
      </c>
      <c r="E18" s="346" t="s">
        <v>1416</v>
      </c>
      <c r="F18" s="366">
        <f>'数据-取费表'!B36</f>
        <v>1.4999999999999999E-2</v>
      </c>
      <c r="G18" s="1842"/>
      <c r="H18" s="1200" t="s">
        <v>1030</v>
      </c>
      <c r="I18" s="346" t="s">
        <v>1427</v>
      </c>
      <c r="J18" s="24">
        <f ca="1">ROUND(J6*M18/(1+'数据-取费表'!C42),0)</f>
        <v>0</v>
      </c>
      <c r="K18" s="1786" t="s">
        <v>1428</v>
      </c>
      <c r="L18" s="346" t="s">
        <v>1416</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200" t="s">
        <v>1031</v>
      </c>
      <c r="B19" s="346" t="s">
        <v>1429</v>
      </c>
      <c r="C19" s="24">
        <f ca="1">SUM(C14:C18)</f>
        <v>0</v>
      </c>
      <c r="D19" s="139" t="s">
        <v>1430</v>
      </c>
      <c r="E19" s="1806"/>
      <c r="F19" s="26"/>
      <c r="G19" s="1839"/>
      <c r="H19" s="1200" t="s">
        <v>1032</v>
      </c>
      <c r="I19" s="346" t="s">
        <v>1431</v>
      </c>
      <c r="J19" s="24">
        <f ca="1">IF(K19="按租金收入计税",ROUND(J6*M19/(1+'数据-取费表'!C42),0),ROUND(C29*M19*0.7,0))</f>
        <v>0</v>
      </c>
      <c r="K19" s="1816" t="s">
        <v>1432</v>
      </c>
      <c r="L19" s="346" t="s">
        <v>1416</v>
      </c>
      <c r="M19" s="366">
        <f>IF(K19="按租金收入计税",'数据-取费表'!B51,'数据-取费表'!B50)</f>
        <v>1.2E-2</v>
      </c>
    </row>
    <row r="20" spans="1:37" s="1846" customFormat="1" ht="18" customHeight="1">
      <c r="A20" s="1200" t="s">
        <v>1035</v>
      </c>
      <c r="B20" s="346" t="s">
        <v>1433</v>
      </c>
      <c r="C20" s="24">
        <f ca="1">ROUND(C19*F20,0)</f>
        <v>0</v>
      </c>
      <c r="D20" s="368" t="s">
        <v>1434</v>
      </c>
      <c r="E20" s="346" t="s">
        <v>1416</v>
      </c>
      <c r="F20" s="366">
        <f>'数据-取费表'!B37</f>
        <v>0.02</v>
      </c>
      <c r="G20" s="1842"/>
      <c r="H20" s="1200" t="s">
        <v>1383</v>
      </c>
      <c r="I20" s="163" t="s">
        <v>1435</v>
      </c>
      <c r="J20" s="25">
        <f ca="1">ROUND(M20*M21,0)</f>
        <v>0</v>
      </c>
      <c r="K20" s="369" t="s">
        <v>1436</v>
      </c>
      <c r="L20" s="346" t="s">
        <v>1437</v>
      </c>
      <c r="M20" s="370">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200" t="s">
        <v>1071</v>
      </c>
      <c r="B21" s="346" t="s">
        <v>1438</v>
      </c>
      <c r="C21" s="24" t="s">
        <v>1</v>
      </c>
      <c r="D21" s="368" t="s">
        <v>1439</v>
      </c>
      <c r="E21" s="346" t="s">
        <v>1440</v>
      </c>
      <c r="F21" s="366">
        <f>'数据-取费表'!B38</f>
        <v>0.02</v>
      </c>
      <c r="G21" s="1842"/>
      <c r="H21" s="371"/>
      <c r="I21" s="355"/>
      <c r="J21" s="29"/>
      <c r="K21" s="372"/>
      <c r="L21" s="346" t="s">
        <v>1441</v>
      </c>
      <c r="M21" s="347">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6"/>
      <c r="F22" s="26"/>
      <c r="G22" s="1839"/>
      <c r="H22" s="1200" t="s">
        <v>1035</v>
      </c>
      <c r="I22" s="346" t="s">
        <v>1443</v>
      </c>
      <c r="J22" s="24">
        <f ca="1">ROUND(J14*M22,0)</f>
        <v>0</v>
      </c>
      <c r="K22" s="1786" t="s">
        <v>1444</v>
      </c>
      <c r="L22" s="346" t="s">
        <v>1416</v>
      </c>
      <c r="M22" s="373">
        <f ca="1">INDIRECT("'数据-取费表'!Ak"&amp;$G$1)</f>
        <v>0</v>
      </c>
    </row>
    <row r="23" spans="1:37" s="1846"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1.5</v>
      </c>
      <c r="G23" s="1842"/>
      <c r="H23" s="1200" t="s">
        <v>1071</v>
      </c>
      <c r="I23" s="346" t="s">
        <v>1447</v>
      </c>
      <c r="J23" s="24">
        <f ca="1">ROUND(J13*M23,0)</f>
        <v>0</v>
      </c>
      <c r="K23" s="1786" t="s">
        <v>1448</v>
      </c>
      <c r="L23" s="346" t="s">
        <v>1449</v>
      </c>
      <c r="M23" s="375">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200" t="s">
        <v>1450</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2"/>
      <c r="H24" s="1335" t="s">
        <v>1387</v>
      </c>
      <c r="I24" s="1336" t="s">
        <v>1433</v>
      </c>
      <c r="J24" s="1337">
        <f ca="1">ROUND(J5*M24,0)</f>
        <v>0</v>
      </c>
      <c r="K24" s="1338" t="s">
        <v>1453</v>
      </c>
      <c r="L24" s="1336" t="s">
        <v>1449</v>
      </c>
      <c r="M24" s="1332">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200" t="s">
        <v>1454</v>
      </c>
      <c r="B25" s="346" t="s">
        <v>1455</v>
      </c>
      <c r="C25" s="24"/>
      <c r="D25" s="139" t="s">
        <v>1456</v>
      </c>
      <c r="E25" s="1806"/>
      <c r="F25" s="26"/>
      <c r="G25" s="1839"/>
      <c r="H25" s="1325" t="s">
        <v>1027</v>
      </c>
      <c r="I25" s="1340" t="s">
        <v>1457</v>
      </c>
      <c r="J25" s="354">
        <f ca="1">J5-J16</f>
        <v>0</v>
      </c>
      <c r="K25" s="1341" t="s">
        <v>1458</v>
      </c>
      <c r="L25" s="1342"/>
      <c r="M25" s="1343"/>
    </row>
    <row r="26" spans="1:37" ht="18" customHeight="1">
      <c r="A26" s="1200" t="s">
        <v>1030</v>
      </c>
      <c r="B26" s="346" t="s">
        <v>1459</v>
      </c>
      <c r="C26" s="24">
        <f ca="1">ROUND((C19+C20)*F26,0)</f>
        <v>0</v>
      </c>
      <c r="D26" s="368" t="s">
        <v>1460</v>
      </c>
      <c r="E26" s="357" t="s">
        <v>1461</v>
      </c>
      <c r="F26" s="356">
        <f ca="1">INDIRECT("'数据-取费表'!q"&amp;$G$1)</f>
        <v>0</v>
      </c>
      <c r="G26" s="1839"/>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39"/>
      <c r="H27" s="348"/>
      <c r="I27" s="349"/>
      <c r="J27" s="350"/>
      <c r="K27" s="377" t="s">
        <v>1467</v>
      </c>
      <c r="L27" s="346" t="s">
        <v>1468</v>
      </c>
      <c r="M27" s="378">
        <f ca="1">INDIRECT("'数据-取费表'!ag"&amp;$G$1)</f>
        <v>0</v>
      </c>
    </row>
    <row r="28" spans="1:37" s="1846" customFormat="1" ht="18" customHeight="1">
      <c r="A28" s="1200" t="s">
        <v>1033</v>
      </c>
      <c r="B28" s="346" t="s">
        <v>1469</v>
      </c>
      <c r="C28" s="24">
        <f>ROUND(F28/(1+'数据-取费表'!C42),4)</f>
        <v>5.33E-2</v>
      </c>
      <c r="D28" s="368" t="s">
        <v>1470</v>
      </c>
      <c r="E28" s="346" t="s">
        <v>1416</v>
      </c>
      <c r="F28" s="366">
        <f>'数据-取费表'!B41</f>
        <v>5.6000000000000001E-2</v>
      </c>
      <c r="G28" s="1842"/>
      <c r="H28" s="352"/>
      <c r="I28" s="353"/>
      <c r="J28" s="354"/>
      <c r="K28" s="372"/>
      <c r="L28" s="346" t="s">
        <v>1471</v>
      </c>
      <c r="M28" s="356">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5" t="s">
        <v>1034</v>
      </c>
      <c r="B29" s="1336" t="s">
        <v>1472</v>
      </c>
      <c r="C29" s="1337">
        <f ca="1">ROUND((C19+C20+C23+C26)/(1-F21-C24-C27-C28),0)</f>
        <v>0</v>
      </c>
      <c r="D29" s="1338"/>
      <c r="E29" s="1336"/>
      <c r="F29" s="1339"/>
      <c r="G29" s="1842"/>
      <c r="H29" s="379" t="s">
        <v>1029</v>
      </c>
      <c r="I29" s="380" t="s">
        <v>1473</v>
      </c>
      <c r="J29" s="381">
        <f ca="1">ROUND(J26/(1+F40)^F41,0)</f>
        <v>0</v>
      </c>
      <c r="K29" s="382" t="s">
        <v>1474</v>
      </c>
      <c r="L29" s="383"/>
      <c r="M29" s="384">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5" t="s">
        <v>1026</v>
      </c>
      <c r="B30" s="1326" t="s">
        <v>1418</v>
      </c>
      <c r="C30" s="354">
        <f ca="1">ROUND(C31+C36+C37+C38,0)</f>
        <v>0</v>
      </c>
      <c r="D30" s="1333" t="s">
        <v>1419</v>
      </c>
      <c r="E30" s="1334"/>
      <c r="F30" s="1290"/>
      <c r="G30" s="1839"/>
      <c r="H30" s="744"/>
      <c r="I30" s="745"/>
      <c r="J30" s="746"/>
      <c r="K30" s="747"/>
      <c r="L30" s="748"/>
      <c r="M30" s="749"/>
    </row>
    <row r="31" spans="1:37" ht="18" customHeight="1">
      <c r="A31" s="1200" t="s">
        <v>1031</v>
      </c>
      <c r="B31" s="346" t="s">
        <v>1423</v>
      </c>
      <c r="C31" s="24">
        <f ca="1">ROUND(IF(项目基本情况!B11="自然人",C6*F31/(1+'数据-取费表'!C42),C32+C33+C34),0)</f>
        <v>0</v>
      </c>
      <c r="D31" s="1788" t="s">
        <v>1424</v>
      </c>
      <c r="E31" s="1786" t="s">
        <v>1475</v>
      </c>
      <c r="F31" s="367" t="str">
        <f ca="1">IF(项目基本情况!B11="企业","",IF(INDIRECT("'数据-取费表'!c"&amp;$G$1)="住宅",5%,IF(F6*F7*F8/12/(1+'数据-取费表'!C42)&gt;20000,12%,7%)))</f>
        <v/>
      </c>
      <c r="G31" s="1839"/>
      <c r="H31" s="744"/>
      <c r="I31" s="745"/>
      <c r="J31" s="746"/>
      <c r="K31" s="747"/>
      <c r="L31" s="748"/>
      <c r="M31" s="749"/>
    </row>
    <row r="32" spans="1:37" ht="18" customHeight="1">
      <c r="A32" s="1200" t="s">
        <v>1030</v>
      </c>
      <c r="B32" s="346" t="s">
        <v>1427</v>
      </c>
      <c r="C32" s="24">
        <f ca="1">IF(项目基本情况!B11="自然人","——",ROUND(C6*F32/(1+'数据-取费表'!C42),0))</f>
        <v>0</v>
      </c>
      <c r="D32" s="1786" t="s">
        <v>1428</v>
      </c>
      <c r="E32" s="346" t="s">
        <v>1416</v>
      </c>
      <c r="F32" s="376">
        <f>'数据-取费表'!B41</f>
        <v>5.6000000000000001E-2</v>
      </c>
      <c r="G32" s="1839"/>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16" t="s">
        <v>1432</v>
      </c>
      <c r="E33" s="346" t="s">
        <v>1416</v>
      </c>
      <c r="F33" s="366">
        <f>IF(D33="按票据","——",IF(D33="按租金收入计税",'数据-取费表'!B51,'数据-取费表'!B50))</f>
        <v>1.2E-2</v>
      </c>
      <c r="G33" s="1839"/>
      <c r="H33" s="1847"/>
      <c r="I33" s="1848"/>
      <c r="J33" s="1849"/>
      <c r="K33" s="1850"/>
      <c r="L33" s="1847"/>
      <c r="M33" s="1847"/>
    </row>
    <row r="34" spans="1:18" ht="18" customHeight="1">
      <c r="A34" s="1287" t="s">
        <v>1383</v>
      </c>
      <c r="B34" s="163" t="s">
        <v>1435</v>
      </c>
      <c r="C34" s="25">
        <f ca="1">IF(项目基本情况!B11="自然人","——",ROUND(F34*F35,))</f>
        <v>0</v>
      </c>
      <c r="D34" s="369" t="s">
        <v>1436</v>
      </c>
      <c r="E34" s="346" t="s">
        <v>1437</v>
      </c>
      <c r="F34" s="370">
        <f>'数据-取费表'!B52</f>
        <v>1.5</v>
      </c>
      <c r="G34" s="1839"/>
      <c r="H34" s="744"/>
      <c r="I34" s="1848"/>
      <c r="J34" s="1849"/>
      <c r="K34" s="1851"/>
      <c r="L34" s="1852"/>
      <c r="M34" s="1852"/>
    </row>
    <row r="35" spans="1:18" ht="18" customHeight="1">
      <c r="A35" s="1349"/>
      <c r="B35" s="1347"/>
      <c r="C35" s="29"/>
      <c r="D35" s="372"/>
      <c r="E35" s="346" t="s">
        <v>1441</v>
      </c>
      <c r="F35" s="347">
        <f ca="1">INDIRECT("'数据-取费表'!r"&amp;$G$1)</f>
        <v>0</v>
      </c>
      <c r="G35" s="1839"/>
      <c r="H35" s="744"/>
      <c r="I35" s="1848"/>
      <c r="J35" s="1849"/>
      <c r="K35" s="1850"/>
      <c r="L35" s="1847"/>
      <c r="M35" s="1847"/>
    </row>
    <row r="36" spans="1:18" ht="18" customHeight="1">
      <c r="A36" s="1348" t="s">
        <v>1035</v>
      </c>
      <c r="B36" s="346" t="s">
        <v>1443</v>
      </c>
      <c r="C36" s="24">
        <f ca="1">ROUND(C29*F36,0)</f>
        <v>0</v>
      </c>
      <c r="D36" s="1786" t="s">
        <v>1476</v>
      </c>
      <c r="E36" s="346" t="s">
        <v>1416</v>
      </c>
      <c r="F36" s="373">
        <f ca="1">INDIRECT("'数据-取费表'!Ak"&amp;$G$1)</f>
        <v>0</v>
      </c>
      <c r="G36" s="1839"/>
      <c r="H36" s="1847"/>
      <c r="I36" s="1848"/>
      <c r="J36" s="1849"/>
      <c r="K36" s="750"/>
      <c r="L36" s="1847"/>
      <c r="M36" s="1847"/>
    </row>
    <row r="37" spans="1:18" ht="18" customHeight="1">
      <c r="A37" s="1200" t="s">
        <v>1071</v>
      </c>
      <c r="B37" s="346" t="s">
        <v>1447</v>
      </c>
      <c r="C37" s="24">
        <f ca="1">ROUND(C13*F37,0)</f>
        <v>0</v>
      </c>
      <c r="D37" s="1786" t="s">
        <v>1448</v>
      </c>
      <c r="E37" s="346" t="s">
        <v>1449</v>
      </c>
      <c r="F37" s="375">
        <f ca="1">INDIRECT("'数据-取费表'!Al"&amp;$G$1)</f>
        <v>0</v>
      </c>
      <c r="G37" s="1839"/>
      <c r="H37" s="1847"/>
      <c r="I37" s="1848"/>
      <c r="J37" s="1849"/>
      <c r="K37" s="750"/>
      <c r="L37" s="1847"/>
      <c r="M37" s="1847"/>
    </row>
    <row r="38" spans="1:18" ht="18" customHeight="1" thickBot="1">
      <c r="A38" s="1335" t="s">
        <v>1387</v>
      </c>
      <c r="B38" s="1336" t="s">
        <v>1433</v>
      </c>
      <c r="C38" s="1337">
        <f ca="1">ROUND(C5*F38,1)</f>
        <v>0</v>
      </c>
      <c r="D38" s="1338" t="s">
        <v>1453</v>
      </c>
      <c r="E38" s="1336" t="s">
        <v>1449</v>
      </c>
      <c r="F38" s="1332">
        <f ca="1">INDIRECT("'数据-取费表'!Am"&amp;$G$1)</f>
        <v>0</v>
      </c>
      <c r="G38" s="1839"/>
      <c r="H38" s="1847"/>
      <c r="I38" s="1848"/>
      <c r="J38" s="1849"/>
      <c r="K38" s="1853"/>
      <c r="L38" s="1847"/>
      <c r="M38" s="1847"/>
    </row>
    <row r="39" spans="1:18" ht="24.6" customHeight="1" thickTop="1">
      <c r="A39" s="1325" t="s">
        <v>1027</v>
      </c>
      <c r="B39" s="1340" t="s">
        <v>1477</v>
      </c>
      <c r="C39" s="354">
        <f ca="1">C5-C30</f>
        <v>0</v>
      </c>
      <c r="D39" s="1341" t="s">
        <v>1478</v>
      </c>
      <c r="E39" s="1342"/>
      <c r="F39" s="1343"/>
      <c r="G39" s="1839"/>
      <c r="H39" s="1847"/>
      <c r="I39" s="1848"/>
      <c r="J39" s="1849"/>
      <c r="K39" s="1853"/>
      <c r="L39" s="1847"/>
      <c r="M39" s="1847"/>
    </row>
    <row r="40" spans="1:18" ht="18" customHeight="1">
      <c r="A40" s="343" t="s">
        <v>1028</v>
      </c>
      <c r="B40" s="344" t="s">
        <v>1479</v>
      </c>
      <c r="C40" s="345" t="e">
        <f ca="1">ROUND(C39*(1-((1+F42)/(1+F40))^F41)/(F40-F42),0)</f>
        <v>#DIV/0!</v>
      </c>
      <c r="D40" s="369" t="s">
        <v>1463</v>
      </c>
      <c r="E40" s="346" t="s">
        <v>1464</v>
      </c>
      <c r="F40" s="356">
        <f ca="1">INDIRECT("'数据-取费表'!I"&amp;$G$1)</f>
        <v>0</v>
      </c>
      <c r="G40" s="1839"/>
      <c r="H40" s="1827"/>
      <c r="I40" s="1848"/>
      <c r="J40" s="1849"/>
      <c r="K40" s="1853"/>
      <c r="L40" s="1827"/>
      <c r="M40" s="1827"/>
    </row>
    <row r="41" spans="1:18" ht="18" customHeight="1">
      <c r="A41" s="348"/>
      <c r="B41" s="349"/>
      <c r="C41" s="350"/>
      <c r="D41" s="377" t="s">
        <v>1480</v>
      </c>
      <c r="E41" s="346" t="s">
        <v>1468</v>
      </c>
      <c r="F41" s="378">
        <f ca="1">IF(INDIRECT("'数据-取费表'!af"&amp;$G$1)=0,INDIRECT("'数据-取费表'!ae"&amp;$G$1),INDIRECT("'数据-取费表'!af"&amp;$G$1))</f>
        <v>0</v>
      </c>
      <c r="G41" s="1839"/>
      <c r="H41" s="731"/>
      <c r="I41" s="1848"/>
      <c r="J41" s="1849"/>
      <c r="K41" s="750"/>
      <c r="L41" s="731"/>
      <c r="M41" s="731"/>
    </row>
    <row r="42" spans="1:18" ht="18" customHeight="1">
      <c r="A42" s="352"/>
      <c r="B42" s="353"/>
      <c r="C42" s="354"/>
      <c r="D42" s="372"/>
      <c r="E42" s="346" t="s">
        <v>1471</v>
      </c>
      <c r="F42" s="356">
        <f ca="1">INDIRECT("'数据-取费表'!v"&amp;$G$1)</f>
        <v>0</v>
      </c>
      <c r="G42" s="1839"/>
      <c r="H42" s="731"/>
      <c r="I42" s="1848"/>
      <c r="J42" s="1849"/>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39"/>
      <c r="H43" s="731"/>
      <c r="I43" s="731"/>
      <c r="J43" s="731"/>
      <c r="K43" s="750"/>
      <c r="L43" s="731"/>
      <c r="M43" s="731"/>
    </row>
    <row r="44" spans="1:18" s="1830" customFormat="1" ht="18" customHeight="1">
      <c r="A44" s="1854"/>
      <c r="B44" s="1854"/>
      <c r="C44" s="1855"/>
      <c r="D44" s="1854"/>
      <c r="E44" s="1854"/>
      <c r="F44" s="1854"/>
      <c r="K44" s="1856"/>
    </row>
    <row r="45" spans="1:18" s="1830" customFormat="1" ht="18" customHeight="1" thickBot="1">
      <c r="A45" s="1854"/>
      <c r="B45" s="1854"/>
      <c r="C45" s="1926" t="e">
        <f ca="1">C68-C40</f>
        <v>#DIV/0!</v>
      </c>
      <c r="D45" s="1927" t="s">
        <v>1598</v>
      </c>
      <c r="E45" s="1854"/>
      <c r="F45" s="1854"/>
      <c r="O45" s="1857" t="s">
        <v>1513</v>
      </c>
      <c r="P45" s="1827"/>
      <c r="Q45" s="1827"/>
      <c r="R45" s="1827"/>
    </row>
    <row r="46" spans="1:18" s="1830" customFormat="1" ht="13.5" thickBot="1">
      <c r="A46" s="1858" t="s">
        <v>1514</v>
      </c>
      <c r="C46" s="1859" t="e">
        <f ca="1">ROUND(C45/10000,0)</f>
        <v>#DIV/0!</v>
      </c>
      <c r="D46" s="1860" t="str">
        <f>C2</f>
        <v>万元</v>
      </c>
      <c r="I46" s="1861" t="s">
        <v>1515</v>
      </c>
      <c r="J46" s="1862"/>
      <c r="K46" s="1863"/>
      <c r="L46" s="1864" t="e">
        <f ca="1">IF(M47="住宅",0,IF(L48&gt;J51,L60,J60))</f>
        <v>#DIV/0!</v>
      </c>
      <c r="O46" s="1865" t="s">
        <v>1516</v>
      </c>
      <c r="P46" s="1866" t="s">
        <v>1517</v>
      </c>
      <c r="Q46" s="1867" t="s">
        <v>1518</v>
      </c>
      <c r="R46" s="1867" t="s">
        <v>1519</v>
      </c>
    </row>
    <row r="47" spans="1:18" s="1830" customFormat="1" ht="13.5" thickBot="1">
      <c r="A47" s="1164" t="s">
        <v>1390</v>
      </c>
      <c r="B47" s="1196" t="s">
        <v>1391</v>
      </c>
      <c r="C47" s="1196" t="s">
        <v>1392</v>
      </c>
      <c r="D47" s="1196" t="s">
        <v>1393</v>
      </c>
      <c r="E47" s="1275" t="s">
        <v>1394</v>
      </c>
      <c r="F47" s="1276"/>
      <c r="G47" s="791"/>
      <c r="I47" s="1868" t="s">
        <v>1520</v>
      </c>
      <c r="J47" s="1869"/>
      <c r="K47" s="1870" t="s">
        <v>1521</v>
      </c>
      <c r="L47" s="1871">
        <f ca="1">INDIRECT("'数据-取费表'!d"&amp;$G$1)</f>
        <v>0</v>
      </c>
      <c r="M47" s="1826" t="str">
        <f>IF(ISNUMBER(FIND("住宅",C1)),"住宅","非住宅")</f>
        <v>非住宅</v>
      </c>
      <c r="O47" s="1872" t="s">
        <v>1036</v>
      </c>
      <c r="P47" s="1873" t="s">
        <v>1522</v>
      </c>
      <c r="Q47" s="1874" t="e">
        <f ca="1">C40+J29</f>
        <v>#DIV/0!</v>
      </c>
      <c r="R47" s="1874" t="s">
        <v>1523</v>
      </c>
    </row>
    <row r="48" spans="1:18" s="1830" customFormat="1" ht="28.5" thickBot="1">
      <c r="A48" s="1356" t="s">
        <v>1131</v>
      </c>
      <c r="B48" s="344" t="s">
        <v>1395</v>
      </c>
      <c r="C48" s="1805">
        <f ca="1">C49+C53+C55</f>
        <v>0</v>
      </c>
      <c r="D48" s="1358"/>
      <c r="E48" s="1359"/>
      <c r="F48" s="1180"/>
      <c r="G48" s="791"/>
      <c r="H48" s="792"/>
      <c r="I48" s="1875" t="s">
        <v>1524</v>
      </c>
      <c r="J48" s="1876"/>
      <c r="K48" s="1877" t="s">
        <v>1525</v>
      </c>
      <c r="L48" s="1878">
        <f ca="1">INDIRECT("'数据-取费表'!f"&amp;$G$1)</f>
        <v>0</v>
      </c>
      <c r="O48" s="1872" t="s">
        <v>1037</v>
      </c>
      <c r="P48" s="1873" t="s">
        <v>1526</v>
      </c>
      <c r="Q48" s="1874" t="e">
        <f ca="1">J60</f>
        <v>#DIV/0!</v>
      </c>
      <c r="R48" s="1874" t="s">
        <v>1527</v>
      </c>
    </row>
    <row r="49" spans="1:18" s="1830" customFormat="1" ht="13.5" thickBot="1">
      <c r="A49" s="1193" t="s">
        <v>1132</v>
      </c>
      <c r="B49" s="1817" t="s">
        <v>1484</v>
      </c>
      <c r="C49" s="1360">
        <f ca="1">ROUND(F49*F51*F50*(1-F52),0)</f>
        <v>0</v>
      </c>
      <c r="D49" s="1272" t="s">
        <v>1398</v>
      </c>
      <c r="E49" s="1818" t="s">
        <v>1485</v>
      </c>
      <c r="F49" s="1277"/>
      <c r="G49" s="1879"/>
      <c r="H49" s="792"/>
      <c r="I49" s="1875" t="s">
        <v>1528</v>
      </c>
      <c r="J49" s="1880"/>
      <c r="K49" s="1877" t="s">
        <v>1529</v>
      </c>
      <c r="L49" s="1881"/>
      <c r="O49" s="1882" t="s">
        <v>1038</v>
      </c>
      <c r="P49" s="1873" t="s">
        <v>1530</v>
      </c>
      <c r="Q49" s="1874">
        <f ca="1">C29</f>
        <v>0</v>
      </c>
      <c r="R49" s="1874" t="s">
        <v>1523</v>
      </c>
    </row>
    <row r="50" spans="1:18" s="1830" customFormat="1" ht="13.5" thickBot="1">
      <c r="A50" s="1194"/>
      <c r="B50" s="1197"/>
      <c r="C50" s="1198"/>
      <c r="D50" s="1171"/>
      <c r="E50" s="1273" t="s">
        <v>1400</v>
      </c>
      <c r="F50" s="1274">
        <f ca="1">F7</f>
        <v>0</v>
      </c>
      <c r="H50" s="792"/>
      <c r="I50" s="1875" t="s">
        <v>1531</v>
      </c>
      <c r="J50" s="1883">
        <f>SUMPRODUCT((I63:I65=J47)*(J62:L62=J48)*(J63:L65))</f>
        <v>0</v>
      </c>
      <c r="K50" s="1877" t="s">
        <v>1532</v>
      </c>
      <c r="L50" s="1881"/>
      <c r="M50" s="1884"/>
      <c r="O50" s="1882" t="s">
        <v>1039</v>
      </c>
      <c r="P50" s="1873" t="s">
        <v>1533</v>
      </c>
      <c r="Q50" s="1885" t="e">
        <f ca="1">J58</f>
        <v>#DIV/0!</v>
      </c>
      <c r="R50" s="1874"/>
    </row>
    <row r="51" spans="1:18" s="1830" customFormat="1" ht="13.5" thickBot="1">
      <c r="A51" s="1195"/>
      <c r="B51" s="1197"/>
      <c r="C51" s="1198"/>
      <c r="D51" s="1171"/>
      <c r="E51" s="1199" t="s">
        <v>1401</v>
      </c>
      <c r="F51" s="347">
        <f ca="1">F8</f>
        <v>0</v>
      </c>
      <c r="I51" s="1886" t="s">
        <v>1534</v>
      </c>
      <c r="J51" s="1887">
        <f>IF(J49="",J50,J49+J50-YEAR('数据-取费表'!B2))</f>
        <v>0</v>
      </c>
      <c r="K51" s="1888" t="s">
        <v>1535</v>
      </c>
      <c r="L51" s="1889">
        <f ca="1">ROUND(-PV(INDIRECT("'数据-取费表'!h"&amp;$G$1),J51,(C39-C13*C76),0),0)</f>
        <v>0</v>
      </c>
      <c r="M51" s="1890"/>
      <c r="O51" s="1882" t="s">
        <v>1040</v>
      </c>
      <c r="P51" s="1873" t="s">
        <v>1536</v>
      </c>
      <c r="Q51" s="1885">
        <f>J52</f>
        <v>0</v>
      </c>
      <c r="R51" s="1874"/>
    </row>
    <row r="52" spans="1:18" s="1830" customFormat="1" ht="13.5" thickBot="1">
      <c r="A52" s="1195"/>
      <c r="B52" s="1197"/>
      <c r="C52" s="1198"/>
      <c r="D52" s="1171"/>
      <c r="E52" s="1199" t="s">
        <v>1402</v>
      </c>
      <c r="F52" s="1271"/>
      <c r="I52" s="1891" t="s">
        <v>1537</v>
      </c>
      <c r="J52" s="1892"/>
      <c r="K52" s="1891" t="s">
        <v>1538</v>
      </c>
      <c r="L52" s="1892"/>
      <c r="O52" s="1882" t="s">
        <v>1041</v>
      </c>
      <c r="P52" s="1873" t="s">
        <v>1539</v>
      </c>
      <c r="Q52" s="1874">
        <f ca="1">J53</f>
        <v>0</v>
      </c>
      <c r="R52" s="1874" t="s">
        <v>1540</v>
      </c>
    </row>
    <row r="53" spans="1:18" s="1830" customFormat="1" ht="30.75" customHeight="1" thickBot="1">
      <c r="A53" s="1357" t="s">
        <v>1133</v>
      </c>
      <c r="B53" s="368" t="s">
        <v>1403</v>
      </c>
      <c r="C53" s="360">
        <f ca="1">ROUND(IF(F53="押一",C49/12*F11,IF(F53="押二",C49/12*2*F11,IF(F53="押三",C49/12*3*F11,C54*F11))),0)</f>
        <v>0</v>
      </c>
      <c r="D53" s="1812" t="s">
        <v>3038</v>
      </c>
      <c r="E53" s="357" t="s">
        <v>1404</v>
      </c>
      <c r="F53" s="1362"/>
      <c r="I53" s="1893" t="s">
        <v>1541</v>
      </c>
      <c r="J53" s="2937">
        <f ca="1">IF(M47="住宅",IF(D1="——",MAX(J51,L48),MAX(J51,L48-'数据-取费表'!B24)),IF(D1="——",MIN(J51,L48),MIN(J51,L48-'数据-取费表'!B24)))</f>
        <v>0</v>
      </c>
      <c r="K53" s="3644" t="s">
        <v>1542</v>
      </c>
      <c r="L53" s="3645"/>
      <c r="O53" s="1872" t="s">
        <v>1042</v>
      </c>
      <c r="P53" s="1873" t="s">
        <v>1543</v>
      </c>
      <c r="Q53" s="1874" t="e">
        <f ca="1">Q47+Q48</f>
        <v>#DIV/0!</v>
      </c>
      <c r="R53" s="1874" t="s">
        <v>1043</v>
      </c>
    </row>
    <row r="54" spans="1:18" s="1830" customFormat="1" ht="13.5" thickBot="1">
      <c r="A54" s="1193"/>
      <c r="B54" s="1928" t="s">
        <v>1597</v>
      </c>
      <c r="C54" s="1177"/>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9"/>
      <c r="O54" s="1857" t="s">
        <v>1544</v>
      </c>
      <c r="P54" s="1827"/>
      <c r="Q54" s="1827"/>
      <c r="R54" s="1827"/>
    </row>
    <row r="55" spans="1:18" s="1830" customFormat="1" ht="13.5" thickBot="1">
      <c r="A55" s="1329" t="s">
        <v>1071</v>
      </c>
      <c r="B55" s="1815" t="s">
        <v>1407</v>
      </c>
      <c r="C55" s="1330"/>
      <c r="D55" s="1812"/>
      <c r="E55" s="1820"/>
      <c r="F55" s="1894"/>
      <c r="I55" s="1897" t="s">
        <v>1545</v>
      </c>
      <c r="J55" s="1898" t="e">
        <f ca="1">ROUND(IF(J47="钢混",J57/J50,1-(1-2%)*(J50-J57)/J50),3)</f>
        <v>#DIV/0!</v>
      </c>
      <c r="K55" s="1899" t="s">
        <v>1546</v>
      </c>
      <c r="L55" s="1900"/>
      <c r="O55" s="1865" t="s">
        <v>1516</v>
      </c>
      <c r="P55" s="1866" t="s">
        <v>1517</v>
      </c>
      <c r="Q55" s="1867" t="s">
        <v>1518</v>
      </c>
      <c r="R55" s="1867" t="s">
        <v>1519</v>
      </c>
    </row>
    <row r="56" spans="1:18" s="1830" customFormat="1" ht="36" customHeight="1" thickTop="1" thickBot="1">
      <c r="A56" s="1175">
        <v>2</v>
      </c>
      <c r="B56" s="1176" t="s">
        <v>1408</v>
      </c>
      <c r="C56" s="275">
        <f ca="1">C13</f>
        <v>0</v>
      </c>
      <c r="D56" s="1901"/>
      <c r="E56" s="1902"/>
      <c r="F56" s="1894"/>
      <c r="I56" s="1903" t="s">
        <v>1548</v>
      </c>
      <c r="J56" s="1904"/>
      <c r="K56" s="1875" t="s">
        <v>1549</v>
      </c>
      <c r="L56" s="1878">
        <f ca="1">IF(L48&lt;J51,"——",L48-J51)</f>
        <v>0</v>
      </c>
      <c r="O56" s="1872" t="s">
        <v>1036</v>
      </c>
      <c r="P56" s="1873" t="s">
        <v>1522</v>
      </c>
      <c r="Q56" s="1874" t="e">
        <f ca="1">C40+J29</f>
        <v>#DIV/0!</v>
      </c>
      <c r="R56" s="1874" t="s">
        <v>1523</v>
      </c>
    </row>
    <row r="57" spans="1:18" s="1830" customFormat="1" ht="24.75" thickBot="1">
      <c r="A57" s="1905"/>
      <c r="B57" s="1168" t="s">
        <v>1472</v>
      </c>
      <c r="C57" s="281">
        <f ca="1">C29</f>
        <v>0</v>
      </c>
      <c r="D57" s="1906"/>
      <c r="E57" s="1907"/>
      <c r="F57" s="1908"/>
      <c r="I57" s="1909" t="s">
        <v>1550</v>
      </c>
      <c r="J57" s="1910">
        <f ca="1">IF(OR(M47="住宅",J51&lt;L48,J56="是"),"——",J51-L48)</f>
        <v>0</v>
      </c>
      <c r="K57" s="1875" t="s">
        <v>1599</v>
      </c>
      <c r="L57" s="1878">
        <f ca="1">IF(L48&lt;J51,"——",IF(L55="比较法",L49,IF(L55="基准地价",L50,L51)))</f>
        <v>0</v>
      </c>
      <c r="O57" s="1872" t="s">
        <v>1037</v>
      </c>
      <c r="P57" s="1873" t="s">
        <v>1600</v>
      </c>
      <c r="Q57" s="1874" t="e">
        <f ca="1">L60</f>
        <v>#DIV/0!</v>
      </c>
      <c r="R57" s="1874" t="s">
        <v>1601</v>
      </c>
    </row>
    <row r="58" spans="1:18" s="1830" customFormat="1" ht="24.75" thickBot="1">
      <c r="A58" s="359" t="s">
        <v>1026</v>
      </c>
      <c r="B58" s="1176" t="s">
        <v>1418</v>
      </c>
      <c r="C58" s="360">
        <f ca="1">ROUND(C59+C64+C65+C66,0)</f>
        <v>0</v>
      </c>
      <c r="D58" s="1178" t="s">
        <v>1419</v>
      </c>
      <c r="E58" s="1179"/>
      <c r="F58" s="1180"/>
      <c r="I58" s="1909" t="s">
        <v>1554</v>
      </c>
      <c r="J58" s="1911" t="e">
        <f ca="1">IF(J55&lt;0.4,0.4,J55)</f>
        <v>#DIV/0!</v>
      </c>
      <c r="K58" s="1888" t="s">
        <v>1602</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09" t="s">
        <v>1557</v>
      </c>
      <c r="J59" s="1910"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1039</v>
      </c>
      <c r="P59" s="1873" t="s">
        <v>1558</v>
      </c>
      <c r="Q59" s="1885">
        <f>L52</f>
        <v>0</v>
      </c>
      <c r="R59" s="1874"/>
    </row>
    <row r="60" spans="1:18" s="1830" customFormat="1" ht="16.5" thickBot="1">
      <c r="A60" s="1200" t="s">
        <v>1030</v>
      </c>
      <c r="B60" s="1168" t="s">
        <v>1427</v>
      </c>
      <c r="C60" s="24">
        <f ca="1">IF(项目基本情况!B11="自然人","——",ROUND(C48*F60/(1+'数据-取费表'!C42),0))</f>
        <v>0</v>
      </c>
      <c r="D60" s="1182" t="s">
        <v>1428</v>
      </c>
      <c r="E60" s="1168" t="s">
        <v>1416</v>
      </c>
      <c r="F60" s="376">
        <f t="shared" ref="F60:F66" si="0">F32</f>
        <v>5.6000000000000001E-2</v>
      </c>
      <c r="I60" s="1912" t="s">
        <v>1559</v>
      </c>
      <c r="J60" s="1913" t="e">
        <f ca="1">IF(OR(M47="住宅",J51&lt;L48,J56="是"),"0",ROUND(J59/(1+J52)^J53,0))</f>
        <v>#DIV/0!</v>
      </c>
      <c r="K60" s="1914" t="s">
        <v>1560</v>
      </c>
      <c r="L60" s="1913" t="e">
        <f ca="1">IF(OR(M47="住宅",L48&lt;J51),0,ROUND(L57*(L58/L59-1),0))</f>
        <v>#DIV/0!</v>
      </c>
      <c r="O60" s="1882" t="s">
        <v>1040</v>
      </c>
      <c r="P60" s="1873" t="s">
        <v>1561</v>
      </c>
      <c r="Q60" s="1874" t="e">
        <f ca="1">L58</f>
        <v>#DIV/0!</v>
      </c>
      <c r="R60" s="1874" t="s">
        <v>1562</v>
      </c>
    </row>
    <row r="61" spans="1:18" s="1830" customFormat="1" ht="13.5" thickBot="1">
      <c r="A61" s="1200" t="s">
        <v>1486</v>
      </c>
      <c r="B61" s="1168" t="s">
        <v>1487</v>
      </c>
      <c r="C61" s="24">
        <f ca="1">IF(项目基本情况!B11="自然人","——",IF(D61="按租金收入计税",ROUND(C48*F61,0),IF(D61="按房产原值计税",ROUND(C57*F61*0.7,0),INDIRECT("'数据-取费表'!Aj"&amp;$G$1))))</f>
        <v>0</v>
      </c>
      <c r="D61" s="1816" t="s">
        <v>1432</v>
      </c>
      <c r="E61" s="1168" t="s">
        <v>1488</v>
      </c>
      <c r="F61" s="366">
        <f t="shared" si="0"/>
        <v>1.2E-2</v>
      </c>
      <c r="I61" s="1915"/>
      <c r="J61" s="1915"/>
      <c r="K61" s="1915"/>
      <c r="L61" s="1915"/>
      <c r="O61" s="1882" t="s">
        <v>1041</v>
      </c>
      <c r="P61" s="1873" t="str">
        <f>K59</f>
        <v>建设期及建筑物耐用年限下的土地年期修正系数Kn</v>
      </c>
      <c r="Q61" s="1874" t="e">
        <f ca="1">L59</f>
        <v>#DIV/0!</v>
      </c>
      <c r="R61" s="1874" t="s">
        <v>1563</v>
      </c>
    </row>
    <row r="62" spans="1:18" s="1830" customFormat="1" ht="13.5" thickBot="1">
      <c r="A62" s="1200" t="s">
        <v>1489</v>
      </c>
      <c r="B62" s="1167" t="s">
        <v>1490</v>
      </c>
      <c r="C62" s="25">
        <f ca="1">IF(项目基本情况!B11="自然人","——",ROUND(F62*F63,0))</f>
        <v>0</v>
      </c>
      <c r="D62" s="1183" t="s">
        <v>1491</v>
      </c>
      <c r="E62" s="1168" t="s">
        <v>1492</v>
      </c>
      <c r="F62" s="370">
        <f t="shared" si="0"/>
        <v>1.5</v>
      </c>
      <c r="I62" s="1916" t="s">
        <v>1564</v>
      </c>
      <c r="J62" s="1917" t="s">
        <v>1565</v>
      </c>
      <c r="K62" s="1917" t="s">
        <v>1566</v>
      </c>
      <c r="L62" s="1917" t="s">
        <v>1567</v>
      </c>
      <c r="M62" s="1918" t="s">
        <v>1568</v>
      </c>
      <c r="O62" s="1872" t="s">
        <v>1042</v>
      </c>
      <c r="P62" s="1873" t="s">
        <v>1569</v>
      </c>
      <c r="Q62" s="1874" t="e">
        <f ca="1">Q56+Q57</f>
        <v>#DIV/0!</v>
      </c>
      <c r="R62" s="1874" t="s">
        <v>1043</v>
      </c>
    </row>
    <row r="63" spans="1:18" s="1830" customFormat="1" ht="13.5" thickBot="1">
      <c r="A63" s="371"/>
      <c r="B63" s="1174"/>
      <c r="C63" s="29"/>
      <c r="D63" s="1184"/>
      <c r="E63" s="1168" t="s">
        <v>1493</v>
      </c>
      <c r="F63" s="347">
        <f t="shared" ca="1" si="0"/>
        <v>0</v>
      </c>
      <c r="I63" s="1916" t="s">
        <v>1570</v>
      </c>
      <c r="J63" s="1917">
        <v>70</v>
      </c>
      <c r="K63" s="1917">
        <v>50</v>
      </c>
      <c r="L63" s="1917">
        <v>80</v>
      </c>
      <c r="M63" s="1919">
        <v>0.02</v>
      </c>
      <c r="O63" s="1857" t="s">
        <v>1571</v>
      </c>
      <c r="P63" s="1827"/>
      <c r="Q63" s="1827"/>
      <c r="R63" s="1827"/>
    </row>
    <row r="64" spans="1:18" s="1830" customFormat="1" ht="13.5" thickBot="1">
      <c r="A64" s="1200" t="s">
        <v>1494</v>
      </c>
      <c r="B64" s="1168" t="s">
        <v>1495</v>
      </c>
      <c r="C64" s="24">
        <f ca="1">ROUND(C57*F64,0)</f>
        <v>0</v>
      </c>
      <c r="D64" s="1182" t="s">
        <v>1496</v>
      </c>
      <c r="E64" s="1168" t="s">
        <v>1488</v>
      </c>
      <c r="F64" s="373">
        <f t="shared" ca="1" si="0"/>
        <v>0</v>
      </c>
      <c r="I64" s="1916" t="s">
        <v>1572</v>
      </c>
      <c r="J64" s="1917">
        <v>50</v>
      </c>
      <c r="K64" s="1917">
        <v>35</v>
      </c>
      <c r="L64" s="1917">
        <v>60</v>
      </c>
      <c r="M64" s="1918">
        <v>0</v>
      </c>
      <c r="O64" s="1865" t="s">
        <v>1516</v>
      </c>
      <c r="P64" s="1866" t="s">
        <v>1517</v>
      </c>
      <c r="Q64" s="1867" t="s">
        <v>1518</v>
      </c>
      <c r="R64" s="1867" t="s">
        <v>1519</v>
      </c>
    </row>
    <row r="65" spans="1:18" s="1830" customFormat="1" ht="13.5" thickBot="1">
      <c r="A65" s="1200" t="s">
        <v>1497</v>
      </c>
      <c r="B65" s="1168" t="s">
        <v>1447</v>
      </c>
      <c r="C65" s="24">
        <f ca="1">ROUND(C56*F65,0)</f>
        <v>0</v>
      </c>
      <c r="D65" s="1182" t="s">
        <v>1448</v>
      </c>
      <c r="E65" s="1168" t="s">
        <v>1449</v>
      </c>
      <c r="F65" s="375">
        <f t="shared" ca="1" si="0"/>
        <v>0</v>
      </c>
      <c r="I65" s="1916" t="s">
        <v>1573</v>
      </c>
      <c r="J65" s="1917">
        <v>40</v>
      </c>
      <c r="K65" s="1917">
        <v>30</v>
      </c>
      <c r="L65" s="1917">
        <v>50</v>
      </c>
      <c r="M65" s="1919">
        <v>0.02</v>
      </c>
      <c r="O65" s="1872" t="s">
        <v>1036</v>
      </c>
      <c r="P65" s="1873" t="s">
        <v>1574</v>
      </c>
      <c r="Q65" s="1874" t="e">
        <f ca="1">C40+J29</f>
        <v>#DIV/0!</v>
      </c>
      <c r="R65" s="1874" t="s">
        <v>1523</v>
      </c>
    </row>
    <row r="66" spans="1:18" s="1830" customFormat="1" ht="16.5" thickBot="1">
      <c r="A66" s="1200" t="s">
        <v>1498</v>
      </c>
      <c r="B66" s="1168" t="s">
        <v>1433</v>
      </c>
      <c r="C66" s="24">
        <f ca="1">ROUND(C48*F66,0)</f>
        <v>0</v>
      </c>
      <c r="D66" s="1182" t="s">
        <v>1499</v>
      </c>
      <c r="E66" s="1168" t="s">
        <v>1416</v>
      </c>
      <c r="F66" s="356">
        <f t="shared" ca="1" si="0"/>
        <v>0</v>
      </c>
      <c r="O66" s="1872" t="s">
        <v>1037</v>
      </c>
      <c r="P66" s="1873" t="s">
        <v>1552</v>
      </c>
      <c r="Q66" s="1874" t="e">
        <f ca="1">L60</f>
        <v>#DIV/0!</v>
      </c>
      <c r="R66" s="1874" t="s">
        <v>1575</v>
      </c>
    </row>
    <row r="67" spans="1:18" s="1830" customFormat="1" ht="16.5" thickBot="1">
      <c r="A67" s="1175" t="s">
        <v>1027</v>
      </c>
      <c r="B67" s="1185" t="s">
        <v>1457</v>
      </c>
      <c r="C67" s="360">
        <f ca="1">C48-C58</f>
        <v>0</v>
      </c>
      <c r="D67" s="1181" t="s">
        <v>1458</v>
      </c>
      <c r="E67" s="1186"/>
      <c r="F67" s="1187"/>
      <c r="O67" s="1882" t="s">
        <v>1038</v>
      </c>
      <c r="P67" s="1873" t="s">
        <v>1556</v>
      </c>
      <c r="Q67" s="1920">
        <f ca="1">L51</f>
        <v>0</v>
      </c>
      <c r="R67" s="1874" t="s">
        <v>1576</v>
      </c>
    </row>
    <row r="68" spans="1:18" s="1830" customFormat="1" ht="16.5" thickBot="1">
      <c r="A68" s="1165" t="s">
        <v>1028</v>
      </c>
      <c r="B68" s="1166" t="s">
        <v>1479</v>
      </c>
      <c r="C68" s="345" t="e">
        <f ca="1">ROUND(C67*(1-((1+F70)/(1+F68))^F69)/(F68-F70),0)</f>
        <v>#DIV/0!</v>
      </c>
      <c r="D68" s="1183" t="s">
        <v>1463</v>
      </c>
      <c r="E68" s="1168" t="s">
        <v>1464</v>
      </c>
      <c r="F68" s="356">
        <f ca="1">F40</f>
        <v>0</v>
      </c>
      <c r="O68" s="1882" t="s">
        <v>1039</v>
      </c>
      <c r="P68" s="1921" t="s">
        <v>1577</v>
      </c>
      <c r="Q68" s="1874">
        <f ca="1">ROUND(Q69-Q70*Q71,0)</f>
        <v>0</v>
      </c>
      <c r="R68" s="1874" t="s">
        <v>1047</v>
      </c>
    </row>
    <row r="69" spans="1:18" s="1830" customFormat="1" ht="13.5" thickBot="1">
      <c r="A69" s="1169"/>
      <c r="B69" s="1170"/>
      <c r="C69" s="350"/>
      <c r="D69" s="1188" t="s">
        <v>1467</v>
      </c>
      <c r="E69" s="1168" t="s">
        <v>1468</v>
      </c>
      <c r="F69" s="378">
        <f ca="1">F41</f>
        <v>0</v>
      </c>
      <c r="O69" s="1882" t="s">
        <v>1044</v>
      </c>
      <c r="P69" s="1921" t="s">
        <v>1578</v>
      </c>
      <c r="Q69" s="1874">
        <f ca="1">C39</f>
        <v>0</v>
      </c>
      <c r="R69" s="1874" t="s">
        <v>1523</v>
      </c>
    </row>
    <row r="70" spans="1:18" s="1830" customFormat="1" ht="13.5" thickBot="1">
      <c r="A70" s="1172"/>
      <c r="B70" s="1173"/>
      <c r="C70" s="354"/>
      <c r="D70" s="1184"/>
      <c r="E70" s="1168" t="s">
        <v>1471</v>
      </c>
      <c r="F70" s="1271">
        <f ca="1">F42</f>
        <v>0</v>
      </c>
      <c r="O70" s="1882" t="s">
        <v>1045</v>
      </c>
      <c r="P70" s="1921" t="s">
        <v>1579</v>
      </c>
      <c r="Q70" s="1874">
        <f ca="1">C13</f>
        <v>0</v>
      </c>
      <c r="R70" s="1874" t="s">
        <v>1523</v>
      </c>
    </row>
    <row r="71" spans="1:18" s="1830" customFormat="1" ht="13.5" thickBot="1">
      <c r="A71" s="1189" t="s">
        <v>1029</v>
      </c>
      <c r="B71" s="1190" t="s">
        <v>1481</v>
      </c>
      <c r="C71" s="381" t="e">
        <f ca="1">ROUND(C68/F71,0)</f>
        <v>#DIV/0!</v>
      </c>
      <c r="D71" s="1191" t="s">
        <v>1482</v>
      </c>
      <c r="E71" s="1192" t="s">
        <v>1483</v>
      </c>
      <c r="F71" s="384">
        <f ca="1">F43</f>
        <v>0</v>
      </c>
      <c r="O71" s="1882" t="s">
        <v>1046</v>
      </c>
      <c r="P71" s="1921" t="s">
        <v>1580</v>
      </c>
      <c r="Q71" s="1885">
        <f ca="1">C76</f>
        <v>0</v>
      </c>
      <c r="R71" s="1874"/>
    </row>
    <row r="72" spans="1:18" s="1830" customFormat="1" ht="13.5" thickBot="1">
      <c r="B72" s="795"/>
      <c r="C72" s="795"/>
      <c r="O72" s="1882" t="s">
        <v>1040</v>
      </c>
      <c r="P72" s="1873" t="s">
        <v>1558</v>
      </c>
      <c r="Q72" s="1885">
        <f>L52</f>
        <v>0</v>
      </c>
      <c r="R72" s="1874"/>
    </row>
    <row r="73" spans="1:18" ht="16.5" thickBot="1">
      <c r="A73" s="1830"/>
      <c r="B73" s="795"/>
      <c r="C73" s="795"/>
      <c r="D73" s="1830"/>
      <c r="E73" s="1830"/>
      <c r="F73" s="1830"/>
      <c r="O73" s="1882" t="s">
        <v>1041</v>
      </c>
      <c r="P73" s="1873" t="s">
        <v>1561</v>
      </c>
      <c r="Q73" s="1874" t="e">
        <f ca="1">L58</f>
        <v>#DIV/0!</v>
      </c>
      <c r="R73" s="1874" t="s">
        <v>1562</v>
      </c>
    </row>
    <row r="74" spans="1:18" ht="13.5" thickBot="1">
      <c r="A74" s="1830"/>
      <c r="B74" s="316" t="s">
        <v>1581</v>
      </c>
      <c r="C74" s="1923"/>
      <c r="D74" s="1830"/>
      <c r="E74" s="1830"/>
      <c r="F74" s="1830"/>
      <c r="O74" s="1882" t="s">
        <v>1048</v>
      </c>
      <c r="P74" s="1873" t="str">
        <f>K59</f>
        <v>建设期及建筑物耐用年限下的土地年期修正系数Kn</v>
      </c>
      <c r="Q74" s="1874" t="e">
        <f ca="1">L59</f>
        <v>#DIV/0!</v>
      </c>
      <c r="R74" s="1874" t="s">
        <v>1563</v>
      </c>
    </row>
    <row r="75" spans="1:18" ht="13.5" thickBot="1">
      <c r="A75" s="1830"/>
      <c r="B75" s="385" t="s">
        <v>1500</v>
      </c>
      <c r="C75" s="386">
        <f ca="1">ROUND(C13*C76,0)</f>
        <v>0</v>
      </c>
      <c r="D75" s="1830"/>
      <c r="E75" s="1830"/>
      <c r="F75" s="1830"/>
      <c r="K75" s="1856"/>
      <c r="L75" s="1830"/>
      <c r="O75" s="1872" t="s">
        <v>1042</v>
      </c>
      <c r="P75" s="1873" t="s">
        <v>1543</v>
      </c>
      <c r="Q75" s="1874" t="e">
        <f ca="1">Q65+Q66</f>
        <v>#DIV/0!</v>
      </c>
      <c r="R75" s="1874" t="s">
        <v>1043</v>
      </c>
    </row>
    <row r="76" spans="1:18">
      <c r="B76" s="387" t="s">
        <v>1501</v>
      </c>
      <c r="C76" s="388">
        <f ca="1">INDIRECT("'数据-取费表'!j"&amp;$G$1)</f>
        <v>0</v>
      </c>
      <c r="I76" s="1830"/>
      <c r="J76" s="1830"/>
      <c r="K76" s="1856"/>
      <c r="L76" s="1830"/>
    </row>
    <row r="77" spans="1:18">
      <c r="B77" s="389" t="s">
        <v>1502</v>
      </c>
      <c r="C77" s="390"/>
      <c r="I77" s="1830"/>
      <c r="J77" s="1830"/>
      <c r="K77" s="1856"/>
      <c r="L77" s="1830"/>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rgb="FF92D050"/>
  </sheetPr>
  <dimension ref="A1:F13"/>
  <sheetViews>
    <sheetView workbookViewId="0">
      <selection activeCell="F19" sqref="F19"/>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49" t="s">
        <v>2525</v>
      </c>
      <c r="B1" s="2550"/>
      <c r="C1" s="2550"/>
      <c r="D1" s="2550"/>
      <c r="E1" s="2551"/>
    </row>
    <row r="2" spans="1:6" ht="15.75">
      <c r="A2" s="2552" t="s">
        <v>2326</v>
      </c>
      <c r="B2" s="2553" t="e">
        <f ca="1">SUMIF(B6:B13,"&lt;&gt;#ref!",B6:B13)</f>
        <v>#DIV/0!</v>
      </c>
      <c r="C2" s="2554" t="s">
        <v>2518</v>
      </c>
      <c r="D2" s="2555" t="s">
        <v>2519</v>
      </c>
      <c r="E2" s="2556">
        <f>SUM(E6:E13)</f>
        <v>135636.54000000004</v>
      </c>
    </row>
    <row r="3" spans="1:6" ht="15.75">
      <c r="A3" s="2552" t="s">
        <v>1389</v>
      </c>
      <c r="B3" s="2553" t="e">
        <f ca="1">ROUND(B2*10000/E2,0)</f>
        <v>#DIV/0!</v>
      </c>
      <c r="C3" s="2554" t="s">
        <v>2526</v>
      </c>
      <c r="D3" s="2557"/>
      <c r="E3" s="2558"/>
    </row>
    <row r="4" spans="1:6" ht="15.75">
      <c r="A4" s="2559"/>
      <c r="B4" s="2557"/>
      <c r="C4" s="2557"/>
      <c r="D4" s="2557"/>
      <c r="E4" s="2558"/>
    </row>
    <row r="5" spans="1:6" ht="15">
      <c r="A5" s="2560" t="s">
        <v>2520</v>
      </c>
      <c r="B5" s="3649" t="s">
        <v>2521</v>
      </c>
      <c r="C5" s="3649"/>
      <c r="D5" s="2561"/>
      <c r="E5" s="2562" t="s">
        <v>2522</v>
      </c>
      <c r="F5" s="2563" t="s">
        <v>2523</v>
      </c>
    </row>
    <row r="6" spans="1:6">
      <c r="A6" s="2564" t="str">
        <f>'数据-取费表'!AN6</f>
        <v>收益法</v>
      </c>
      <c r="B6" s="2563" t="e">
        <f ca="1">IF(F6="是",'数据-取费表'!AO6,0)</f>
        <v>#DIV/0!</v>
      </c>
      <c r="C6" s="2554" t="s">
        <v>2518</v>
      </c>
      <c r="D6" s="2557"/>
      <c r="E6" s="2565">
        <f>IF(OR(A6=0,F6="否"),0,'数据-取费表'!K6+'数据-取费表'!S6)</f>
        <v>135636.54000000004</v>
      </c>
      <c r="F6" s="2566" t="s">
        <v>2524</v>
      </c>
    </row>
    <row r="7" spans="1:6">
      <c r="A7" s="2564">
        <f>'数据-取费表'!AN7</f>
        <v>0</v>
      </c>
      <c r="B7" s="2563" t="e">
        <f ca="1">IF(F7="是",'数据-取费表'!AO7,0)</f>
        <v>#REF!</v>
      </c>
      <c r="C7" s="2554" t="s">
        <v>2518</v>
      </c>
      <c r="D7" s="2557"/>
      <c r="E7" s="2565">
        <f>IF(OR(A7=0,F7="否"),0,'数据-取费表'!K7+'数据-取费表'!S7)</f>
        <v>0</v>
      </c>
      <c r="F7" s="2566" t="s">
        <v>2524</v>
      </c>
    </row>
    <row r="8" spans="1:6">
      <c r="A8" s="2564">
        <f>'数据-取费表'!AN8</f>
        <v>0</v>
      </c>
      <c r="B8" s="2563" t="e">
        <f ca="1">IF(F8="是",'数据-取费表'!AO8,0)</f>
        <v>#REF!</v>
      </c>
      <c r="C8" s="2554" t="s">
        <v>2518</v>
      </c>
      <c r="D8" s="2557"/>
      <c r="E8" s="2565">
        <f>IF(OR(A8=0,F8="否"),0,'数据-取费表'!K8+'数据-取费表'!S8)</f>
        <v>0</v>
      </c>
      <c r="F8" s="2566" t="s">
        <v>2524</v>
      </c>
    </row>
    <row r="9" spans="1:6">
      <c r="A9" s="2564">
        <f>'数据-取费表'!AN9</f>
        <v>0</v>
      </c>
      <c r="B9" s="2563" t="e">
        <f ca="1">IF(F9="是",'数据-取费表'!AO9,0)</f>
        <v>#REF!</v>
      </c>
      <c r="C9" s="2554" t="s">
        <v>2518</v>
      </c>
      <c r="D9" s="2557"/>
      <c r="E9" s="2565">
        <f>IF(OR(A9=0,F9="否"),0,'数据-取费表'!K9+'数据-取费表'!S9)</f>
        <v>0</v>
      </c>
      <c r="F9" s="2566" t="s">
        <v>2524</v>
      </c>
    </row>
    <row r="10" spans="1:6">
      <c r="A10" s="2564">
        <f>'数据-取费表'!AN10</f>
        <v>0</v>
      </c>
      <c r="B10" s="2563" t="e">
        <f ca="1">IF(F10="是",'数据-取费表'!AO10,0)</f>
        <v>#REF!</v>
      </c>
      <c r="C10" s="2554" t="s">
        <v>2518</v>
      </c>
      <c r="D10" s="2557"/>
      <c r="E10" s="2565">
        <f>IF(OR(A10=0,F10="否"),0,'数据-取费表'!K10+'数据-取费表'!S10)</f>
        <v>0</v>
      </c>
      <c r="F10" s="2566" t="s">
        <v>2524</v>
      </c>
    </row>
    <row r="11" spans="1:6">
      <c r="A11" s="2564">
        <f>'数据-取费表'!AN11</f>
        <v>0</v>
      </c>
      <c r="B11" s="2563" t="e">
        <f ca="1">IF(F11="是",'数据-取费表'!AO11,0)</f>
        <v>#REF!</v>
      </c>
      <c r="C11" s="2554" t="s">
        <v>2518</v>
      </c>
      <c r="D11" s="2557"/>
      <c r="E11" s="2565">
        <f>IF(OR(A11=0,F11="否"),0,'数据-取费表'!K11+'数据-取费表'!S11)</f>
        <v>0</v>
      </c>
      <c r="F11" s="2566" t="s">
        <v>2524</v>
      </c>
    </row>
    <row r="12" spans="1:6">
      <c r="A12" s="2564">
        <f>'数据-取费表'!AN12</f>
        <v>0</v>
      </c>
      <c r="B12" s="2563" t="e">
        <f ca="1">IF(F12="是",'数据-取费表'!AO12,0)</f>
        <v>#REF!</v>
      </c>
      <c r="C12" s="2554" t="s">
        <v>2518</v>
      </c>
      <c r="D12" s="2557"/>
      <c r="E12" s="2565">
        <f>IF(OR(A12=0,F12="否"),0,'数据-取费表'!K12+'数据-取费表'!S12)</f>
        <v>0</v>
      </c>
      <c r="F12" s="2566" t="s">
        <v>2524</v>
      </c>
    </row>
    <row r="13" spans="1:6" ht="15" thickBot="1">
      <c r="A13" s="2567">
        <f>'数据-取费表'!AN13</f>
        <v>0</v>
      </c>
      <c r="B13" s="2563" t="e">
        <f ca="1">IF(F13="是",'数据-取费表'!AO13,0)</f>
        <v>#REF!</v>
      </c>
      <c r="C13" s="2568" t="s">
        <v>2518</v>
      </c>
      <c r="D13" s="2569"/>
      <c r="E13" s="2565">
        <f>IF(OR(A13=0,F13="否"),0,'数据-取费表'!K13+'数据-取费表'!S13)</f>
        <v>0</v>
      </c>
      <c r="F13" s="256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875" customWidth="1"/>
  </cols>
  <sheetData>
    <row r="1" spans="1:9" ht="14.25">
      <c r="A1" s="3650" t="s">
        <v>1072</v>
      </c>
      <c r="B1" s="3651"/>
      <c r="C1" s="3652"/>
      <c r="D1" s="3653">
        <f>SUM(I10,I15,I20,I21,I23)</f>
        <v>0</v>
      </c>
      <c r="E1" s="3653"/>
      <c r="F1" s="3653"/>
      <c r="G1" s="3653"/>
      <c r="H1" s="3653"/>
      <c r="I1" s="3654"/>
    </row>
    <row r="2" spans="1:9">
      <c r="A2" s="3655" t="s">
        <v>1073</v>
      </c>
      <c r="B2" s="3656" t="s">
        <v>1074</v>
      </c>
      <c r="C2" s="3656"/>
      <c r="D2" s="1297" t="s">
        <v>1075</v>
      </c>
      <c r="E2" s="1297" t="s">
        <v>1076</v>
      </c>
      <c r="F2" s="1297" t="s">
        <v>1077</v>
      </c>
      <c r="G2" s="1297" t="s">
        <v>1078</v>
      </c>
      <c r="H2" s="1297" t="s">
        <v>1079</v>
      </c>
      <c r="I2" s="1298" t="s">
        <v>1080</v>
      </c>
    </row>
    <row r="3" spans="1:9">
      <c r="A3" s="3655"/>
      <c r="B3" s="3656" t="s">
        <v>1081</v>
      </c>
      <c r="C3" s="3656"/>
      <c r="D3" s="1299"/>
      <c r="E3" s="1297"/>
      <c r="F3" s="1300"/>
      <c r="G3" s="1300"/>
      <c r="H3" s="1301"/>
      <c r="I3" s="1302">
        <f>ROUND(D3*E3*F3*G3*H3/10000,0)</f>
        <v>0</v>
      </c>
    </row>
    <row r="4" spans="1:9">
      <c r="A4" s="3655"/>
      <c r="B4" s="3656" t="s">
        <v>1082</v>
      </c>
      <c r="C4" s="3656"/>
      <c r="D4" s="1299"/>
      <c r="E4" s="1297"/>
      <c r="F4" s="1300"/>
      <c r="G4" s="1300"/>
      <c r="H4" s="1301"/>
      <c r="I4" s="1302">
        <f t="shared" ref="I4:I9" si="0">ROUND(D4*E4*F4*G4*H4/10000,0)</f>
        <v>0</v>
      </c>
    </row>
    <row r="5" spans="1:9">
      <c r="A5" s="3655"/>
      <c r="B5" s="3656" t="s">
        <v>1083</v>
      </c>
      <c r="C5" s="3656"/>
      <c r="D5" s="1299"/>
      <c r="E5" s="1297"/>
      <c r="F5" s="1300"/>
      <c r="G5" s="1300"/>
      <c r="H5" s="1301"/>
      <c r="I5" s="1302">
        <f t="shared" si="0"/>
        <v>0</v>
      </c>
    </row>
    <row r="6" spans="1:9">
      <c r="A6" s="3655"/>
      <c r="B6" s="3656" t="s">
        <v>1084</v>
      </c>
      <c r="C6" s="3656"/>
      <c r="D6" s="1299"/>
      <c r="E6" s="1297"/>
      <c r="F6" s="1300"/>
      <c r="G6" s="1300"/>
      <c r="H6" s="1301"/>
      <c r="I6" s="1302">
        <f t="shared" si="0"/>
        <v>0</v>
      </c>
    </row>
    <row r="7" spans="1:9">
      <c r="A7" s="3655"/>
      <c r="B7" s="3656" t="s">
        <v>1085</v>
      </c>
      <c r="C7" s="3656"/>
      <c r="D7" s="1299"/>
      <c r="E7" s="1297"/>
      <c r="F7" s="1300"/>
      <c r="G7" s="1300"/>
      <c r="H7" s="1301"/>
      <c r="I7" s="1302">
        <f t="shared" si="0"/>
        <v>0</v>
      </c>
    </row>
    <row r="8" spans="1:9">
      <c r="A8" s="3655"/>
      <c r="B8" s="3656" t="s">
        <v>1086</v>
      </c>
      <c r="C8" s="3656"/>
      <c r="D8" s="1299"/>
      <c r="E8" s="1297"/>
      <c r="F8" s="1300"/>
      <c r="G8" s="1300"/>
      <c r="H8" s="1301"/>
      <c r="I8" s="1302">
        <f t="shared" si="0"/>
        <v>0</v>
      </c>
    </row>
    <row r="9" spans="1:9">
      <c r="A9" s="3655"/>
      <c r="B9" s="3656" t="s">
        <v>1087</v>
      </c>
      <c r="C9" s="3656"/>
      <c r="D9" s="1299"/>
      <c r="E9" s="1297"/>
      <c r="F9" s="1300"/>
      <c r="G9" s="1300"/>
      <c r="H9" s="1301"/>
      <c r="I9" s="1302">
        <f t="shared" si="0"/>
        <v>0</v>
      </c>
    </row>
    <row r="10" spans="1:9">
      <c r="A10" s="3655"/>
      <c r="B10" s="3657" t="s">
        <v>1088</v>
      </c>
      <c r="C10" s="3657"/>
      <c r="D10" s="1303"/>
      <c r="E10" s="1303" t="e">
        <f>ROUND(D1*10000/D10/H9,0)</f>
        <v>#DIV/0!</v>
      </c>
      <c r="F10" s="1304"/>
      <c r="G10" s="1304"/>
      <c r="H10" s="1305"/>
      <c r="I10" s="1306">
        <f>SUM(I3:I9)</f>
        <v>0</v>
      </c>
    </row>
    <row r="11" spans="1:9" ht="14.25">
      <c r="A11" s="3655" t="s">
        <v>1089</v>
      </c>
      <c r="B11" s="3656" t="s">
        <v>1090</v>
      </c>
      <c r="C11" s="3656"/>
      <c r="D11" s="1299" t="s">
        <v>1091</v>
      </c>
      <c r="E11" s="1299" t="s">
        <v>1092</v>
      </c>
      <c r="F11" s="1300" t="s">
        <v>1093</v>
      </c>
      <c r="G11" s="1300" t="s">
        <v>1079</v>
      </c>
      <c r="H11" s="1307" t="s">
        <v>1094</v>
      </c>
      <c r="I11" s="1298" t="s">
        <v>1080</v>
      </c>
    </row>
    <row r="12" spans="1:9">
      <c r="A12" s="3655"/>
      <c r="B12" s="3656" t="s">
        <v>1095</v>
      </c>
      <c r="C12" s="3656"/>
      <c r="D12" s="1299"/>
      <c r="E12" s="1299"/>
      <c r="F12" s="1300"/>
      <c r="G12" s="1301"/>
      <c r="H12" s="1308"/>
      <c r="I12" s="1298">
        <f>ROUND(D12*E12*F12*G12/10000,0)</f>
        <v>0</v>
      </c>
    </row>
    <row r="13" spans="1:9">
      <c r="A13" s="3655"/>
      <c r="B13" s="3656" t="s">
        <v>1096</v>
      </c>
      <c r="C13" s="3656"/>
      <c r="D13" s="1299"/>
      <c r="E13" s="1299"/>
      <c r="F13" s="1300"/>
      <c r="G13" s="1301"/>
      <c r="H13" s="1308"/>
      <c r="I13" s="1298">
        <f>ROUND(D13*E13*F13*G13/10000,0)</f>
        <v>0</v>
      </c>
    </row>
    <row r="14" spans="1:9">
      <c r="A14" s="3655"/>
      <c r="B14" s="3656" t="s">
        <v>1097</v>
      </c>
      <c r="C14" s="3656"/>
      <c r="D14" s="1299"/>
      <c r="E14" s="1299"/>
      <c r="F14" s="1300"/>
      <c r="G14" s="1301"/>
      <c r="H14" s="1308"/>
      <c r="I14" s="1298">
        <f>ROUND(D14*E14*F14*G14/10000,0)</f>
        <v>0</v>
      </c>
    </row>
    <row r="15" spans="1:9">
      <c r="A15" s="3655"/>
      <c r="B15" s="3657" t="s">
        <v>1088</v>
      </c>
      <c r="C15" s="3657"/>
      <c r="D15" s="1303"/>
      <c r="E15" s="1303">
        <f>SUM(E12:E14)</f>
        <v>0</v>
      </c>
      <c r="F15" s="1304"/>
      <c r="G15" s="1301"/>
      <c r="H15" s="1308"/>
      <c r="I15" s="1309">
        <f>SUM(I12:I14)</f>
        <v>0</v>
      </c>
    </row>
    <row r="16" spans="1:9" ht="24">
      <c r="A16" s="3655" t="s">
        <v>1098</v>
      </c>
      <c r="B16" s="3656" t="s">
        <v>1099</v>
      </c>
      <c r="C16" s="3656"/>
      <c r="D16" s="1299" t="s">
        <v>1075</v>
      </c>
      <c r="E16" s="1310" t="s">
        <v>1100</v>
      </c>
      <c r="F16" s="1300" t="s">
        <v>1101</v>
      </c>
      <c r="G16" s="1301" t="s">
        <v>1079</v>
      </c>
      <c r="H16" s="1307" t="s">
        <v>1094</v>
      </c>
      <c r="I16" s="1298" t="s">
        <v>1080</v>
      </c>
    </row>
    <row r="17" spans="1:9" ht="14.25">
      <c r="A17" s="3655"/>
      <c r="B17" s="3656" t="s">
        <v>1102</v>
      </c>
      <c r="C17" s="3656"/>
      <c r="D17" s="1299"/>
      <c r="E17" s="1299"/>
      <c r="F17" s="1300"/>
      <c r="G17" s="1301"/>
      <c r="H17" s="1311"/>
      <c r="I17" s="1312">
        <f>ROUND(D17*E17*F17*G17/10000,0)</f>
        <v>0</v>
      </c>
    </row>
    <row r="18" spans="1:9" ht="14.25">
      <c r="A18" s="3655"/>
      <c r="B18" s="3656" t="s">
        <v>1103</v>
      </c>
      <c r="C18" s="3656"/>
      <c r="D18" s="1299"/>
      <c r="E18" s="1299"/>
      <c r="F18" s="1300"/>
      <c r="G18" s="1301"/>
      <c r="H18" s="1311"/>
      <c r="I18" s="1312">
        <f>ROUND(D18*E18*F18*G18/10000,0)</f>
        <v>0</v>
      </c>
    </row>
    <row r="19" spans="1:9" ht="14.25">
      <c r="A19" s="3655"/>
      <c r="B19" s="3656" t="s">
        <v>1104</v>
      </c>
      <c r="C19" s="3656"/>
      <c r="D19" s="1299"/>
      <c r="E19" s="1299"/>
      <c r="F19" s="1300"/>
      <c r="G19" s="1301"/>
      <c r="H19" s="1311"/>
      <c r="I19" s="1312">
        <f>ROUND(D19*E19*F19*G19/10000,0)</f>
        <v>0</v>
      </c>
    </row>
    <row r="20" spans="1:9">
      <c r="A20" s="3655"/>
      <c r="B20" s="3657" t="s">
        <v>1088</v>
      </c>
      <c r="C20" s="3657"/>
      <c r="D20" s="1303">
        <f>SUM(D17:D19)</f>
        <v>0</v>
      </c>
      <c r="E20" s="1303"/>
      <c r="F20" s="1304"/>
      <c r="G20" s="1301"/>
      <c r="H20" s="1308"/>
      <c r="I20" s="1309">
        <f>SUM(I17:I19)</f>
        <v>0</v>
      </c>
    </row>
    <row r="21" spans="1:9">
      <c r="A21" s="3655" t="s">
        <v>1105</v>
      </c>
      <c r="B21" s="3659"/>
      <c r="C21" s="3659"/>
      <c r="D21" s="3659"/>
      <c r="E21" s="3659"/>
      <c r="F21" s="3659"/>
      <c r="G21" s="3659"/>
      <c r="H21" s="1753">
        <v>0.1</v>
      </c>
      <c r="I21" s="1306">
        <f>ROUND(I10*H21,0)</f>
        <v>0</v>
      </c>
    </row>
    <row r="22" spans="1:9" ht="14.25">
      <c r="A22" s="3660" t="s">
        <v>1106</v>
      </c>
      <c r="B22" s="3661"/>
      <c r="C22" s="3662"/>
      <c r="D22" s="1313" t="s">
        <v>1107</v>
      </c>
      <c r="E22" s="1313" t="s">
        <v>1108</v>
      </c>
      <c r="F22" s="1314" t="s">
        <v>1109</v>
      </c>
      <c r="G22" s="1314" t="s">
        <v>1110</v>
      </c>
      <c r="H22" s="1307" t="s">
        <v>1111</v>
      </c>
      <c r="I22" s="1298" t="s">
        <v>1112</v>
      </c>
    </row>
    <row r="23" spans="1:9" ht="14.25" thickBot="1">
      <c r="A23" s="3663"/>
      <c r="B23" s="3664"/>
      <c r="C23" s="3665"/>
      <c r="D23" s="1315"/>
      <c r="E23" s="1315"/>
      <c r="F23" s="1315"/>
      <c r="G23" s="1316"/>
      <c r="H23" s="1317"/>
      <c r="I23" s="1318">
        <f>ROUND(E23*D23*F23*(1-G23)/10000,0)</f>
        <v>0</v>
      </c>
    </row>
    <row r="26" spans="1:9">
      <c r="A26" s="1319" t="s">
        <v>1113</v>
      </c>
      <c r="B26" s="1319"/>
      <c r="C26" s="1319"/>
      <c r="D26" s="1319"/>
      <c r="E26" s="3666">
        <f>C27-C30-C31-C32</f>
        <v>0</v>
      </c>
      <c r="F26" s="3666"/>
      <c r="G26" s="3666"/>
      <c r="H26" s="1733" t="s">
        <v>1335</v>
      </c>
    </row>
    <row r="27" spans="1:9">
      <c r="A27" s="1320">
        <v>1</v>
      </c>
      <c r="B27" s="1321" t="s">
        <v>1114</v>
      </c>
      <c r="C27" s="1321">
        <f>C28+C29</f>
        <v>0</v>
      </c>
      <c r="D27" s="1321"/>
      <c r="E27" s="3667"/>
      <c r="F27" s="3667"/>
      <c r="G27" s="3667"/>
    </row>
    <row r="28" spans="1:9">
      <c r="A28" s="1322" t="s">
        <v>1115</v>
      </c>
      <c r="B28" s="1321" t="s">
        <v>1116</v>
      </c>
      <c r="C28" s="1321"/>
      <c r="D28" s="1321"/>
      <c r="E28" s="3667"/>
      <c r="F28" s="3667"/>
      <c r="G28" s="3667"/>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658"/>
      <c r="F32" s="3658"/>
      <c r="G32" s="3658"/>
    </row>
    <row r="33" spans="1:7" hidden="1">
      <c r="A33" s="3668" t="s">
        <v>1125</v>
      </c>
      <c r="B33" s="3669"/>
      <c r="C33" s="3669"/>
      <c r="D33" s="3670"/>
      <c r="E33" s="3666"/>
      <c r="F33" s="3666"/>
      <c r="G33" s="3666"/>
    </row>
    <row r="34" spans="1:7" hidden="1">
      <c r="A34" s="1324">
        <v>1</v>
      </c>
      <c r="B34" s="1321" t="s">
        <v>1126</v>
      </c>
      <c r="C34" s="1321"/>
      <c r="D34" s="1321"/>
      <c r="E34" s="3667"/>
      <c r="F34" s="3667"/>
      <c r="G34" s="3667"/>
    </row>
    <row r="35" spans="1:7" hidden="1">
      <c r="A35" s="1324">
        <v>2</v>
      </c>
      <c r="B35" s="1321" t="s">
        <v>1127</v>
      </c>
      <c r="C35" s="1321"/>
      <c r="D35" s="1321"/>
      <c r="E35" s="3667"/>
      <c r="F35" s="3667"/>
      <c r="G35" s="3667"/>
    </row>
    <row r="36" spans="1:7" hidden="1">
      <c r="A36" s="1324">
        <v>3</v>
      </c>
      <c r="B36" s="1321" t="s">
        <v>1128</v>
      </c>
      <c r="C36" s="1321"/>
      <c r="D36" s="1321"/>
      <c r="E36" s="3667"/>
      <c r="F36" s="3667"/>
      <c r="G36" s="3667"/>
    </row>
    <row r="37" spans="1:7" hidden="1">
      <c r="A37" s="1324">
        <v>4</v>
      </c>
      <c r="B37" s="1321" t="s">
        <v>1129</v>
      </c>
      <c r="C37" s="1321"/>
      <c r="D37" s="1321"/>
      <c r="E37" s="3667"/>
      <c r="F37" s="3667"/>
      <c r="G37" s="3667"/>
    </row>
    <row r="38" spans="1:7" hidden="1">
      <c r="A38" s="3668" t="s">
        <v>1130</v>
      </c>
      <c r="B38" s="3669"/>
      <c r="C38" s="3669"/>
      <c r="D38" s="3670"/>
      <c r="E38" s="3666"/>
      <c r="F38" s="3666"/>
      <c r="G38" s="36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87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875" style="2612" customWidth="1"/>
    <col min="17" max="17" width="19.5" style="402" customWidth="1"/>
    <col min="18" max="22" width="6.125" style="402" customWidth="1"/>
    <col min="23" max="23" width="5.875" style="402" customWidth="1"/>
    <col min="24" max="24" width="4.125" style="402" customWidth="1"/>
    <col min="25" max="25" width="3.5" style="402" customWidth="1"/>
    <col min="26" max="26" width="19.875" style="402" customWidth="1"/>
    <col min="27" max="28" width="9.375" style="402" customWidth="1"/>
    <col min="29" max="16384" width="9" style="402"/>
  </cols>
  <sheetData>
    <row r="1" spans="1:29" s="1625" customFormat="1" ht="28.5" customHeight="1" thickBot="1">
      <c r="A1" s="1614" t="s">
        <v>2527</v>
      </c>
      <c r="B1" s="2570" t="s">
        <v>2528</v>
      </c>
      <c r="C1" s="1630" t="s">
        <v>2529</v>
      </c>
      <c r="D1" s="1617"/>
      <c r="E1" s="2571"/>
      <c r="F1" s="2572" t="s">
        <v>2530</v>
      </c>
      <c r="G1" s="1627" t="s">
        <v>2531</v>
      </c>
      <c r="H1" s="1626"/>
      <c r="I1" s="1626"/>
      <c r="J1" s="1626"/>
      <c r="K1" s="1628"/>
      <c r="L1" s="1629"/>
      <c r="M1" s="1630"/>
      <c r="N1" s="1630"/>
      <c r="O1" s="1630"/>
      <c r="P1" s="2573"/>
      <c r="Q1" s="1616"/>
      <c r="R1" s="1616"/>
      <c r="S1" s="1616"/>
      <c r="T1" s="1616"/>
      <c r="U1" s="1616"/>
      <c r="V1" s="1616"/>
      <c r="W1" s="1616"/>
      <c r="X1" s="1616"/>
      <c r="Y1" s="1616"/>
      <c r="Z1" s="1616"/>
      <c r="AA1" s="1616"/>
      <c r="AB1" s="1616"/>
      <c r="AC1" s="1624"/>
    </row>
    <row r="2" spans="1:29" s="392" customFormat="1" ht="28.5" customHeight="1" thickTop="1">
      <c r="A2" s="1613" t="s">
        <v>1388</v>
      </c>
      <c r="B2" s="1414" t="e">
        <f ca="1">IF(C2="——",ROUND(C49*D3/10000,0),ROUND(C49*D3/10000,0)-D2)</f>
        <v>#DIV/0!</v>
      </c>
      <c r="C2" s="2574"/>
      <c r="D2" s="1361" t="e">
        <f ca="1">SUMIF(INDIRECT("'"&amp;F2&amp;"'"&amp;"!A:A"),"承租人权益价值",INDIRECT("'"&amp;F2&amp;"'"&amp;"!c:c"))</f>
        <v>#REF!</v>
      </c>
      <c r="E2" s="2575" t="s">
        <v>2532</v>
      </c>
      <c r="F2" s="2576"/>
      <c r="G2" s="1123"/>
      <c r="H2" s="1123"/>
      <c r="I2" s="1123"/>
      <c r="J2" s="1123"/>
      <c r="K2" s="2577"/>
      <c r="L2" s="2578"/>
      <c r="M2" s="2579"/>
      <c r="N2" s="2579"/>
      <c r="O2" s="2579"/>
      <c r="P2" s="2580"/>
      <c r="Q2" s="2581"/>
      <c r="R2" s="2581"/>
      <c r="S2" s="2581"/>
      <c r="T2" s="2581"/>
      <c r="U2" s="2581"/>
      <c r="V2" s="2581"/>
      <c r="W2" s="2581"/>
      <c r="X2" s="2581"/>
      <c r="Y2" s="2581"/>
      <c r="Z2" s="2581"/>
      <c r="AA2" s="2581"/>
      <c r="AB2" s="2581"/>
      <c r="AC2" s="2582"/>
    </row>
    <row r="3" spans="1:29" s="392" customFormat="1" ht="28.5" customHeight="1" thickBot="1">
      <c r="A3" s="246" t="s">
        <v>1389</v>
      </c>
      <c r="B3" s="398" t="e">
        <f ca="1">IF(C2="——",C49,ROUND(B2*10000/D3,0))</f>
        <v>#DIV/0!</v>
      </c>
      <c r="C3" s="399" t="s">
        <v>2533</v>
      </c>
      <c r="D3" s="398">
        <f>IF(D1="",'数据-汇总表'!E3,SUMIF('数据-汇总表'!$C19:$C33,D1,'数据-汇总表'!$E19:$E33))</f>
        <v>135636.54</v>
      </c>
      <c r="E3" s="1123"/>
      <c r="F3" s="2583"/>
      <c r="G3" s="1123"/>
      <c r="H3" s="1123"/>
      <c r="I3" s="1123"/>
      <c r="J3" s="1123"/>
      <c r="K3" s="2577"/>
      <c r="L3" s="2578"/>
      <c r="M3" s="2579"/>
      <c r="N3" s="2579"/>
      <c r="O3" s="2579"/>
      <c r="P3" s="2580"/>
      <c r="Q3" s="2581"/>
      <c r="R3" s="2581"/>
      <c r="S3" s="2581"/>
      <c r="T3" s="2581"/>
      <c r="U3" s="2581"/>
      <c r="V3" s="2581"/>
      <c r="W3" s="2581"/>
      <c r="X3" s="2581"/>
      <c r="Y3" s="2581"/>
      <c r="Z3" s="2581"/>
      <c r="AA3" s="2581"/>
      <c r="AB3" s="2581"/>
      <c r="AC3" s="1278"/>
    </row>
    <row r="4" spans="1:29" ht="15">
      <c r="A4" s="400" t="s">
        <v>2534</v>
      </c>
      <c r="B4" s="401"/>
      <c r="C4" s="3591" t="s">
        <v>2535</v>
      </c>
      <c r="D4" s="3592"/>
      <c r="E4" s="3593" t="s">
        <v>2536</v>
      </c>
      <c r="F4" s="3594"/>
      <c r="G4" s="3591" t="s">
        <v>2537</v>
      </c>
      <c r="H4" s="3592"/>
      <c r="I4" s="3591" t="s">
        <v>2538</v>
      </c>
      <c r="J4" s="3592"/>
      <c r="K4" s="2584" t="s">
        <v>2539</v>
      </c>
      <c r="L4" s="1129"/>
      <c r="M4" s="1130"/>
      <c r="N4" s="1130"/>
      <c r="O4" s="1130"/>
      <c r="P4" s="3595" t="s">
        <v>2540</v>
      </c>
      <c r="Q4" s="3596"/>
      <c r="R4" s="3577" t="s">
        <v>2536</v>
      </c>
      <c r="S4" s="3578"/>
      <c r="T4" s="3577" t="s">
        <v>2537</v>
      </c>
      <c r="U4" s="3578"/>
      <c r="V4" s="3574" t="s">
        <v>2538</v>
      </c>
      <c r="W4" s="3574"/>
      <c r="X4" s="1801"/>
      <c r="Y4" s="3577" t="s">
        <v>2540</v>
      </c>
      <c r="Z4" s="3578"/>
      <c r="AA4" s="3571" t="s">
        <v>2536</v>
      </c>
      <c r="AB4" s="3571" t="s">
        <v>2537</v>
      </c>
      <c r="AC4" s="3571" t="s">
        <v>2538</v>
      </c>
    </row>
    <row r="5" spans="1:29" ht="15">
      <c r="A5" s="403"/>
      <c r="B5" s="404"/>
      <c r="C5" s="3583" t="s">
        <v>2541</v>
      </c>
      <c r="D5" s="3584"/>
      <c r="E5" s="3671" t="s">
        <v>2542</v>
      </c>
      <c r="F5" s="3582"/>
      <c r="G5" s="3583" t="s">
        <v>2543</v>
      </c>
      <c r="H5" s="3584"/>
      <c r="I5" s="3583" t="s">
        <v>2544</v>
      </c>
      <c r="J5" s="3584"/>
      <c r="K5" s="2585"/>
      <c r="L5" s="1129"/>
      <c r="M5" s="1130"/>
      <c r="N5" s="1130"/>
      <c r="O5" s="1130"/>
      <c r="P5" s="3597"/>
      <c r="Q5" s="3598"/>
      <c r="R5" s="3579"/>
      <c r="S5" s="3580"/>
      <c r="T5" s="3579"/>
      <c r="U5" s="3580"/>
      <c r="V5" s="3574"/>
      <c r="W5" s="3574"/>
      <c r="X5" s="1801"/>
      <c r="Y5" s="3579"/>
      <c r="Z5" s="3580"/>
      <c r="AA5" s="3572"/>
      <c r="AB5" s="3572"/>
      <c r="AC5" s="3572"/>
    </row>
    <row r="6" spans="1:29" ht="15.75" thickBot="1">
      <c r="A6" s="405"/>
      <c r="B6" s="406"/>
      <c r="C6" s="3585" t="s">
        <v>2545</v>
      </c>
      <c r="D6" s="3586"/>
      <c r="E6" s="3588" t="s">
        <v>2545</v>
      </c>
      <c r="F6" s="3589"/>
      <c r="G6" s="3585" t="s">
        <v>2545</v>
      </c>
      <c r="H6" s="3586"/>
      <c r="I6" s="3585" t="s">
        <v>2545</v>
      </c>
      <c r="J6" s="3586"/>
      <c r="K6" s="2585" t="s">
        <v>2546</v>
      </c>
      <c r="L6" s="1129"/>
      <c r="M6" s="1130"/>
      <c r="N6" s="1130"/>
      <c r="O6" s="1130"/>
      <c r="P6" s="3599"/>
      <c r="Q6" s="3600"/>
      <c r="R6" s="3579"/>
      <c r="S6" s="3580"/>
      <c r="T6" s="3601"/>
      <c r="U6" s="3602"/>
      <c r="V6" s="3574"/>
      <c r="W6" s="3574"/>
      <c r="X6" s="1801"/>
      <c r="Y6" s="3601"/>
      <c r="Z6" s="3602"/>
      <c r="AA6" s="3573"/>
      <c r="AB6" s="3573"/>
      <c r="AC6" s="3573"/>
    </row>
    <row r="7" spans="1:29" s="116" customFormat="1" ht="15.75" thickBot="1">
      <c r="A7" s="407" t="s">
        <v>2547</v>
      </c>
      <c r="B7" s="408"/>
      <c r="C7" s="409">
        <f>'数据-取费表'!B2</f>
        <v>44011</v>
      </c>
      <c r="D7" s="410">
        <v>100</v>
      </c>
      <c r="E7" s="411"/>
      <c r="F7" s="412">
        <f>SUMIF(58:58,YEAR(E7)&amp;"-"&amp;MONTH(E7),59:59)</f>
        <v>0</v>
      </c>
      <c r="G7" s="411"/>
      <c r="H7" s="410">
        <f>SUMIF(58:58,YEAR(G7)&amp;"-"&amp;MONTH(G7),59:59)</f>
        <v>0</v>
      </c>
      <c r="I7" s="411"/>
      <c r="J7" s="410">
        <f>SUMIF(58:58,YEAR(I7)&amp;"-"&amp;MONTH(I7),59:59)</f>
        <v>0</v>
      </c>
      <c r="K7" s="2586"/>
      <c r="L7" s="1131"/>
      <c r="M7" s="1132"/>
      <c r="N7" s="1132"/>
      <c r="O7" s="1132"/>
      <c r="P7" s="3575" t="s">
        <v>2548</v>
      </c>
      <c r="Q7" s="3603"/>
      <c r="R7" s="769" t="s">
        <v>23</v>
      </c>
      <c r="S7" s="770">
        <f t="shared" ref="S7:S15" si="0">F7</f>
        <v>0</v>
      </c>
      <c r="T7" s="769" t="s">
        <v>23</v>
      </c>
      <c r="U7" s="770">
        <f t="shared" ref="U7:U15" si="1">H7</f>
        <v>0</v>
      </c>
      <c r="V7" s="769" t="s">
        <v>23</v>
      </c>
      <c r="W7" s="770">
        <f t="shared" ref="W7:W15" si="2">J7</f>
        <v>0</v>
      </c>
      <c r="X7" s="771"/>
      <c r="Y7" s="3575" t="s">
        <v>2548</v>
      </c>
      <c r="Z7" s="3576"/>
      <c r="AA7" s="772" t="e">
        <f>D7/F7</f>
        <v>#DIV/0!</v>
      </c>
      <c r="AB7" s="772" t="e">
        <f>D7/H7</f>
        <v>#DIV/0!</v>
      </c>
      <c r="AC7" s="772" t="e">
        <f>D7/J7</f>
        <v>#DIV/0!</v>
      </c>
    </row>
    <row r="8" spans="1:29" s="116" customFormat="1" ht="15.75" thickBot="1">
      <c r="A8" s="407" t="s">
        <v>2549</v>
      </c>
      <c r="B8" s="408"/>
      <c r="C8" s="413" t="s">
        <v>2550</v>
      </c>
      <c r="D8" s="410">
        <v>100</v>
      </c>
      <c r="E8" s="2587"/>
      <c r="F8" s="412">
        <f>SUMIF(61:61,E8,62:62)-SUMIF(61:61,C8,62:62)+100</f>
        <v>0</v>
      </c>
      <c r="G8" s="413"/>
      <c r="H8" s="410">
        <f>SUMIF(61:61,G8,62:62)-SUMIF(61:61,C8,62:62)+100</f>
        <v>0</v>
      </c>
      <c r="I8" s="2587"/>
      <c r="J8" s="410">
        <f>SUMIF(61:61,I8,62:62)-SUMIF(61:61,C8,62:62)+100</f>
        <v>0</v>
      </c>
      <c r="K8" s="2586"/>
      <c r="L8" s="1131"/>
      <c r="M8" s="1132"/>
      <c r="N8" s="1132"/>
      <c r="O8" s="1132"/>
      <c r="P8" s="3575" t="s">
        <v>2551</v>
      </c>
      <c r="Q8" s="3576"/>
      <c r="R8" s="769" t="s">
        <v>23</v>
      </c>
      <c r="S8" s="770">
        <f t="shared" si="0"/>
        <v>0</v>
      </c>
      <c r="T8" s="769" t="s">
        <v>23</v>
      </c>
      <c r="U8" s="770">
        <f t="shared" si="1"/>
        <v>0</v>
      </c>
      <c r="V8" s="769" t="s">
        <v>23</v>
      </c>
      <c r="W8" s="770">
        <f t="shared" si="2"/>
        <v>0</v>
      </c>
      <c r="X8" s="771"/>
      <c r="Y8" s="3575" t="s">
        <v>2551</v>
      </c>
      <c r="Z8" s="3576"/>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86"/>
      <c r="L9" s="1131"/>
      <c r="M9" s="1132"/>
      <c r="N9" s="1132"/>
      <c r="O9" s="1132"/>
      <c r="P9" s="3590" t="s">
        <v>2554</v>
      </c>
      <c r="Q9" s="1783" t="str">
        <f t="shared" ref="Q9:Q15" si="6">B9</f>
        <v>用途</v>
      </c>
      <c r="R9" s="769" t="s">
        <v>17</v>
      </c>
      <c r="S9" s="770">
        <f t="shared" si="0"/>
        <v>100</v>
      </c>
      <c r="T9" s="769" t="s">
        <v>17</v>
      </c>
      <c r="U9" s="770">
        <f t="shared" si="1"/>
        <v>100</v>
      </c>
      <c r="V9" s="769" t="s">
        <v>17</v>
      </c>
      <c r="W9" s="770">
        <f t="shared" si="2"/>
        <v>100</v>
      </c>
      <c r="X9" s="771"/>
      <c r="Y9" s="3335"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590"/>
      <c r="Q10" s="1783" t="str">
        <f t="shared" si="6"/>
        <v>土地使用年限（年）</v>
      </c>
      <c r="R10" s="769" t="s">
        <v>17</v>
      </c>
      <c r="S10" s="770">
        <f t="shared" si="0"/>
        <v>100</v>
      </c>
      <c r="T10" s="769" t="s">
        <v>17</v>
      </c>
      <c r="U10" s="770">
        <f t="shared" si="1"/>
        <v>100</v>
      </c>
      <c r="V10" s="769" t="s">
        <v>17</v>
      </c>
      <c r="W10" s="770">
        <f t="shared" si="2"/>
        <v>100</v>
      </c>
      <c r="X10" s="771"/>
      <c r="Y10" s="3335"/>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590"/>
      <c r="Q11" s="1783" t="str">
        <f t="shared" si="6"/>
        <v>容积率</v>
      </c>
      <c r="R11" s="769" t="s">
        <v>21</v>
      </c>
      <c r="S11" s="770" t="e">
        <f t="shared" si="0"/>
        <v>#N/A</v>
      </c>
      <c r="T11" s="769" t="s">
        <v>21</v>
      </c>
      <c r="U11" s="770" t="e">
        <f t="shared" si="1"/>
        <v>#N/A</v>
      </c>
      <c r="V11" s="769" t="s">
        <v>21</v>
      </c>
      <c r="W11" s="770" t="e">
        <f t="shared" si="2"/>
        <v>#N/A</v>
      </c>
      <c r="X11" s="771"/>
      <c r="Y11" s="3335"/>
      <c r="Z11" s="55" t="str">
        <f t="shared" si="7"/>
        <v>容积率</v>
      </c>
      <c r="AA11" s="772" t="e">
        <f t="shared" si="3"/>
        <v>#N/A</v>
      </c>
      <c r="AB11" s="772" t="e">
        <f t="shared" si="4"/>
        <v>#N/A</v>
      </c>
      <c r="AC11" s="772" t="e">
        <f t="shared" si="5"/>
        <v>#N/A</v>
      </c>
    </row>
    <row r="12" spans="1:29" s="116" customFormat="1" ht="15">
      <c r="A12" s="430"/>
      <c r="B12" s="2588">
        <v>111</v>
      </c>
      <c r="C12" s="431"/>
      <c r="D12" s="432">
        <v>100</v>
      </c>
      <c r="E12" s="431"/>
      <c r="F12" s="424">
        <f>SUMIF(70:70,E12,71:71)-SUMIF(70:70,C12,71:71)+100</f>
        <v>100</v>
      </c>
      <c r="G12" s="431"/>
      <c r="H12" s="135">
        <f>SUMIF(70:70,G12,71:71)-SUMIF(70:70,C12,71:71)+100</f>
        <v>100</v>
      </c>
      <c r="I12" s="431"/>
      <c r="J12" s="135">
        <f>SUMIF(70:70,I12,71:71)-SUMIF(70:70,C12,71:71)+100</f>
        <v>100</v>
      </c>
      <c r="K12" s="2589"/>
      <c r="L12" s="1131"/>
      <c r="M12" s="1132"/>
      <c r="N12" s="1132"/>
      <c r="O12" s="1132"/>
      <c r="P12" s="3590"/>
      <c r="Q12" s="1783">
        <f t="shared" si="6"/>
        <v>111</v>
      </c>
      <c r="R12" s="769" t="s">
        <v>21</v>
      </c>
      <c r="S12" s="770">
        <f t="shared" si="0"/>
        <v>100</v>
      </c>
      <c r="T12" s="769" t="s">
        <v>21</v>
      </c>
      <c r="U12" s="770">
        <f t="shared" si="1"/>
        <v>100</v>
      </c>
      <c r="V12" s="769" t="s">
        <v>21</v>
      </c>
      <c r="W12" s="770">
        <f t="shared" si="2"/>
        <v>100</v>
      </c>
      <c r="X12" s="771"/>
      <c r="Y12" s="3335"/>
      <c r="Z12" s="55">
        <f t="shared" si="7"/>
        <v>111</v>
      </c>
      <c r="AA12" s="772">
        <f>D12/F12</f>
        <v>1</v>
      </c>
      <c r="AB12" s="772">
        <f>D12/H12</f>
        <v>1</v>
      </c>
      <c r="AC12" s="772">
        <f>D12/J12</f>
        <v>1</v>
      </c>
    </row>
    <row r="13" spans="1:29" ht="15">
      <c r="A13" s="427"/>
      <c r="B13" s="2588">
        <v>111</v>
      </c>
      <c r="C13" s="433"/>
      <c r="D13" s="434">
        <v>100</v>
      </c>
      <c r="E13" s="433"/>
      <c r="F13" s="424">
        <f>SUMIF(72:72,E13,73:73)-SUMIF(72:72,C13,73:73)+100</f>
        <v>100</v>
      </c>
      <c r="G13" s="433"/>
      <c r="H13" s="434">
        <f>SUMIF(72:72,G13,73:73)-SUMIF(72:72,C13,73:73)+100</f>
        <v>100</v>
      </c>
      <c r="I13" s="433"/>
      <c r="J13" s="434">
        <f>SUMIF(72:72,I13,73:73)-SUMIF(72:72,C13,73:73)+100</f>
        <v>100</v>
      </c>
      <c r="K13" s="2589"/>
      <c r="L13" s="1139"/>
      <c r="M13" s="1130"/>
      <c r="N13" s="1130"/>
      <c r="O13" s="1130"/>
      <c r="P13" s="3590"/>
      <c r="Q13" s="1783">
        <f t="shared" si="6"/>
        <v>111</v>
      </c>
      <c r="R13" s="769" t="s">
        <v>21</v>
      </c>
      <c r="S13" s="770">
        <f t="shared" si="0"/>
        <v>100</v>
      </c>
      <c r="T13" s="769" t="s">
        <v>21</v>
      </c>
      <c r="U13" s="770">
        <f t="shared" si="1"/>
        <v>100</v>
      </c>
      <c r="V13" s="769" t="s">
        <v>21</v>
      </c>
      <c r="W13" s="770">
        <f t="shared" si="2"/>
        <v>100</v>
      </c>
      <c r="X13" s="771"/>
      <c r="Y13" s="3335"/>
      <c r="Z13" s="55">
        <f t="shared" si="7"/>
        <v>111</v>
      </c>
      <c r="AA13" s="772">
        <f t="shared" si="3"/>
        <v>1</v>
      </c>
      <c r="AB13" s="772">
        <f t="shared" si="4"/>
        <v>1</v>
      </c>
      <c r="AC13" s="772">
        <f t="shared" si="5"/>
        <v>1</v>
      </c>
    </row>
    <row r="14" spans="1:29" ht="15.75" thickBot="1">
      <c r="A14" s="435"/>
      <c r="B14" s="2590">
        <v>111</v>
      </c>
      <c r="C14" s="436"/>
      <c r="D14" s="437">
        <v>100</v>
      </c>
      <c r="E14" s="436"/>
      <c r="F14" s="438">
        <f>SUMIF(74:74,E14,75:75)-SUMIF(74:74,C14,75:75)+100</f>
        <v>100</v>
      </c>
      <c r="G14" s="436"/>
      <c r="H14" s="437">
        <f>SUMIF(74:74,G14,75:75)-SUMIF(74:74,C14,75:75)+100</f>
        <v>100</v>
      </c>
      <c r="I14" s="436"/>
      <c r="J14" s="437">
        <f>SUMIF(74:74,I14,75:75)-SUMIF(74:74,C14,75:75)+100</f>
        <v>100</v>
      </c>
      <c r="K14" s="2589"/>
      <c r="L14" s="1139"/>
      <c r="M14" s="1130"/>
      <c r="N14" s="1130"/>
      <c r="O14" s="1130"/>
      <c r="P14" s="3590"/>
      <c r="Q14" s="1783">
        <f t="shared" si="6"/>
        <v>111</v>
      </c>
      <c r="R14" s="769" t="s">
        <v>21</v>
      </c>
      <c r="S14" s="770">
        <f t="shared" si="0"/>
        <v>100</v>
      </c>
      <c r="T14" s="769" t="s">
        <v>21</v>
      </c>
      <c r="U14" s="770">
        <f t="shared" si="1"/>
        <v>100</v>
      </c>
      <c r="V14" s="769" t="s">
        <v>21</v>
      </c>
      <c r="W14" s="770">
        <f t="shared" si="2"/>
        <v>100</v>
      </c>
      <c r="X14" s="771"/>
      <c r="Y14" s="3335"/>
      <c r="Z14" s="55">
        <f t="shared" si="7"/>
        <v>111</v>
      </c>
      <c r="AA14" s="772">
        <f t="shared" si="3"/>
        <v>1</v>
      </c>
      <c r="AB14" s="772">
        <f t="shared" si="4"/>
        <v>1</v>
      </c>
      <c r="AC14" s="772">
        <f t="shared" si="5"/>
        <v>1</v>
      </c>
    </row>
    <row r="15" spans="1:29" ht="99.75">
      <c r="A15" s="439" t="s">
        <v>2558</v>
      </c>
      <c r="B15" s="68" t="s">
        <v>2083</v>
      </c>
      <c r="C15" s="259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604" t="s">
        <v>2559</v>
      </c>
      <c r="Q15" s="1798" t="str">
        <f t="shared" si="6"/>
        <v>居住社区成熟度</v>
      </c>
      <c r="R15" s="773" t="s">
        <v>21</v>
      </c>
      <c r="S15" s="774">
        <f t="shared" si="0"/>
        <v>100</v>
      </c>
      <c r="T15" s="773" t="s">
        <v>21</v>
      </c>
      <c r="U15" s="774">
        <f t="shared" si="1"/>
        <v>100</v>
      </c>
      <c r="V15" s="773" t="s">
        <v>21</v>
      </c>
      <c r="W15" s="774">
        <f t="shared" si="2"/>
        <v>100</v>
      </c>
      <c r="X15" s="1801"/>
      <c r="Y15" s="3606" t="s">
        <v>2559</v>
      </c>
      <c r="Z15" s="1802" t="str">
        <f t="shared" si="7"/>
        <v>居住社区成熟度</v>
      </c>
      <c r="AA15" s="1799">
        <f t="shared" si="3"/>
        <v>1</v>
      </c>
      <c r="AB15" s="1799">
        <f t="shared" si="4"/>
        <v>1</v>
      </c>
      <c r="AC15" s="1799">
        <f t="shared" si="5"/>
        <v>1</v>
      </c>
    </row>
    <row r="16" spans="1:29" ht="15">
      <c r="A16" s="427"/>
      <c r="B16" s="445"/>
      <c r="C16" s="446"/>
      <c r="D16" s="447"/>
      <c r="E16" s="2592"/>
      <c r="F16" s="447"/>
      <c r="G16" s="2593"/>
      <c r="H16" s="449"/>
      <c r="I16" s="2593"/>
      <c r="J16" s="447"/>
      <c r="K16" s="2594"/>
      <c r="L16" s="1139"/>
      <c r="M16" s="1130"/>
      <c r="N16" s="1130"/>
      <c r="O16" s="1130"/>
      <c r="P16" s="3605"/>
      <c r="Q16" s="1798"/>
      <c r="R16" s="773"/>
      <c r="S16" s="774"/>
      <c r="T16" s="773"/>
      <c r="U16" s="774"/>
      <c r="V16" s="773"/>
      <c r="W16" s="774"/>
      <c r="X16" s="1801"/>
      <c r="Y16" s="3607"/>
      <c r="Z16" s="1802"/>
      <c r="AA16" s="1799">
        <v>1</v>
      </c>
      <c r="AB16" s="1799">
        <v>1</v>
      </c>
      <c r="AC16" s="1799">
        <v>1</v>
      </c>
    </row>
    <row r="17" spans="1:29" ht="85.5">
      <c r="A17" s="427"/>
      <c r="B17" s="450" t="s">
        <v>2095</v>
      </c>
      <c r="C17" s="259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605"/>
      <c r="Q17" s="1798" t="str">
        <f>B17</f>
        <v>交通便捷度</v>
      </c>
      <c r="R17" s="773" t="s">
        <v>21</v>
      </c>
      <c r="S17" s="774">
        <f>F17</f>
        <v>100</v>
      </c>
      <c r="T17" s="773" t="s">
        <v>21</v>
      </c>
      <c r="U17" s="774">
        <f>H17</f>
        <v>100</v>
      </c>
      <c r="V17" s="773" t="s">
        <v>21</v>
      </c>
      <c r="W17" s="774">
        <f>J17</f>
        <v>100</v>
      </c>
      <c r="X17" s="1801"/>
      <c r="Y17" s="3607"/>
      <c r="Z17" s="1802" t="str">
        <f>Q17</f>
        <v>交通便捷度</v>
      </c>
      <c r="AA17" s="1799">
        <f t="shared" si="3"/>
        <v>1</v>
      </c>
      <c r="AB17" s="1799">
        <f t="shared" si="4"/>
        <v>1</v>
      </c>
      <c r="AC17" s="1799">
        <f t="shared" si="5"/>
        <v>1</v>
      </c>
    </row>
    <row r="18" spans="1:29" ht="15">
      <c r="A18" s="427"/>
      <c r="B18" s="455"/>
      <c r="C18" s="2596"/>
      <c r="D18" s="449"/>
      <c r="E18" s="2597"/>
      <c r="F18" s="449"/>
      <c r="G18" s="2598"/>
      <c r="H18" s="447"/>
      <c r="I18" s="2598"/>
      <c r="J18" s="447"/>
      <c r="K18" s="2594"/>
      <c r="L18" s="1139"/>
      <c r="M18" s="1130"/>
      <c r="N18" s="1130"/>
      <c r="O18" s="1130"/>
      <c r="P18" s="3605"/>
      <c r="Q18" s="1798"/>
      <c r="R18" s="773"/>
      <c r="S18" s="774"/>
      <c r="T18" s="773"/>
      <c r="U18" s="774"/>
      <c r="V18" s="773"/>
      <c r="W18" s="774"/>
      <c r="X18" s="1801"/>
      <c r="Y18" s="3607"/>
      <c r="Z18" s="1802"/>
      <c r="AA18" s="1799">
        <v>1</v>
      </c>
      <c r="AB18" s="1799">
        <v>1</v>
      </c>
      <c r="AC18" s="1799">
        <v>1</v>
      </c>
    </row>
    <row r="19" spans="1:29" ht="42.75">
      <c r="A19" s="427"/>
      <c r="B19" s="450" t="s">
        <v>2093</v>
      </c>
      <c r="C19" s="259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605"/>
      <c r="Q19" s="1798" t="str">
        <f>B19</f>
        <v>公共配套设施</v>
      </c>
      <c r="R19" s="773" t="s">
        <v>21</v>
      </c>
      <c r="S19" s="774">
        <f>F19</f>
        <v>100</v>
      </c>
      <c r="T19" s="773" t="s">
        <v>21</v>
      </c>
      <c r="U19" s="774">
        <f>H19</f>
        <v>100</v>
      </c>
      <c r="V19" s="773" t="s">
        <v>21</v>
      </c>
      <c r="W19" s="774">
        <f>J19</f>
        <v>100</v>
      </c>
      <c r="X19" s="1801"/>
      <c r="Y19" s="3607"/>
      <c r="Z19" s="1802" t="str">
        <f>Q19</f>
        <v>公共配套设施</v>
      </c>
      <c r="AA19" s="1799">
        <f t="shared" si="3"/>
        <v>1</v>
      </c>
      <c r="AB19" s="1799">
        <f t="shared" si="4"/>
        <v>1</v>
      </c>
      <c r="AC19" s="1799">
        <f t="shared" si="5"/>
        <v>1</v>
      </c>
    </row>
    <row r="20" spans="1:29" ht="15">
      <c r="A20" s="427"/>
      <c r="B20" s="455"/>
      <c r="C20" s="446"/>
      <c r="D20" s="447"/>
      <c r="E20" s="2592"/>
      <c r="F20" s="447"/>
      <c r="G20" s="2593"/>
      <c r="H20" s="447"/>
      <c r="I20" s="2593"/>
      <c r="J20" s="447"/>
      <c r="K20" s="2594"/>
      <c r="L20" s="1139"/>
      <c r="M20" s="1130"/>
      <c r="N20" s="1130"/>
      <c r="O20" s="1130"/>
      <c r="P20" s="3605"/>
      <c r="Q20" s="1798"/>
      <c r="R20" s="773"/>
      <c r="S20" s="774"/>
      <c r="T20" s="773"/>
      <c r="U20" s="774"/>
      <c r="V20" s="773"/>
      <c r="W20" s="774"/>
      <c r="X20" s="1801"/>
      <c r="Y20" s="3607"/>
      <c r="Z20" s="1802"/>
      <c r="AA20" s="1799">
        <v>1</v>
      </c>
      <c r="AB20" s="1799">
        <v>1</v>
      </c>
      <c r="AC20" s="1799">
        <v>1</v>
      </c>
    </row>
    <row r="21" spans="1:29" ht="28.5">
      <c r="A21" s="427"/>
      <c r="B21" s="1380" t="s">
        <v>2096</v>
      </c>
      <c r="C21" s="259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605"/>
      <c r="Q21" s="1798" t="str">
        <f>B21</f>
        <v>基础设施水平</v>
      </c>
      <c r="R21" s="773" t="s">
        <v>17</v>
      </c>
      <c r="S21" s="774">
        <f>F21</f>
        <v>100</v>
      </c>
      <c r="T21" s="773" t="s">
        <v>17</v>
      </c>
      <c r="U21" s="774">
        <f>H21</f>
        <v>100</v>
      </c>
      <c r="V21" s="773" t="s">
        <v>17</v>
      </c>
      <c r="W21" s="774">
        <f>J21</f>
        <v>100</v>
      </c>
      <c r="X21" s="1801"/>
      <c r="Y21" s="3607"/>
      <c r="Z21" s="1802" t="str">
        <f>Q21</f>
        <v>基础设施水平</v>
      </c>
      <c r="AA21" s="1799">
        <f t="shared" ref="AA21" si="8">D21/F21</f>
        <v>1</v>
      </c>
      <c r="AB21" s="1799">
        <f t="shared" ref="AB21" si="9">D21/H21</f>
        <v>1</v>
      </c>
      <c r="AC21" s="1799">
        <f t="shared" ref="AC21" si="10">D21/J21</f>
        <v>1</v>
      </c>
    </row>
    <row r="22" spans="1:29" ht="15">
      <c r="A22" s="427"/>
      <c r="B22" s="1380"/>
      <c r="C22" s="2596"/>
      <c r="D22" s="447"/>
      <c r="E22" s="446"/>
      <c r="F22" s="447"/>
      <c r="G22" s="2599"/>
      <c r="H22" s="447"/>
      <c r="I22" s="446"/>
      <c r="J22" s="447"/>
      <c r="K22" s="2600"/>
      <c r="L22" s="1139"/>
      <c r="M22" s="1130"/>
      <c r="N22" s="1130"/>
      <c r="O22" s="1130"/>
      <c r="P22" s="3605"/>
      <c r="Q22" s="1798"/>
      <c r="R22" s="773"/>
      <c r="S22" s="774"/>
      <c r="T22" s="773"/>
      <c r="U22" s="774"/>
      <c r="V22" s="773"/>
      <c r="W22" s="774"/>
      <c r="X22" s="1801"/>
      <c r="Y22" s="3607"/>
      <c r="Z22" s="1802"/>
      <c r="AA22" s="1799">
        <v>1</v>
      </c>
      <c r="AB22" s="1799">
        <v>1</v>
      </c>
      <c r="AC22" s="1799">
        <v>1</v>
      </c>
    </row>
    <row r="23" spans="1:29" ht="57">
      <c r="A23" s="427"/>
      <c r="B23" s="450" t="s">
        <v>2100</v>
      </c>
      <c r="C23" s="259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605"/>
      <c r="Q23" s="1798" t="str">
        <f>B23</f>
        <v>自然及人文环境</v>
      </c>
      <c r="R23" s="773" t="s">
        <v>21</v>
      </c>
      <c r="S23" s="774">
        <f>F23</f>
        <v>100</v>
      </c>
      <c r="T23" s="773" t="s">
        <v>21</v>
      </c>
      <c r="U23" s="774">
        <f>H23</f>
        <v>100</v>
      </c>
      <c r="V23" s="773" t="s">
        <v>21</v>
      </c>
      <c r="W23" s="774">
        <f>J23</f>
        <v>100</v>
      </c>
      <c r="X23" s="1801"/>
      <c r="Y23" s="3607"/>
      <c r="Z23" s="1802" t="str">
        <f>Q23</f>
        <v>自然及人文环境</v>
      </c>
      <c r="AA23" s="1799">
        <f>D23/F23</f>
        <v>1</v>
      </c>
      <c r="AB23" s="1799">
        <f>D23/H23</f>
        <v>1</v>
      </c>
      <c r="AC23" s="1799">
        <f>D23/J23</f>
        <v>1</v>
      </c>
    </row>
    <row r="24" spans="1:29" ht="15">
      <c r="A24" s="427"/>
      <c r="B24" s="455"/>
      <c r="C24" s="446"/>
      <c r="D24" s="447"/>
      <c r="E24" s="2592"/>
      <c r="F24" s="447"/>
      <c r="G24" s="2593"/>
      <c r="H24" s="447"/>
      <c r="I24" s="2593"/>
      <c r="J24" s="447"/>
      <c r="K24" s="2594"/>
      <c r="L24" s="1139"/>
      <c r="M24" s="1130"/>
      <c r="N24" s="1130"/>
      <c r="O24" s="1130"/>
      <c r="P24" s="3605"/>
      <c r="Q24" s="1798"/>
      <c r="R24" s="773"/>
      <c r="S24" s="774"/>
      <c r="T24" s="773"/>
      <c r="U24" s="774"/>
      <c r="V24" s="773"/>
      <c r="W24" s="774"/>
      <c r="X24" s="1801"/>
      <c r="Y24" s="3607"/>
      <c r="Z24" s="1802"/>
      <c r="AA24" s="1799">
        <v>1</v>
      </c>
      <c r="AB24" s="1799">
        <v>1</v>
      </c>
      <c r="AC24" s="1799">
        <v>1</v>
      </c>
    </row>
    <row r="25" spans="1:29" ht="15">
      <c r="A25" s="427"/>
      <c r="B25" s="421" t="s">
        <v>2560</v>
      </c>
      <c r="C25" s="459"/>
      <c r="D25" s="434">
        <v>100</v>
      </c>
      <c r="E25" s="2601"/>
      <c r="F25" s="434">
        <f>SUMIF(86:86,E25,87:87)-SUMIF(86:86,C25,87:87)+100</f>
        <v>100</v>
      </c>
      <c r="G25" s="2602"/>
      <c r="H25" s="434">
        <f>SUMIF(86:86,G25,87:87)-SUMIF(86:86,C25,87:87)+100</f>
        <v>100</v>
      </c>
      <c r="I25" s="2602"/>
      <c r="J25" s="434">
        <f>SUMIF(86:86,I25,87:87)-SUMIF(86:86,C25,87:87)+100</f>
        <v>100</v>
      </c>
      <c r="K25" s="425"/>
      <c r="L25" s="1139"/>
      <c r="M25" s="1130"/>
      <c r="N25" s="1130"/>
      <c r="O25" s="1130"/>
      <c r="P25" s="3605"/>
      <c r="Q25" s="1798" t="str">
        <f t="shared" ref="Q25:Q46" si="11">B25</f>
        <v>楼层-1</v>
      </c>
      <c r="R25" s="773" t="s">
        <v>21</v>
      </c>
      <c r="S25" s="774">
        <f t="shared" ref="S25:S46" si="12">F25</f>
        <v>100</v>
      </c>
      <c r="T25" s="773" t="s">
        <v>21</v>
      </c>
      <c r="U25" s="774">
        <f t="shared" ref="U25:U46" si="13">H25</f>
        <v>100</v>
      </c>
      <c r="V25" s="773" t="s">
        <v>21</v>
      </c>
      <c r="W25" s="774">
        <f t="shared" ref="W25:W46" si="14">J25</f>
        <v>100</v>
      </c>
      <c r="X25" s="1801"/>
      <c r="Y25" s="3607"/>
      <c r="Z25" s="1802" t="str">
        <f>Q25</f>
        <v>楼层-1</v>
      </c>
      <c r="AA25" s="1799">
        <f t="shared" ref="AA25:AA46" si="15">D25/F25</f>
        <v>1</v>
      </c>
      <c r="AB25" s="1799">
        <f t="shared" ref="AB25:AB46" si="16">D25/H25</f>
        <v>1</v>
      </c>
      <c r="AC25" s="1799">
        <f t="shared" ref="AC25:AC46" si="17">D25/J25</f>
        <v>1</v>
      </c>
    </row>
    <row r="26" spans="1:29" ht="15">
      <c r="A26" s="427"/>
      <c r="B26" s="421" t="s">
        <v>2561</v>
      </c>
      <c r="C26" s="459"/>
      <c r="D26" s="434">
        <v>100</v>
      </c>
      <c r="E26" s="2601"/>
      <c r="F26" s="434">
        <f>SUMIF(88:88,E26,89:89)-SUMIF(88:88,C26,89:89)+100</f>
        <v>100</v>
      </c>
      <c r="G26" s="2602"/>
      <c r="H26" s="434">
        <f>SUMIF(88:88,G26,89:89)-SUMIF(88:88,C26,89:89)+100</f>
        <v>100</v>
      </c>
      <c r="I26" s="2602"/>
      <c r="J26" s="434">
        <f>SUMIF(88:88,I26,89:89)-SUMIF(88:88,C26,89:89)+100</f>
        <v>100</v>
      </c>
      <c r="K26" s="425"/>
      <c r="L26" s="1139"/>
      <c r="M26" s="1130"/>
      <c r="N26" s="1130"/>
      <c r="O26" s="1130"/>
      <c r="P26" s="3605"/>
      <c r="Q26" s="1798" t="str">
        <f t="shared" si="11"/>
        <v>朝向</v>
      </c>
      <c r="R26" s="773" t="s">
        <v>21</v>
      </c>
      <c r="S26" s="774">
        <f t="shared" si="12"/>
        <v>100</v>
      </c>
      <c r="T26" s="773" t="s">
        <v>21</v>
      </c>
      <c r="U26" s="774">
        <f t="shared" si="13"/>
        <v>100</v>
      </c>
      <c r="V26" s="773" t="s">
        <v>21</v>
      </c>
      <c r="W26" s="774">
        <f t="shared" si="14"/>
        <v>100</v>
      </c>
      <c r="X26" s="1801"/>
      <c r="Y26" s="3607"/>
      <c r="Z26" s="1802" t="str">
        <f>Q26</f>
        <v>朝向</v>
      </c>
      <c r="AA26" s="1799">
        <f t="shared" si="15"/>
        <v>1</v>
      </c>
      <c r="AB26" s="1799">
        <f t="shared" si="16"/>
        <v>1</v>
      </c>
      <c r="AC26" s="1799">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89"/>
      <c r="L27" s="1131"/>
      <c r="M27" s="1132"/>
      <c r="N27" s="1132"/>
      <c r="O27" s="1132"/>
      <c r="P27" s="3605"/>
      <c r="Q27" s="1783">
        <f t="shared" si="11"/>
        <v>111</v>
      </c>
      <c r="R27" s="769" t="s">
        <v>21</v>
      </c>
      <c r="S27" s="770">
        <f t="shared" si="12"/>
        <v>100</v>
      </c>
      <c r="T27" s="769" t="s">
        <v>21</v>
      </c>
      <c r="U27" s="770">
        <f t="shared" si="13"/>
        <v>100</v>
      </c>
      <c r="V27" s="769" t="s">
        <v>21</v>
      </c>
      <c r="W27" s="770">
        <f t="shared" si="14"/>
        <v>100</v>
      </c>
      <c r="X27" s="771"/>
      <c r="Y27" s="3607"/>
      <c r="Z27" s="55">
        <f>Q27</f>
        <v>111</v>
      </c>
      <c r="AA27" s="1799">
        <f t="shared" si="15"/>
        <v>1</v>
      </c>
      <c r="AB27" s="1799">
        <f t="shared" si="16"/>
        <v>1</v>
      </c>
      <c r="AC27" s="1799">
        <f t="shared" si="17"/>
        <v>1</v>
      </c>
    </row>
    <row r="28" spans="1:29" ht="15">
      <c r="A28" s="427"/>
      <c r="B28" s="1382">
        <v>111</v>
      </c>
      <c r="C28" s="433"/>
      <c r="D28" s="434">
        <v>100</v>
      </c>
      <c r="E28" s="433"/>
      <c r="F28" s="434">
        <f>SUMIF(92:92,E28,93:93)-SUMIF(92:92,C28,93:93)+100</f>
        <v>100</v>
      </c>
      <c r="G28" s="2603"/>
      <c r="H28" s="434">
        <f>SUMIF(92:92,G28,93:93)-SUMIF(92:92,C28,93:93)+100</f>
        <v>100</v>
      </c>
      <c r="I28" s="433"/>
      <c r="J28" s="434">
        <f>SUMIF(92:92,I28,93:93)-SUMIF(92:92,C28,93:93)+100</f>
        <v>100</v>
      </c>
      <c r="K28" s="2589"/>
      <c r="L28" s="1139"/>
      <c r="M28" s="1130"/>
      <c r="N28" s="1130"/>
      <c r="O28" s="1130"/>
      <c r="P28" s="3605"/>
      <c r="Q28" s="1798">
        <f t="shared" si="11"/>
        <v>111</v>
      </c>
      <c r="R28" s="773" t="s">
        <v>21</v>
      </c>
      <c r="S28" s="774">
        <f t="shared" si="12"/>
        <v>100</v>
      </c>
      <c r="T28" s="773" t="s">
        <v>21</v>
      </c>
      <c r="U28" s="774">
        <f t="shared" si="13"/>
        <v>100</v>
      </c>
      <c r="V28" s="773" t="s">
        <v>21</v>
      </c>
      <c r="W28" s="774">
        <f t="shared" si="14"/>
        <v>100</v>
      </c>
      <c r="X28" s="1801"/>
      <c r="Y28" s="3607"/>
      <c r="Z28" s="1802">
        <f t="shared" ref="Z28:Z46" si="18">Q28</f>
        <v>111</v>
      </c>
      <c r="AA28" s="1799">
        <f t="shared" si="15"/>
        <v>1</v>
      </c>
      <c r="AB28" s="1799">
        <f t="shared" si="16"/>
        <v>1</v>
      </c>
      <c r="AC28" s="1799">
        <f t="shared" si="17"/>
        <v>1</v>
      </c>
    </row>
    <row r="29" spans="1:29" ht="15">
      <c r="A29" s="427"/>
      <c r="B29" s="1382">
        <v>111</v>
      </c>
      <c r="C29" s="433"/>
      <c r="D29" s="434">
        <v>100</v>
      </c>
      <c r="E29" s="433"/>
      <c r="F29" s="434">
        <f>SUMIF(94:94,E29,95:95)-SUMIF(94:94,C29,95:95)+100</f>
        <v>100</v>
      </c>
      <c r="G29" s="2603"/>
      <c r="H29" s="434">
        <f>SUMIF(94:94,G29,95:95)-SUMIF(94:94,C29,95:95)+100</f>
        <v>100</v>
      </c>
      <c r="I29" s="433"/>
      <c r="J29" s="434">
        <f>SUMIF(94:94,I29,95:95)-SUMIF(94:94,C29,95:95)+100</f>
        <v>100</v>
      </c>
      <c r="K29" s="2589"/>
      <c r="L29" s="1139"/>
      <c r="M29" s="1130"/>
      <c r="N29" s="1130"/>
      <c r="O29" s="1130"/>
      <c r="P29" s="3605"/>
      <c r="Q29" s="1798">
        <f t="shared" si="11"/>
        <v>111</v>
      </c>
      <c r="R29" s="773" t="s">
        <v>21</v>
      </c>
      <c r="S29" s="774">
        <f t="shared" si="12"/>
        <v>100</v>
      </c>
      <c r="T29" s="773" t="s">
        <v>21</v>
      </c>
      <c r="U29" s="774">
        <f t="shared" si="13"/>
        <v>100</v>
      </c>
      <c r="V29" s="773" t="s">
        <v>21</v>
      </c>
      <c r="W29" s="774">
        <f t="shared" si="14"/>
        <v>100</v>
      </c>
      <c r="X29" s="1801"/>
      <c r="Y29" s="3607"/>
      <c r="Z29" s="1802">
        <f t="shared" si="18"/>
        <v>111</v>
      </c>
      <c r="AA29" s="1799">
        <f t="shared" si="15"/>
        <v>1</v>
      </c>
      <c r="AB29" s="1799">
        <f t="shared" si="16"/>
        <v>1</v>
      </c>
      <c r="AC29" s="1799">
        <f t="shared" si="17"/>
        <v>1</v>
      </c>
    </row>
    <row r="30" spans="1:29" ht="15">
      <c r="A30" s="427"/>
      <c r="B30" s="1382">
        <v>111</v>
      </c>
      <c r="C30" s="433"/>
      <c r="D30" s="434">
        <v>100</v>
      </c>
      <c r="E30" s="433"/>
      <c r="F30" s="434">
        <f>SUMIF(96:96,E30,97:97)-SUMIF(96:96,C30,97:97)+100</f>
        <v>100</v>
      </c>
      <c r="G30" s="2603"/>
      <c r="H30" s="434">
        <f>SUMIF(96:96,G30,97:97)-SUMIF(96:96,C30,97:97)+100</f>
        <v>100</v>
      </c>
      <c r="I30" s="433"/>
      <c r="J30" s="434">
        <f>SUMIF(96:96,I30,97:97)-SUMIF(96:96,C30,97:97)+100</f>
        <v>100</v>
      </c>
      <c r="K30" s="2589"/>
      <c r="L30" s="1139"/>
      <c r="M30" s="1130"/>
      <c r="N30" s="1130"/>
      <c r="O30" s="1130"/>
      <c r="P30" s="3605"/>
      <c r="Q30" s="1798">
        <f t="shared" si="11"/>
        <v>111</v>
      </c>
      <c r="R30" s="773" t="s">
        <v>21</v>
      </c>
      <c r="S30" s="774">
        <f t="shared" si="12"/>
        <v>100</v>
      </c>
      <c r="T30" s="773" t="s">
        <v>21</v>
      </c>
      <c r="U30" s="774">
        <f t="shared" si="13"/>
        <v>100</v>
      </c>
      <c r="V30" s="773" t="s">
        <v>21</v>
      </c>
      <c r="W30" s="774">
        <f t="shared" si="14"/>
        <v>100</v>
      </c>
      <c r="X30" s="1801"/>
      <c r="Y30" s="3607"/>
      <c r="Z30" s="1802">
        <f t="shared" si="18"/>
        <v>111</v>
      </c>
      <c r="AA30" s="1799">
        <f t="shared" si="15"/>
        <v>1</v>
      </c>
      <c r="AB30" s="1799">
        <f t="shared" si="16"/>
        <v>1</v>
      </c>
      <c r="AC30" s="1799">
        <f t="shared" si="17"/>
        <v>1</v>
      </c>
    </row>
    <row r="31" spans="1:29" ht="15.75" thickBot="1">
      <c r="A31" s="435"/>
      <c r="B31" s="1382">
        <v>111</v>
      </c>
      <c r="C31" s="436"/>
      <c r="D31" s="437">
        <v>100</v>
      </c>
      <c r="E31" s="436"/>
      <c r="F31" s="437">
        <f>SUMIF(98:98,E31,99:99)-SUMIF(98:98,C31,99:99)+100</f>
        <v>100</v>
      </c>
      <c r="G31" s="2604"/>
      <c r="H31" s="437">
        <f>SUMIF(98:98,G31,99:99)-SUMIF(98:98,C31,99:99)+100</f>
        <v>100</v>
      </c>
      <c r="I31" s="436"/>
      <c r="J31" s="437">
        <f>SUMIF(98:98,I31,99:99)-SUMIF(98:98,C31,99:99)+100</f>
        <v>100</v>
      </c>
      <c r="K31" s="2589"/>
      <c r="L31" s="1139"/>
      <c r="M31" s="1130"/>
      <c r="N31" s="1130"/>
      <c r="O31" s="1130"/>
      <c r="P31" s="3605"/>
      <c r="Q31" s="1798">
        <f t="shared" si="11"/>
        <v>111</v>
      </c>
      <c r="R31" s="773" t="s">
        <v>21</v>
      </c>
      <c r="S31" s="774">
        <f t="shared" si="12"/>
        <v>100</v>
      </c>
      <c r="T31" s="773" t="s">
        <v>21</v>
      </c>
      <c r="U31" s="774">
        <f t="shared" si="13"/>
        <v>100</v>
      </c>
      <c r="V31" s="773" t="s">
        <v>21</v>
      </c>
      <c r="W31" s="774">
        <f t="shared" si="14"/>
        <v>100</v>
      </c>
      <c r="X31" s="1801"/>
      <c r="Y31" s="3607"/>
      <c r="Z31" s="1802">
        <f t="shared" si="18"/>
        <v>111</v>
      </c>
      <c r="AA31" s="1799">
        <f t="shared" si="15"/>
        <v>1</v>
      </c>
      <c r="AB31" s="1799">
        <f t="shared" si="16"/>
        <v>1</v>
      </c>
      <c r="AC31" s="1799">
        <f t="shared" si="17"/>
        <v>1</v>
      </c>
    </row>
    <row r="32" spans="1:29" ht="15">
      <c r="A32" s="439" t="s">
        <v>2562</v>
      </c>
      <c r="B32" s="70" t="s">
        <v>2563</v>
      </c>
      <c r="C32" s="2605"/>
      <c r="D32" s="466">
        <v>100</v>
      </c>
      <c r="E32" s="2606"/>
      <c r="F32" s="460">
        <f>SUMIF(100:100,E32,101:101)-SUMIF(100:100,C32,101:101)+100</f>
        <v>100</v>
      </c>
      <c r="G32" s="2605"/>
      <c r="H32" s="466">
        <f>SUMIF(100:100,G32,101:101)-SUMIF(100:100,C32,101:101)+100</f>
        <v>100</v>
      </c>
      <c r="I32" s="2606"/>
      <c r="J32" s="434">
        <f>SUMIF(100:100,I32,101:101)-SUMIF(100:100,C32,101:101)+100</f>
        <v>100</v>
      </c>
      <c r="K32" s="425"/>
      <c r="L32" s="1139"/>
      <c r="M32" s="1130"/>
      <c r="N32" s="1130"/>
      <c r="O32" s="1130"/>
      <c r="P32" s="3608" t="s">
        <v>2564</v>
      </c>
      <c r="Q32" s="1798" t="str">
        <f t="shared" si="11"/>
        <v>建筑类型</v>
      </c>
      <c r="R32" s="773" t="s">
        <v>21</v>
      </c>
      <c r="S32" s="774">
        <f t="shared" si="12"/>
        <v>100</v>
      </c>
      <c r="T32" s="773" t="s">
        <v>21</v>
      </c>
      <c r="U32" s="774">
        <f t="shared" si="13"/>
        <v>100</v>
      </c>
      <c r="V32" s="773" t="s">
        <v>21</v>
      </c>
      <c r="W32" s="774">
        <f t="shared" si="14"/>
        <v>100</v>
      </c>
      <c r="X32" s="1801"/>
      <c r="Y32" s="3611" t="s">
        <v>2564</v>
      </c>
      <c r="Z32" s="1802" t="str">
        <f t="shared" si="18"/>
        <v>建筑类型</v>
      </c>
      <c r="AA32" s="1799">
        <f t="shared" si="15"/>
        <v>1</v>
      </c>
      <c r="AB32" s="1799">
        <f t="shared" si="16"/>
        <v>1</v>
      </c>
      <c r="AC32" s="1799">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89"/>
      <c r="L33" s="1137"/>
      <c r="M33" s="1140"/>
      <c r="N33" s="1140"/>
      <c r="O33" s="1140"/>
      <c r="P33" s="3609"/>
      <c r="Q33" s="775" t="str">
        <f t="shared" si="11"/>
        <v>项目建筑规模</v>
      </c>
      <c r="R33" s="776" t="s">
        <v>21</v>
      </c>
      <c r="S33" s="777" t="e">
        <f t="shared" si="12"/>
        <v>#N/A</v>
      </c>
      <c r="T33" s="776" t="s">
        <v>21</v>
      </c>
      <c r="U33" s="777" t="e">
        <f t="shared" si="13"/>
        <v>#N/A</v>
      </c>
      <c r="V33" s="776" t="s">
        <v>21</v>
      </c>
      <c r="W33" s="777" t="e">
        <f t="shared" si="14"/>
        <v>#N/A</v>
      </c>
      <c r="X33" s="778"/>
      <c r="Y33" s="3611"/>
      <c r="Z33" s="779" t="str">
        <f t="shared" si="18"/>
        <v>项目建筑规模</v>
      </c>
      <c r="AA33" s="1799" t="e">
        <f t="shared" si="15"/>
        <v>#N/A</v>
      </c>
      <c r="AB33" s="1799" t="e">
        <f t="shared" si="16"/>
        <v>#N/A</v>
      </c>
      <c r="AC33" s="1799" t="e">
        <f t="shared" si="17"/>
        <v>#N/A</v>
      </c>
    </row>
    <row r="34" spans="1:29" ht="15">
      <c r="A34" s="471"/>
      <c r="B34" s="421" t="s">
        <v>2566</v>
      </c>
      <c r="C34" s="2607"/>
      <c r="D34" s="434">
        <v>100</v>
      </c>
      <c r="E34" s="2608"/>
      <c r="F34" s="460">
        <f>SUMIF(105:105,E34,106:106)-SUMIF(105:105,C34,106:106)+100</f>
        <v>100</v>
      </c>
      <c r="G34" s="2607"/>
      <c r="H34" s="434">
        <f>SUMIF(105:105,G34,106:106)-SUMIF(105:105,C34,106:106)+100</f>
        <v>100</v>
      </c>
      <c r="I34" s="2608"/>
      <c r="J34" s="434">
        <f>SUMIF(105:105,I34,106:106)-SUMIF(105:105,C34,106:106)+100</f>
        <v>100</v>
      </c>
      <c r="K34" s="425"/>
      <c r="L34" s="1139"/>
      <c r="M34" s="1130"/>
      <c r="N34" s="1130"/>
      <c r="O34" s="1130"/>
      <c r="P34" s="3609"/>
      <c r="Q34" s="1798" t="str">
        <f t="shared" si="11"/>
        <v>建筑结构</v>
      </c>
      <c r="R34" s="773" t="s">
        <v>21</v>
      </c>
      <c r="S34" s="774">
        <f t="shared" si="12"/>
        <v>100</v>
      </c>
      <c r="T34" s="773" t="s">
        <v>21</v>
      </c>
      <c r="U34" s="774">
        <f t="shared" si="13"/>
        <v>100</v>
      </c>
      <c r="V34" s="773" t="s">
        <v>21</v>
      </c>
      <c r="W34" s="774">
        <f t="shared" si="14"/>
        <v>100</v>
      </c>
      <c r="X34" s="1801"/>
      <c r="Y34" s="3611"/>
      <c r="Z34" s="1802" t="str">
        <f t="shared" si="18"/>
        <v>建筑结构</v>
      </c>
      <c r="AA34" s="1799">
        <f t="shared" si="15"/>
        <v>1</v>
      </c>
      <c r="AB34" s="1799">
        <f t="shared" si="16"/>
        <v>1</v>
      </c>
      <c r="AC34" s="1799">
        <f t="shared" si="17"/>
        <v>1</v>
      </c>
    </row>
    <row r="35" spans="1:29" ht="15">
      <c r="A35" s="471"/>
      <c r="B35" s="421" t="s">
        <v>2567</v>
      </c>
      <c r="C35" s="2601"/>
      <c r="D35" s="434">
        <v>100</v>
      </c>
      <c r="E35" s="2602"/>
      <c r="F35" s="460">
        <f>SUMIF(107:107,E35,108:108)-SUMIF(107:107,C35,108:108)+100</f>
        <v>100</v>
      </c>
      <c r="G35" s="2601"/>
      <c r="H35" s="434">
        <f>SUMIF(107:107,G35,108:108)-SUMIF(107:107,C35,108:108)+100</f>
        <v>100</v>
      </c>
      <c r="I35" s="2602"/>
      <c r="J35" s="434">
        <f>SUMIF(107:107,I35,108:108)-SUMIF(107:107,C35,108:108)+100</f>
        <v>100</v>
      </c>
      <c r="K35" s="425"/>
      <c r="L35" s="1139"/>
      <c r="M35" s="1130"/>
      <c r="N35" s="1130"/>
      <c r="O35" s="1130"/>
      <c r="P35" s="3609"/>
      <c r="Q35" s="1798" t="str">
        <f t="shared" si="11"/>
        <v>建筑品质</v>
      </c>
      <c r="R35" s="773" t="s">
        <v>21</v>
      </c>
      <c r="S35" s="774">
        <f t="shared" si="12"/>
        <v>100</v>
      </c>
      <c r="T35" s="773" t="s">
        <v>21</v>
      </c>
      <c r="U35" s="774">
        <f t="shared" si="13"/>
        <v>100</v>
      </c>
      <c r="V35" s="773" t="s">
        <v>21</v>
      </c>
      <c r="W35" s="774">
        <f t="shared" si="14"/>
        <v>100</v>
      </c>
      <c r="X35" s="1801"/>
      <c r="Y35" s="3611"/>
      <c r="Z35" s="1802" t="str">
        <f t="shared" si="18"/>
        <v>建筑品质</v>
      </c>
      <c r="AA35" s="1799">
        <f t="shared" si="15"/>
        <v>1</v>
      </c>
      <c r="AB35" s="1799">
        <f t="shared" si="16"/>
        <v>1</v>
      </c>
      <c r="AC35" s="1799">
        <f t="shared" si="17"/>
        <v>1</v>
      </c>
    </row>
    <row r="36" spans="1:29" ht="15">
      <c r="A36" s="471"/>
      <c r="B36" s="421" t="s">
        <v>2568</v>
      </c>
      <c r="C36" s="2601"/>
      <c r="D36" s="434">
        <v>100</v>
      </c>
      <c r="E36" s="2602"/>
      <c r="F36" s="460">
        <f>SUMIF(109:109,E36,110:110)-SUMIF(109:109,C36,110:110)+100</f>
        <v>100</v>
      </c>
      <c r="G36" s="2601"/>
      <c r="H36" s="434">
        <f>SUMIF(109:109,G36,110:110)-SUMIF(109:109,C36,110:110)+100</f>
        <v>100</v>
      </c>
      <c r="I36" s="2602"/>
      <c r="J36" s="434">
        <f>SUMIF(109:109,I36,110:110)-SUMIF(109:109,C36,110:110)+100</f>
        <v>100</v>
      </c>
      <c r="K36" s="425"/>
      <c r="L36" s="1139"/>
      <c r="M36" s="1130"/>
      <c r="N36" s="1130"/>
      <c r="O36" s="1130"/>
      <c r="P36" s="3609"/>
      <c r="Q36" s="1798" t="str">
        <f t="shared" si="11"/>
        <v>公共部分装修</v>
      </c>
      <c r="R36" s="773" t="s">
        <v>21</v>
      </c>
      <c r="S36" s="774">
        <f t="shared" si="12"/>
        <v>100</v>
      </c>
      <c r="T36" s="773" t="s">
        <v>21</v>
      </c>
      <c r="U36" s="774">
        <f t="shared" si="13"/>
        <v>100</v>
      </c>
      <c r="V36" s="773" t="s">
        <v>21</v>
      </c>
      <c r="W36" s="774">
        <f t="shared" si="14"/>
        <v>100</v>
      </c>
      <c r="X36" s="1801"/>
      <c r="Y36" s="3611"/>
      <c r="Z36" s="1802" t="str">
        <f t="shared" si="18"/>
        <v>公共部分装修</v>
      </c>
      <c r="AA36" s="1799">
        <f t="shared" si="15"/>
        <v>1</v>
      </c>
      <c r="AB36" s="1799">
        <f t="shared" si="16"/>
        <v>1</v>
      </c>
      <c r="AC36" s="1799">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609"/>
      <c r="Q37" s="1783" t="str">
        <f t="shared" si="11"/>
        <v>成新度</v>
      </c>
      <c r="R37" s="769" t="s">
        <v>21</v>
      </c>
      <c r="S37" s="770" t="e">
        <f t="shared" si="12"/>
        <v>#N/A</v>
      </c>
      <c r="T37" s="769" t="s">
        <v>21</v>
      </c>
      <c r="U37" s="770" t="e">
        <f t="shared" si="13"/>
        <v>#N/A</v>
      </c>
      <c r="V37" s="769" t="s">
        <v>21</v>
      </c>
      <c r="W37" s="770" t="e">
        <f t="shared" si="14"/>
        <v>#N/A</v>
      </c>
      <c r="X37" s="771"/>
      <c r="Y37" s="3611"/>
      <c r="Z37" s="55" t="str">
        <f t="shared" si="18"/>
        <v>成新度</v>
      </c>
      <c r="AA37" s="772" t="e">
        <f t="shared" si="15"/>
        <v>#N/A</v>
      </c>
      <c r="AB37" s="772" t="e">
        <f t="shared" si="16"/>
        <v>#N/A</v>
      </c>
      <c r="AC37" s="772" t="e">
        <f t="shared" si="17"/>
        <v>#N/A</v>
      </c>
    </row>
    <row r="38" spans="1:29" ht="15">
      <c r="A38" s="471"/>
      <c r="B38" s="421" t="s">
        <v>2570</v>
      </c>
      <c r="C38" s="2601"/>
      <c r="D38" s="434">
        <v>100</v>
      </c>
      <c r="E38" s="2602"/>
      <c r="F38" s="460">
        <f>SUMIF(114:114,E38,115:115)-SUMIF(114:114,C38,115:115)+100</f>
        <v>100</v>
      </c>
      <c r="G38" s="2601"/>
      <c r="H38" s="434">
        <f>SUMIF(114:114,G38,115:115)-SUMIF(114:114,C38,115:115)+100</f>
        <v>100</v>
      </c>
      <c r="I38" s="2602"/>
      <c r="J38" s="434">
        <f>SUMIF(114:114,I38,115:115)-SUMIF(114:114,C38,115:115)+100</f>
        <v>100</v>
      </c>
      <c r="K38" s="425"/>
      <c r="L38" s="1139"/>
      <c r="M38" s="1130"/>
      <c r="N38" s="1130"/>
      <c r="O38" s="1130"/>
      <c r="P38" s="3609" t="s">
        <v>2564</v>
      </c>
      <c r="Q38" s="1798" t="str">
        <f t="shared" si="11"/>
        <v>物业管理</v>
      </c>
      <c r="R38" s="773" t="s">
        <v>21</v>
      </c>
      <c r="S38" s="774">
        <f t="shared" si="12"/>
        <v>100</v>
      </c>
      <c r="T38" s="773" t="s">
        <v>21</v>
      </c>
      <c r="U38" s="774">
        <f t="shared" si="13"/>
        <v>100</v>
      </c>
      <c r="V38" s="773" t="s">
        <v>21</v>
      </c>
      <c r="W38" s="774">
        <f t="shared" si="14"/>
        <v>100</v>
      </c>
      <c r="X38" s="1801"/>
      <c r="Y38" s="3611" t="s">
        <v>2564</v>
      </c>
      <c r="Z38" s="1802" t="str">
        <f t="shared" si="18"/>
        <v>物业管理</v>
      </c>
      <c r="AA38" s="1799">
        <f t="shared" si="15"/>
        <v>1</v>
      </c>
      <c r="AB38" s="1799">
        <f t="shared" si="16"/>
        <v>1</v>
      </c>
      <c r="AC38" s="1799">
        <f t="shared" si="17"/>
        <v>1</v>
      </c>
    </row>
    <row r="39" spans="1:29" ht="15">
      <c r="A39" s="471"/>
      <c r="B39" s="421" t="s">
        <v>2571</v>
      </c>
      <c r="C39" s="2601"/>
      <c r="D39" s="434">
        <v>100</v>
      </c>
      <c r="E39" s="2602"/>
      <c r="F39" s="460">
        <f>SUMIF(116:116,E39,117:117)-SUMIF(116:116,C39,117:117)+100</f>
        <v>100</v>
      </c>
      <c r="G39" s="2601"/>
      <c r="H39" s="434">
        <f>SUMIF(116:116,G39,117:117)-SUMIF(116:116,C39,117:117)+100</f>
        <v>100</v>
      </c>
      <c r="I39" s="2602"/>
      <c r="J39" s="434">
        <f>SUMIF(116:116,I39,117:117)-SUMIF(116:116,C39,117:117)+100</f>
        <v>100</v>
      </c>
      <c r="K39" s="425"/>
      <c r="L39" s="1139"/>
      <c r="M39" s="1130"/>
      <c r="N39" s="1130"/>
      <c r="O39" s="1130"/>
      <c r="P39" s="3609"/>
      <c r="Q39" s="1798" t="str">
        <f t="shared" si="11"/>
        <v>市政基础设施</v>
      </c>
      <c r="R39" s="773" t="s">
        <v>21</v>
      </c>
      <c r="S39" s="774">
        <f t="shared" si="12"/>
        <v>100</v>
      </c>
      <c r="T39" s="773" t="s">
        <v>21</v>
      </c>
      <c r="U39" s="774">
        <f t="shared" si="13"/>
        <v>100</v>
      </c>
      <c r="V39" s="773" t="s">
        <v>21</v>
      </c>
      <c r="W39" s="774">
        <f t="shared" si="14"/>
        <v>100</v>
      </c>
      <c r="X39" s="1801"/>
      <c r="Y39" s="3611"/>
      <c r="Z39" s="1802" t="str">
        <f t="shared" si="18"/>
        <v>市政基础设施</v>
      </c>
      <c r="AA39" s="1799">
        <f t="shared" si="15"/>
        <v>1</v>
      </c>
      <c r="AB39" s="1799">
        <f t="shared" si="16"/>
        <v>1</v>
      </c>
      <c r="AC39" s="1799">
        <f t="shared" si="17"/>
        <v>1</v>
      </c>
    </row>
    <row r="40" spans="1:29" ht="15">
      <c r="A40" s="471"/>
      <c r="B40" s="421" t="s">
        <v>2572</v>
      </c>
      <c r="C40" s="2601"/>
      <c r="D40" s="434">
        <v>100</v>
      </c>
      <c r="E40" s="2602"/>
      <c r="F40" s="460">
        <f>SUMIF(118:118,E40,119:119)-SUMIF(118:118,C40,119:119)+100</f>
        <v>100</v>
      </c>
      <c r="G40" s="2601"/>
      <c r="H40" s="434">
        <f>SUMIF(118:118,G40,119:119)-SUMIF(118:118,C40,119:119)+100</f>
        <v>100</v>
      </c>
      <c r="I40" s="2602"/>
      <c r="J40" s="434">
        <f>SUMIF(118:118,I40,119:119)-SUMIF(118:118,C40,119:119)+100</f>
        <v>100</v>
      </c>
      <c r="K40" s="425"/>
      <c r="L40" s="1139"/>
      <c r="M40" s="1130"/>
      <c r="N40" s="1130"/>
      <c r="O40" s="1130"/>
      <c r="P40" s="3609"/>
      <c r="Q40" s="1798" t="str">
        <f t="shared" si="11"/>
        <v>房型</v>
      </c>
      <c r="R40" s="773" t="s">
        <v>21</v>
      </c>
      <c r="S40" s="774">
        <f t="shared" si="12"/>
        <v>100</v>
      </c>
      <c r="T40" s="773" t="s">
        <v>21</v>
      </c>
      <c r="U40" s="774">
        <f t="shared" si="13"/>
        <v>100</v>
      </c>
      <c r="V40" s="773" t="s">
        <v>21</v>
      </c>
      <c r="W40" s="774">
        <f t="shared" si="14"/>
        <v>100</v>
      </c>
      <c r="X40" s="1801"/>
      <c r="Y40" s="3611"/>
      <c r="Z40" s="1802" t="str">
        <f t="shared" si="18"/>
        <v>房型</v>
      </c>
      <c r="AA40" s="1799">
        <f t="shared" si="15"/>
        <v>1</v>
      </c>
      <c r="AB40" s="1799">
        <f t="shared" si="16"/>
        <v>1</v>
      </c>
      <c r="AC40" s="1799">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89"/>
      <c r="L41" s="1137"/>
      <c r="M41" s="1140"/>
      <c r="N41" s="1140"/>
      <c r="O41" s="1140"/>
      <c r="P41" s="3609"/>
      <c r="Q41" s="775" t="str">
        <f t="shared" si="11"/>
        <v>单套/主力户型建筑面积</v>
      </c>
      <c r="R41" s="776" t="s">
        <v>21</v>
      </c>
      <c r="S41" s="777">
        <f t="shared" si="12"/>
        <v>100</v>
      </c>
      <c r="T41" s="776" t="s">
        <v>21</v>
      </c>
      <c r="U41" s="777">
        <f t="shared" si="13"/>
        <v>100</v>
      </c>
      <c r="V41" s="776" t="s">
        <v>21</v>
      </c>
      <c r="W41" s="777">
        <f t="shared" si="14"/>
        <v>100</v>
      </c>
      <c r="X41" s="778"/>
      <c r="Y41" s="3611"/>
      <c r="Z41" s="779" t="str">
        <f t="shared" si="18"/>
        <v>单套/主力户型建筑面积</v>
      </c>
      <c r="AA41" s="1799">
        <f t="shared" si="15"/>
        <v>1</v>
      </c>
      <c r="AB41" s="1799">
        <f t="shared" si="16"/>
        <v>1</v>
      </c>
      <c r="AC41" s="1799">
        <f t="shared" si="17"/>
        <v>1</v>
      </c>
    </row>
    <row r="42" spans="1:29" ht="15">
      <c r="A42" s="471"/>
      <c r="B42" s="421" t="s">
        <v>2574</v>
      </c>
      <c r="C42" s="2601"/>
      <c r="D42" s="434">
        <v>100</v>
      </c>
      <c r="E42" s="2602"/>
      <c r="F42" s="460">
        <f>SUMIF(122:122,E42,123:123)-SUMIF(122:122,C42,123:123)+100</f>
        <v>100</v>
      </c>
      <c r="G42" s="2601"/>
      <c r="H42" s="434">
        <f>SUMIF(122:122,G42,123:123)-SUMIF(122:122,C42,123:123)+100</f>
        <v>100</v>
      </c>
      <c r="I42" s="2602"/>
      <c r="J42" s="434">
        <f>SUMIF(122:122,I42,123:123)-SUMIF(122:122,C42,123:123)+100</f>
        <v>100</v>
      </c>
      <c r="K42" s="425"/>
      <c r="L42" s="1139"/>
      <c r="M42" s="1130"/>
      <c r="N42" s="1130"/>
      <c r="O42" s="1130"/>
      <c r="P42" s="3609"/>
      <c r="Q42" s="1798" t="str">
        <f t="shared" si="11"/>
        <v>内部装修</v>
      </c>
      <c r="R42" s="773" t="s">
        <v>21</v>
      </c>
      <c r="S42" s="774">
        <f t="shared" si="12"/>
        <v>100</v>
      </c>
      <c r="T42" s="773" t="s">
        <v>21</v>
      </c>
      <c r="U42" s="774">
        <f t="shared" si="13"/>
        <v>100</v>
      </c>
      <c r="V42" s="773" t="s">
        <v>21</v>
      </c>
      <c r="W42" s="774">
        <f t="shared" si="14"/>
        <v>100</v>
      </c>
      <c r="X42" s="1801"/>
      <c r="Y42" s="3611"/>
      <c r="Z42" s="1802" t="str">
        <f t="shared" si="18"/>
        <v>内部装修</v>
      </c>
      <c r="AA42" s="1799">
        <f t="shared" si="15"/>
        <v>1</v>
      </c>
      <c r="AB42" s="1799">
        <f t="shared" si="16"/>
        <v>1</v>
      </c>
      <c r="AC42" s="1799">
        <f t="shared" si="17"/>
        <v>1</v>
      </c>
    </row>
    <row r="43" spans="1:29" ht="15">
      <c r="A43" s="471"/>
      <c r="B43" s="421" t="s">
        <v>2575</v>
      </c>
      <c r="C43" s="2601"/>
      <c r="D43" s="434">
        <v>100</v>
      </c>
      <c r="E43" s="2602"/>
      <c r="F43" s="460">
        <f>SUMIF(124:124,E43,125:125)-SUMIF(124:124,C43,125:125)+100</f>
        <v>100</v>
      </c>
      <c r="G43" s="2601"/>
      <c r="H43" s="434">
        <f>SUMIF(124:124,G43,125:125)-SUMIF(124:124,C43,125:125)+100</f>
        <v>100</v>
      </c>
      <c r="I43" s="2602"/>
      <c r="J43" s="434">
        <f>SUMIF(124:124,I43,125:125)-SUMIF(124:124,C43,125:125)+100</f>
        <v>100</v>
      </c>
      <c r="K43" s="425"/>
      <c r="L43" s="1139"/>
      <c r="M43" s="1130"/>
      <c r="N43" s="1130"/>
      <c r="O43" s="1130"/>
      <c r="P43" s="3609"/>
      <c r="Q43" s="1798" t="str">
        <f t="shared" si="11"/>
        <v>内部装修维护情况</v>
      </c>
      <c r="R43" s="773" t="s">
        <v>21</v>
      </c>
      <c r="S43" s="774">
        <f t="shared" si="12"/>
        <v>100</v>
      </c>
      <c r="T43" s="773" t="s">
        <v>21</v>
      </c>
      <c r="U43" s="774">
        <f t="shared" si="13"/>
        <v>100</v>
      </c>
      <c r="V43" s="773" t="s">
        <v>21</v>
      </c>
      <c r="W43" s="774">
        <f t="shared" si="14"/>
        <v>100</v>
      </c>
      <c r="X43" s="1801"/>
      <c r="Y43" s="3611"/>
      <c r="Z43" s="1802" t="str">
        <f t="shared" si="18"/>
        <v>内部装修维护情况</v>
      </c>
      <c r="AA43" s="1799">
        <f t="shared" si="15"/>
        <v>1</v>
      </c>
      <c r="AB43" s="1799">
        <f t="shared" si="16"/>
        <v>1</v>
      </c>
      <c r="AC43" s="1799">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89"/>
      <c r="L44" s="1131"/>
      <c r="M44" s="1132"/>
      <c r="N44" s="1132"/>
      <c r="O44" s="1132"/>
      <c r="P44" s="3609"/>
      <c r="Q44" s="1783">
        <f t="shared" si="11"/>
        <v>111</v>
      </c>
      <c r="R44" s="769" t="s">
        <v>21</v>
      </c>
      <c r="S44" s="770">
        <f t="shared" si="12"/>
        <v>100</v>
      </c>
      <c r="T44" s="769" t="s">
        <v>21</v>
      </c>
      <c r="U44" s="770">
        <f t="shared" si="13"/>
        <v>100</v>
      </c>
      <c r="V44" s="769" t="s">
        <v>21</v>
      </c>
      <c r="W44" s="770">
        <f t="shared" si="14"/>
        <v>100</v>
      </c>
      <c r="X44" s="771"/>
      <c r="Y44" s="3611"/>
      <c r="Z44" s="55">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9"/>
      <c r="L45" s="1139"/>
      <c r="M45" s="1130"/>
      <c r="N45" s="1130"/>
      <c r="O45" s="1130"/>
      <c r="P45" s="3609"/>
      <c r="Q45" s="1798">
        <f t="shared" si="11"/>
        <v>111</v>
      </c>
      <c r="R45" s="773" t="s">
        <v>21</v>
      </c>
      <c r="S45" s="774">
        <f t="shared" si="12"/>
        <v>100</v>
      </c>
      <c r="T45" s="773" t="s">
        <v>21</v>
      </c>
      <c r="U45" s="774">
        <f t="shared" si="13"/>
        <v>100</v>
      </c>
      <c r="V45" s="773" t="s">
        <v>21</v>
      </c>
      <c r="W45" s="774">
        <f t="shared" si="14"/>
        <v>100</v>
      </c>
      <c r="X45" s="1801"/>
      <c r="Y45" s="3611"/>
      <c r="Z45" s="1802">
        <f t="shared" si="18"/>
        <v>111</v>
      </c>
      <c r="AA45" s="1799">
        <f t="shared" si="15"/>
        <v>1</v>
      </c>
      <c r="AB45" s="1799">
        <f t="shared" si="16"/>
        <v>1</v>
      </c>
      <c r="AC45" s="1799">
        <f t="shared" si="17"/>
        <v>1</v>
      </c>
    </row>
    <row r="46" spans="1:29" ht="15.75" thickBot="1">
      <c r="A46" s="477"/>
      <c r="B46" s="259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9"/>
      <c r="L46" s="1139"/>
      <c r="M46" s="1130"/>
      <c r="N46" s="1130"/>
      <c r="O46" s="1130"/>
      <c r="P46" s="3610"/>
      <c r="Q46" s="1798">
        <f t="shared" si="11"/>
        <v>111</v>
      </c>
      <c r="R46" s="773" t="s">
        <v>20</v>
      </c>
      <c r="S46" s="774">
        <f t="shared" si="12"/>
        <v>100</v>
      </c>
      <c r="T46" s="773" t="s">
        <v>20</v>
      </c>
      <c r="U46" s="774">
        <f t="shared" si="13"/>
        <v>100</v>
      </c>
      <c r="V46" s="773" t="s">
        <v>20</v>
      </c>
      <c r="W46" s="774">
        <f t="shared" si="14"/>
        <v>100</v>
      </c>
      <c r="X46" s="1801"/>
      <c r="Y46" s="3612"/>
      <c r="Z46" s="1802">
        <f t="shared" si="18"/>
        <v>111</v>
      </c>
      <c r="AA46" s="1799">
        <f t="shared" si="15"/>
        <v>1</v>
      </c>
      <c r="AB46" s="1799">
        <f t="shared" si="16"/>
        <v>1</v>
      </c>
      <c r="AC46" s="1799">
        <f t="shared" si="17"/>
        <v>1</v>
      </c>
    </row>
    <row r="47" spans="1:29" ht="15">
      <c r="A47" s="478" t="s">
        <v>2576</v>
      </c>
      <c r="B47" s="479"/>
      <c r="C47" s="1403" t="s">
        <v>19</v>
      </c>
      <c r="D47" s="1404"/>
      <c r="E47" s="1405"/>
      <c r="F47" s="1406"/>
      <c r="G47" s="1407"/>
      <c r="H47" s="1408"/>
      <c r="I47" s="1405"/>
      <c r="J47" s="1408"/>
      <c r="K47" s="2609"/>
      <c r="L47" s="1142"/>
      <c r="M47" s="1143"/>
      <c r="N47" s="1130"/>
      <c r="O47" s="1143"/>
      <c r="P47" s="3613" t="str">
        <f>A47</f>
        <v>成交单价（元/平方米）</v>
      </c>
      <c r="Q47" s="3613"/>
      <c r="R47" s="3614">
        <f>E47</f>
        <v>0</v>
      </c>
      <c r="S47" s="3614"/>
      <c r="T47" s="3614">
        <f>G47</f>
        <v>0</v>
      </c>
      <c r="U47" s="3614"/>
      <c r="V47" s="3614">
        <f>I47</f>
        <v>0</v>
      </c>
      <c r="W47" s="3614"/>
      <c r="X47" s="758"/>
      <c r="Y47" s="780"/>
      <c r="Z47" s="758"/>
      <c r="AA47" s="758"/>
      <c r="AB47" s="758"/>
      <c r="AC47" s="758"/>
    </row>
    <row r="48" spans="1:29" ht="15.75" thickBot="1">
      <c r="A48" s="485" t="s">
        <v>2577</v>
      </c>
      <c r="B48" s="486"/>
      <c r="C48" s="1409" t="e">
        <f>R49</f>
        <v>#DIV/0!</v>
      </c>
      <c r="D48" s="1410"/>
      <c r="E48" s="1411" t="e">
        <f>R48</f>
        <v>#DIV/0!</v>
      </c>
      <c r="F48" s="1411"/>
      <c r="G48" s="1409" t="e">
        <f>T48</f>
        <v>#DIV/0!</v>
      </c>
      <c r="H48" s="1410"/>
      <c r="I48" s="1411" t="e">
        <f>V48</f>
        <v>#DIV/0!</v>
      </c>
      <c r="J48" s="1410"/>
      <c r="K48" s="2610"/>
      <c r="L48" s="1142"/>
      <c r="M48" s="1143"/>
      <c r="N48" s="1143"/>
      <c r="O48" s="1143"/>
      <c r="P48" s="3613" t="str">
        <f>A48</f>
        <v>比较价值（元/平方米）</v>
      </c>
      <c r="Q48" s="3613"/>
      <c r="R48" s="3614" t="e">
        <f>IF(F1="售价",ROUND(PRODUCT(R47,AA7:AA46),0),ROUND(PRODUCT(R47,AA7:AA46),1))</f>
        <v>#DIV/0!</v>
      </c>
      <c r="S48" s="3614"/>
      <c r="T48" s="3614" t="e">
        <f>IF(F1="售价",ROUND(PRODUCT(T47,AB7:AB46),0),ROUND(PRODUCT(T47,AB7:AB46),1))</f>
        <v>#DIV/0!</v>
      </c>
      <c r="U48" s="3614"/>
      <c r="V48" s="3614" t="e">
        <f>IF(F1="售价",ROUND(PRODUCT(V47,AC7:AC46),0),ROUND(PRODUCT(V47,AC7:AC46),1))</f>
        <v>#DIV/0!</v>
      </c>
      <c r="W48" s="3614"/>
      <c r="X48" s="758"/>
      <c r="Y48" s="758"/>
      <c r="Z48" s="758"/>
      <c r="AA48" s="758"/>
      <c r="AB48" s="758"/>
      <c r="AC48" s="758"/>
    </row>
    <row r="49" spans="1:29" ht="15.75" thickBot="1">
      <c r="A49" s="491" t="s">
        <v>2578</v>
      </c>
      <c r="B49" s="492"/>
      <c r="C49" s="1412" t="e">
        <f>R49</f>
        <v>#DIV/0!</v>
      </c>
      <c r="D49" s="1413"/>
      <c r="E49" s="1413"/>
      <c r="F49" s="1413"/>
      <c r="G49" s="1413"/>
      <c r="H49" s="1413"/>
      <c r="I49" s="1413"/>
      <c r="J49" s="1413"/>
      <c r="K49" s="2611"/>
      <c r="L49" s="1142"/>
      <c r="M49" s="1143"/>
      <c r="N49" s="1143"/>
      <c r="O49" s="1143"/>
      <c r="P49" s="3615" t="str">
        <f>A49</f>
        <v>估价对象XX用房的比较价值（楼面单价，元/平方米）</v>
      </c>
      <c r="Q49" s="3616"/>
      <c r="R49" s="3617" t="e">
        <f>IF(F1="售价",ROUND(AVERAGE(R48:V48),0),ROUND(AVERAGE(R48:V48),1))</f>
        <v>#DIV/0!</v>
      </c>
      <c r="S49" s="3617"/>
      <c r="T49" s="3617"/>
      <c r="U49" s="3617"/>
      <c r="V49" s="3617"/>
      <c r="W49" s="361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3"/>
    </row>
    <row r="55" spans="1:29" s="501" customFormat="1">
      <c r="A55" s="1144"/>
      <c r="B55" s="1145"/>
      <c r="C55" s="1149"/>
      <c r="D55" s="1144"/>
      <c r="E55" s="1144"/>
      <c r="F55" s="1144"/>
      <c r="G55" s="1144"/>
      <c r="H55" s="1144"/>
      <c r="I55" s="1144"/>
      <c r="J55" s="1144"/>
      <c r="K55" s="1147"/>
      <c r="L55" s="1148"/>
      <c r="M55" s="1144"/>
      <c r="N55" s="1144"/>
      <c r="O55" s="1144"/>
      <c r="P55" s="2613"/>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14"/>
      <c r="Q57" s="503"/>
    </row>
    <row r="58" spans="1:29" s="507" customFormat="1" ht="15">
      <c r="A58" s="504" t="s">
        <v>2583</v>
      </c>
      <c r="B58" s="505"/>
      <c r="C58" s="1572" t="str">
        <f>YEAR(C7)&amp;"-"&amp;MONTH(C7)</f>
        <v>2020-6</v>
      </c>
      <c r="D58" s="1571">
        <f>EDATE(C58,-1)</f>
        <v>43952</v>
      </c>
      <c r="E58" s="1571">
        <f>EDATE(D58,-1)</f>
        <v>43922</v>
      </c>
      <c r="F58" s="1571">
        <f t="shared" ref="F58:O58" si="19">EDATE(E58,-1)</f>
        <v>43891</v>
      </c>
      <c r="G58" s="1571">
        <f t="shared" si="19"/>
        <v>43862</v>
      </c>
      <c r="H58" s="1571">
        <f t="shared" si="19"/>
        <v>43831</v>
      </c>
      <c r="I58" s="1571">
        <f t="shared" si="19"/>
        <v>43800</v>
      </c>
      <c r="J58" s="1571">
        <f t="shared" si="19"/>
        <v>43770</v>
      </c>
      <c r="K58" s="1571">
        <f t="shared" si="19"/>
        <v>43739</v>
      </c>
      <c r="L58" s="1571">
        <f t="shared" si="19"/>
        <v>43709</v>
      </c>
      <c r="M58" s="1571">
        <f t="shared" si="19"/>
        <v>43678</v>
      </c>
      <c r="N58" s="1571">
        <f t="shared" si="19"/>
        <v>43647</v>
      </c>
      <c r="O58" s="1571">
        <f t="shared" si="19"/>
        <v>43617</v>
      </c>
      <c r="P58" s="1566"/>
    </row>
    <row r="59" spans="1:29" s="116" customFormat="1" ht="15">
      <c r="A59" s="508"/>
      <c r="B59" s="2615"/>
      <c r="C59" s="1569">
        <v>100</v>
      </c>
      <c r="D59" s="510"/>
      <c r="E59" s="511"/>
      <c r="F59" s="511"/>
      <c r="G59" s="511"/>
      <c r="H59" s="511"/>
      <c r="I59" s="511"/>
      <c r="J59" s="511"/>
      <c r="K59" s="511"/>
      <c r="L59" s="511"/>
      <c r="M59" s="512"/>
      <c r="N59" s="511"/>
      <c r="O59" s="512"/>
      <c r="P59" s="2616"/>
    </row>
    <row r="60" spans="1:29" s="116" customFormat="1" ht="15.75" thickBot="1">
      <c r="A60" s="514" t="s">
        <v>2584</v>
      </c>
      <c r="B60" s="515"/>
      <c r="C60" s="516"/>
      <c r="D60" s="517"/>
      <c r="E60" s="517"/>
      <c r="F60" s="517"/>
      <c r="G60" s="517"/>
      <c r="H60" s="517"/>
      <c r="I60" s="517"/>
      <c r="J60" s="517"/>
      <c r="K60" s="517"/>
      <c r="L60" s="517"/>
      <c r="M60" s="518"/>
      <c r="N60" s="517"/>
      <c r="O60" s="518"/>
      <c r="P60" s="2616"/>
      <c r="Q60" s="503"/>
    </row>
    <row r="61" spans="1:29" s="116" customFormat="1" ht="15">
      <c r="A61" s="520" t="s">
        <v>2585</v>
      </c>
      <c r="B61" s="509"/>
      <c r="C61" s="521" t="s">
        <v>2586</v>
      </c>
      <c r="D61" s="522"/>
      <c r="E61" s="522"/>
      <c r="F61" s="522"/>
      <c r="G61" s="522"/>
      <c r="H61" s="522"/>
      <c r="I61" s="522"/>
      <c r="J61" s="522"/>
      <c r="K61" s="522"/>
      <c r="L61" s="523"/>
      <c r="M61" s="524"/>
      <c r="N61" s="1150"/>
      <c r="O61" s="1150"/>
      <c r="P61" s="2617"/>
      <c r="Q61" s="503"/>
    </row>
    <row r="62" spans="1:29" s="116" customFormat="1" ht="15.75" thickBot="1">
      <c r="A62" s="520"/>
      <c r="B62" s="509"/>
      <c r="C62" s="510">
        <v>100</v>
      </c>
      <c r="D62" s="511"/>
      <c r="E62" s="511"/>
      <c r="F62" s="511"/>
      <c r="G62" s="511"/>
      <c r="H62" s="511"/>
      <c r="I62" s="511"/>
      <c r="J62" s="511"/>
      <c r="K62" s="511"/>
      <c r="L62" s="511"/>
      <c r="M62" s="513"/>
      <c r="N62" s="1150"/>
      <c r="O62" s="1150"/>
      <c r="P62" s="2616"/>
      <c r="Q62" s="503"/>
    </row>
    <row r="63" spans="1:29">
      <c r="A63" s="526" t="s">
        <v>2587</v>
      </c>
      <c r="B63" s="527" t="s">
        <v>2553</v>
      </c>
      <c r="C63" s="528">
        <f>C9</f>
        <v>0</v>
      </c>
      <c r="D63" s="529"/>
      <c r="E63" s="529"/>
      <c r="F63" s="529"/>
      <c r="G63" s="529"/>
      <c r="H63" s="529"/>
      <c r="I63" s="529"/>
      <c r="J63" s="529"/>
      <c r="K63" s="530"/>
      <c r="L63" s="531"/>
      <c r="M63" s="532"/>
      <c r="N63" s="1151"/>
      <c r="O63" s="1151"/>
      <c r="P63" s="2618"/>
      <c r="Q63" s="503"/>
    </row>
    <row r="64" spans="1:29" ht="15.75" thickBot="1">
      <c r="A64" s="533"/>
      <c r="B64" s="534"/>
      <c r="C64" s="535">
        <v>100</v>
      </c>
      <c r="D64" s="535"/>
      <c r="E64" s="535"/>
      <c r="F64" s="535"/>
      <c r="G64" s="535"/>
      <c r="H64" s="535"/>
      <c r="I64" s="535"/>
      <c r="J64" s="535"/>
      <c r="K64" s="535"/>
      <c r="L64" s="535"/>
      <c r="M64" s="536"/>
      <c r="N64" s="1152"/>
      <c r="O64" s="1152"/>
      <c r="P64" s="2618"/>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1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18"/>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8"/>
      <c r="Q67" s="503"/>
    </row>
    <row r="68" spans="1:17" ht="15">
      <c r="A68" s="533"/>
      <c r="B68" s="547"/>
      <c r="C68" s="548"/>
      <c r="D68" s="548"/>
      <c r="E68" s="548"/>
      <c r="F68" s="548"/>
      <c r="G68" s="548"/>
      <c r="H68" s="548"/>
      <c r="I68" s="548"/>
      <c r="J68" s="548"/>
      <c r="K68" s="549"/>
      <c r="L68" s="550"/>
      <c r="M68" s="551"/>
      <c r="N68" s="1151"/>
      <c r="O68" s="1151"/>
      <c r="P68" s="261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18"/>
      <c r="Q69" s="503"/>
    </row>
    <row r="70" spans="1:17" s="470" customFormat="1" ht="15.75" thickTop="1">
      <c r="A70" s="552"/>
      <c r="B70" s="537">
        <f>B12</f>
        <v>111</v>
      </c>
      <c r="C70" s="553"/>
      <c r="D70" s="553"/>
      <c r="E70" s="553"/>
      <c r="F70" s="553"/>
      <c r="G70" s="553"/>
      <c r="H70" s="554"/>
      <c r="I70" s="554"/>
      <c r="J70" s="554"/>
      <c r="K70" s="554"/>
      <c r="L70" s="555"/>
      <c r="M70" s="556"/>
      <c r="N70" s="1153"/>
      <c r="O70" s="1153"/>
      <c r="P70" s="2619"/>
      <c r="Q70" s="558"/>
    </row>
    <row r="71" spans="1:17" s="470" customFormat="1" ht="15.75" thickBot="1">
      <c r="A71" s="552"/>
      <c r="B71" s="542"/>
      <c r="C71" s="559"/>
      <c r="D71" s="535"/>
      <c r="E71" s="535"/>
      <c r="F71" s="535"/>
      <c r="G71" s="535"/>
      <c r="H71" s="535"/>
      <c r="I71" s="535"/>
      <c r="J71" s="535"/>
      <c r="K71" s="535"/>
      <c r="L71" s="535"/>
      <c r="M71" s="536"/>
      <c r="N71" s="1152"/>
      <c r="O71" s="1152"/>
      <c r="P71" s="2619"/>
      <c r="Q71" s="558"/>
    </row>
    <row r="72" spans="1:17" s="470" customFormat="1" ht="15.75" thickTop="1">
      <c r="A72" s="552"/>
      <c r="B72" s="537">
        <f>B13</f>
        <v>111</v>
      </c>
      <c r="C72" s="553"/>
      <c r="D72" s="553"/>
      <c r="E72" s="553"/>
      <c r="F72" s="553"/>
      <c r="G72" s="553"/>
      <c r="H72" s="554"/>
      <c r="I72" s="554"/>
      <c r="J72" s="554"/>
      <c r="K72" s="554"/>
      <c r="L72" s="555"/>
      <c r="M72" s="556"/>
      <c r="N72" s="1153"/>
      <c r="O72" s="1153"/>
      <c r="P72" s="2620"/>
      <c r="Q72" s="560"/>
    </row>
    <row r="73" spans="1:17" s="470" customFormat="1" ht="15.75" thickBot="1">
      <c r="A73" s="552"/>
      <c r="B73" s="542"/>
      <c r="C73" s="559"/>
      <c r="D73" s="559"/>
      <c r="E73" s="559"/>
      <c r="F73" s="559"/>
      <c r="G73" s="559"/>
      <c r="H73" s="561"/>
      <c r="I73" s="561"/>
      <c r="J73" s="561"/>
      <c r="K73" s="561"/>
      <c r="L73" s="561"/>
      <c r="M73" s="562"/>
      <c r="N73" s="1153"/>
      <c r="O73" s="1153"/>
      <c r="P73" s="2619"/>
      <c r="Q73" s="558"/>
    </row>
    <row r="74" spans="1:17" s="470" customFormat="1" ht="15.75" thickTop="1">
      <c r="A74" s="552"/>
      <c r="B74" s="545">
        <f>B14</f>
        <v>111</v>
      </c>
      <c r="C74" s="553"/>
      <c r="D74" s="553"/>
      <c r="E74" s="553"/>
      <c r="F74" s="553"/>
      <c r="G74" s="522"/>
      <c r="H74" s="563"/>
      <c r="I74" s="563"/>
      <c r="J74" s="563"/>
      <c r="K74" s="563"/>
      <c r="L74" s="564"/>
      <c r="M74" s="565"/>
      <c r="N74" s="1153"/>
      <c r="O74" s="1153"/>
      <c r="P74" s="2621"/>
      <c r="Q74" s="558"/>
    </row>
    <row r="75" spans="1:17" s="470" customFormat="1" ht="15.75" thickBot="1">
      <c r="A75" s="567"/>
      <c r="B75" s="568"/>
      <c r="C75" s="569"/>
      <c r="D75" s="569"/>
      <c r="E75" s="569"/>
      <c r="F75" s="569"/>
      <c r="G75" s="569"/>
      <c r="H75" s="570"/>
      <c r="I75" s="570"/>
      <c r="J75" s="570"/>
      <c r="K75" s="570"/>
      <c r="L75" s="570"/>
      <c r="M75" s="571"/>
      <c r="N75" s="1153"/>
      <c r="O75" s="1153"/>
      <c r="P75" s="2619"/>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18"/>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1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18"/>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1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18"/>
      <c r="Q81" s="503"/>
    </row>
    <row r="82" spans="1:17" ht="15.75" thickTop="1">
      <c r="A82" s="533"/>
      <c r="B82" s="545" t="s">
        <v>2096</v>
      </c>
      <c r="C82" s="538" t="s">
        <v>2603</v>
      </c>
      <c r="D82" s="538" t="s">
        <v>2604</v>
      </c>
      <c r="E82" s="538" t="s">
        <v>2605</v>
      </c>
      <c r="F82" s="538" t="s">
        <v>2606</v>
      </c>
      <c r="G82" s="538" t="s">
        <v>2607</v>
      </c>
      <c r="H82" s="538"/>
      <c r="I82" s="538"/>
      <c r="J82" s="538"/>
      <c r="K82" s="538"/>
      <c r="L82" s="538"/>
      <c r="M82" s="1378"/>
      <c r="N82" s="1152"/>
      <c r="O82" s="1152"/>
      <c r="P82" s="261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18"/>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1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18"/>
      <c r="Q85" s="503"/>
    </row>
    <row r="86" spans="1:17" s="116" customFormat="1" ht="15.75" thickTop="1">
      <c r="A86" s="578"/>
      <c r="B86" s="537" t="s">
        <v>2609</v>
      </c>
      <c r="C86" s="553"/>
      <c r="D86" s="553"/>
      <c r="E86" s="553"/>
      <c r="F86" s="553"/>
      <c r="G86" s="553"/>
      <c r="H86" s="553"/>
      <c r="I86" s="553"/>
      <c r="J86" s="553"/>
      <c r="K86" s="553"/>
      <c r="L86" s="579"/>
      <c r="M86" s="580"/>
      <c r="N86" s="1150"/>
      <c r="O86" s="1150"/>
      <c r="P86" s="261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8"/>
      <c r="Q87" s="503"/>
    </row>
    <row r="88" spans="1:17" s="116" customFormat="1" ht="15.75" thickTop="1">
      <c r="A88" s="578"/>
      <c r="B88" s="537" t="s">
        <v>2610</v>
      </c>
      <c r="C88" s="553"/>
      <c r="D88" s="553"/>
      <c r="E88" s="553"/>
      <c r="F88" s="2623"/>
      <c r="G88" s="553"/>
      <c r="H88" s="553"/>
      <c r="I88" s="553"/>
      <c r="J88" s="553"/>
      <c r="K88" s="553"/>
      <c r="L88" s="553"/>
      <c r="M88" s="580"/>
      <c r="N88" s="1150"/>
      <c r="O88" s="1150"/>
      <c r="P88" s="261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8"/>
      <c r="Q89" s="503"/>
    </row>
    <row r="90" spans="1:17" s="470" customFormat="1" ht="15.75" thickTop="1">
      <c r="A90" s="552"/>
      <c r="B90" s="537">
        <f>B27</f>
        <v>111</v>
      </c>
      <c r="C90" s="553"/>
      <c r="D90" s="553"/>
      <c r="E90" s="553"/>
      <c r="F90" s="553"/>
      <c r="G90" s="553"/>
      <c r="H90" s="554"/>
      <c r="I90" s="554"/>
      <c r="J90" s="554"/>
      <c r="K90" s="554"/>
      <c r="L90" s="555"/>
      <c r="M90" s="556"/>
      <c r="N90" s="1153"/>
      <c r="O90" s="1153"/>
      <c r="P90" s="2619"/>
      <c r="Q90" s="558"/>
    </row>
    <row r="91" spans="1:17" s="470" customFormat="1" ht="15.75" thickBot="1">
      <c r="A91" s="552"/>
      <c r="B91" s="542"/>
      <c r="C91" s="559"/>
      <c r="D91" s="559"/>
      <c r="E91" s="559"/>
      <c r="F91" s="559"/>
      <c r="G91" s="559"/>
      <c r="H91" s="561"/>
      <c r="I91" s="561"/>
      <c r="J91" s="561"/>
      <c r="K91" s="561"/>
      <c r="L91" s="561"/>
      <c r="M91" s="562"/>
      <c r="N91" s="1153"/>
      <c r="O91" s="1153"/>
      <c r="P91" s="2619"/>
      <c r="Q91" s="558"/>
    </row>
    <row r="92" spans="1:17" ht="15.75" thickTop="1">
      <c r="A92" s="533"/>
      <c r="B92" s="537">
        <f>B28</f>
        <v>111</v>
      </c>
      <c r="C92" s="553"/>
      <c r="D92" s="553"/>
      <c r="E92" s="553"/>
      <c r="F92" s="553"/>
      <c r="G92" s="582"/>
      <c r="H92" s="582"/>
      <c r="I92" s="582"/>
      <c r="J92" s="582"/>
      <c r="K92" s="583"/>
      <c r="L92" s="584"/>
      <c r="M92" s="585"/>
      <c r="N92" s="1151"/>
      <c r="O92" s="1151"/>
      <c r="P92" s="2618"/>
      <c r="Q92" s="503"/>
    </row>
    <row r="93" spans="1:17" ht="15.75" thickBot="1">
      <c r="A93" s="533"/>
      <c r="B93" s="542"/>
      <c r="C93" s="559"/>
      <c r="D93" s="535"/>
      <c r="E93" s="535"/>
      <c r="F93" s="535"/>
      <c r="G93" s="535"/>
      <c r="H93" s="535"/>
      <c r="I93" s="535"/>
      <c r="J93" s="535"/>
      <c r="K93" s="535"/>
      <c r="L93" s="535"/>
      <c r="M93" s="536"/>
      <c r="N93" s="1152"/>
      <c r="O93" s="1152"/>
      <c r="P93" s="2618"/>
      <c r="Q93" s="503"/>
    </row>
    <row r="94" spans="1:17" ht="15.75" thickTop="1">
      <c r="A94" s="533"/>
      <c r="B94" s="537">
        <f>B29</f>
        <v>111</v>
      </c>
      <c r="C94" s="553"/>
      <c r="D94" s="553"/>
      <c r="E94" s="553"/>
      <c r="F94" s="553"/>
      <c r="G94" s="582"/>
      <c r="H94" s="582"/>
      <c r="I94" s="582"/>
      <c r="J94" s="582"/>
      <c r="K94" s="583"/>
      <c r="L94" s="584"/>
      <c r="M94" s="585"/>
      <c r="N94" s="1151"/>
      <c r="O94" s="1151"/>
      <c r="P94" s="2618"/>
      <c r="Q94" s="503"/>
    </row>
    <row r="95" spans="1:17" ht="15.75" thickBot="1">
      <c r="A95" s="533"/>
      <c r="B95" s="542"/>
      <c r="C95" s="559"/>
      <c r="D95" s="559"/>
      <c r="E95" s="559"/>
      <c r="F95" s="559"/>
      <c r="G95" s="535"/>
      <c r="H95" s="535"/>
      <c r="I95" s="535"/>
      <c r="J95" s="535"/>
      <c r="K95" s="535"/>
      <c r="L95" s="535"/>
      <c r="M95" s="536"/>
      <c r="N95" s="1152"/>
      <c r="O95" s="1152"/>
      <c r="P95" s="2618"/>
      <c r="Q95" s="503"/>
    </row>
    <row r="96" spans="1:17" ht="15.75" thickTop="1">
      <c r="A96" s="533"/>
      <c r="B96" s="537">
        <f>B30</f>
        <v>111</v>
      </c>
      <c r="C96" s="553"/>
      <c r="D96" s="553"/>
      <c r="E96" s="553"/>
      <c r="F96" s="553"/>
      <c r="G96" s="582"/>
      <c r="H96" s="582"/>
      <c r="I96" s="582"/>
      <c r="J96" s="582"/>
      <c r="K96" s="583"/>
      <c r="L96" s="584"/>
      <c r="M96" s="585"/>
      <c r="N96" s="1151"/>
      <c r="O96" s="1151"/>
      <c r="P96" s="2618"/>
      <c r="Q96" s="503"/>
    </row>
    <row r="97" spans="1:17" ht="15.75" thickBot="1">
      <c r="A97" s="533"/>
      <c r="B97" s="542"/>
      <c r="C97" s="569"/>
      <c r="D97" s="569"/>
      <c r="E97" s="569"/>
      <c r="F97" s="569"/>
      <c r="G97" s="535"/>
      <c r="H97" s="535"/>
      <c r="I97" s="535"/>
      <c r="J97" s="535"/>
      <c r="K97" s="535"/>
      <c r="L97" s="535"/>
      <c r="M97" s="536"/>
      <c r="N97" s="1152"/>
      <c r="O97" s="1152"/>
      <c r="P97" s="2618"/>
      <c r="Q97" s="503"/>
    </row>
    <row r="98" spans="1:17" ht="15.75" thickTop="1">
      <c r="A98" s="533"/>
      <c r="B98" s="545">
        <f>B31</f>
        <v>111</v>
      </c>
      <c r="C98" s="586"/>
      <c r="D98" s="586"/>
      <c r="E98" s="586"/>
      <c r="F98" s="586"/>
      <c r="G98" s="586"/>
      <c r="H98" s="586"/>
      <c r="I98" s="586"/>
      <c r="J98" s="586"/>
      <c r="K98" s="587"/>
      <c r="L98" s="588"/>
      <c r="M98" s="589"/>
      <c r="N98" s="1151"/>
      <c r="O98" s="1151"/>
      <c r="P98" s="2618"/>
      <c r="Q98" s="503"/>
    </row>
    <row r="99" spans="1:17" ht="15.75" thickBot="1">
      <c r="A99" s="2624"/>
      <c r="B99" s="568"/>
      <c r="C99" s="590"/>
      <c r="D99" s="590"/>
      <c r="E99" s="590"/>
      <c r="F99" s="590"/>
      <c r="G99" s="590"/>
      <c r="H99" s="590"/>
      <c r="I99" s="590"/>
      <c r="J99" s="590"/>
      <c r="K99" s="590"/>
      <c r="L99" s="590"/>
      <c r="M99" s="591"/>
      <c r="N99" s="1152"/>
      <c r="O99" s="1152"/>
      <c r="P99" s="2618"/>
      <c r="Q99" s="503"/>
    </row>
    <row r="100" spans="1:17">
      <c r="A100" s="526" t="s">
        <v>2562</v>
      </c>
      <c r="B100" s="527" t="s">
        <v>2611</v>
      </c>
      <c r="C100" s="529"/>
      <c r="D100" s="529"/>
      <c r="E100" s="529"/>
      <c r="F100" s="529"/>
      <c r="G100" s="529"/>
      <c r="H100" s="529"/>
      <c r="I100" s="529"/>
      <c r="J100" s="529"/>
      <c r="K100" s="530"/>
      <c r="L100" s="531"/>
      <c r="M100" s="532"/>
      <c r="N100" s="1151"/>
      <c r="O100" s="1151"/>
      <c r="P100" s="261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18"/>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18"/>
      <c r="Q102" s="503"/>
    </row>
    <row r="103" spans="1:17" s="470" customFormat="1">
      <c r="A103" s="592"/>
      <c r="B103" s="593"/>
      <c r="C103" s="594"/>
      <c r="D103" s="594"/>
      <c r="E103" s="594"/>
      <c r="F103" s="594"/>
      <c r="G103" s="594"/>
      <c r="H103" s="594"/>
      <c r="I103" s="594"/>
      <c r="J103" s="595"/>
      <c r="K103" s="595"/>
      <c r="L103" s="596"/>
      <c r="M103" s="597"/>
      <c r="N103" s="1153"/>
      <c r="O103" s="1153"/>
      <c r="P103" s="2619"/>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19"/>
      <c r="Q104" s="558"/>
    </row>
    <row r="105" spans="1:17" ht="15" thickTop="1">
      <c r="A105" s="598"/>
      <c r="B105" s="537" t="s">
        <v>2613</v>
      </c>
      <c r="C105" s="553"/>
      <c r="D105" s="553"/>
      <c r="E105" s="582"/>
      <c r="F105" s="582"/>
      <c r="G105" s="582"/>
      <c r="H105" s="582"/>
      <c r="I105" s="582"/>
      <c r="J105" s="582"/>
      <c r="K105" s="583"/>
      <c r="L105" s="584"/>
      <c r="M105" s="585"/>
      <c r="N105" s="1151"/>
      <c r="O105" s="1151"/>
      <c r="P105" s="261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18"/>
      <c r="Q106" s="503"/>
    </row>
    <row r="107" spans="1:17" ht="15" thickTop="1">
      <c r="A107" s="598"/>
      <c r="B107" s="537" t="s">
        <v>2614</v>
      </c>
      <c r="C107" s="582"/>
      <c r="D107" s="582"/>
      <c r="E107" s="582"/>
      <c r="F107" s="582"/>
      <c r="G107" s="582"/>
      <c r="H107" s="582"/>
      <c r="I107" s="582"/>
      <c r="J107" s="582"/>
      <c r="K107" s="583"/>
      <c r="L107" s="584"/>
      <c r="M107" s="585"/>
      <c r="N107" s="1151"/>
      <c r="O107" s="1151"/>
      <c r="P107" s="261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18"/>
      <c r="Q108" s="503"/>
    </row>
    <row r="109" spans="1:17" ht="15" thickTop="1">
      <c r="A109" s="598"/>
      <c r="B109" s="537" t="s">
        <v>2615</v>
      </c>
      <c r="C109" s="553"/>
      <c r="D109" s="553"/>
      <c r="E109" s="553"/>
      <c r="F109" s="582"/>
      <c r="G109" s="582"/>
      <c r="H109" s="582"/>
      <c r="I109" s="582"/>
      <c r="J109" s="582"/>
      <c r="K109" s="583"/>
      <c r="L109" s="584"/>
      <c r="M109" s="585"/>
      <c r="N109" s="1151"/>
      <c r="O109" s="1151"/>
      <c r="P109" s="261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18"/>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19"/>
      <c r="Q113" s="558"/>
    </row>
    <row r="114" spans="1:17" ht="15" thickTop="1">
      <c r="A114" s="598"/>
      <c r="B114" s="537" t="s">
        <v>2616</v>
      </c>
      <c r="C114" s="553"/>
      <c r="D114" s="553"/>
      <c r="E114" s="582"/>
      <c r="F114" s="582"/>
      <c r="G114" s="582"/>
      <c r="H114" s="582"/>
      <c r="I114" s="582"/>
      <c r="J114" s="582"/>
      <c r="K114" s="583"/>
      <c r="L114" s="584"/>
      <c r="M114" s="585"/>
      <c r="N114" s="1151"/>
      <c r="O114" s="1151"/>
      <c r="P114" s="261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18"/>
      <c r="Q115" s="503"/>
    </row>
    <row r="116" spans="1:17" ht="15" thickTop="1">
      <c r="A116" s="598"/>
      <c r="B116" s="537" t="s">
        <v>2617</v>
      </c>
      <c r="C116" s="553"/>
      <c r="D116" s="553"/>
      <c r="E116" s="553"/>
      <c r="F116" s="553"/>
      <c r="G116" s="553"/>
      <c r="H116" s="582"/>
      <c r="I116" s="582"/>
      <c r="J116" s="582"/>
      <c r="K116" s="583"/>
      <c r="L116" s="584"/>
      <c r="M116" s="585"/>
      <c r="N116" s="1151"/>
      <c r="O116" s="1151"/>
      <c r="P116" s="261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18"/>
      <c r="Q117" s="503"/>
    </row>
    <row r="118" spans="1:17" ht="15" thickTop="1">
      <c r="A118" s="598"/>
      <c r="B118" s="537" t="s">
        <v>2618</v>
      </c>
      <c r="C118" s="582"/>
      <c r="D118" s="582"/>
      <c r="E118" s="582"/>
      <c r="F118" s="582"/>
      <c r="G118" s="582"/>
      <c r="H118" s="582"/>
      <c r="I118" s="582"/>
      <c r="J118" s="582"/>
      <c r="K118" s="583"/>
      <c r="L118" s="584"/>
      <c r="M118" s="585"/>
      <c r="N118" s="1151"/>
      <c r="O118" s="1151"/>
      <c r="P118" s="261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18"/>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19"/>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9"/>
      <c r="Q121" s="558"/>
    </row>
    <row r="122" spans="1:17" ht="15" thickTop="1">
      <c r="A122" s="598"/>
      <c r="B122" s="537" t="s">
        <v>2619</v>
      </c>
      <c r="C122" s="553"/>
      <c r="D122" s="553"/>
      <c r="E122" s="553"/>
      <c r="F122" s="582"/>
      <c r="G122" s="582"/>
      <c r="H122" s="582"/>
      <c r="I122" s="582"/>
      <c r="J122" s="582"/>
      <c r="K122" s="583"/>
      <c r="L122" s="584"/>
      <c r="M122" s="585"/>
      <c r="N122" s="1151"/>
      <c r="O122" s="1151"/>
      <c r="P122" s="261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18"/>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1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1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9"/>
      <c r="Q127" s="558"/>
    </row>
    <row r="128" spans="1:17" ht="15" thickTop="1">
      <c r="A128" s="598"/>
      <c r="B128" s="537">
        <f>B45</f>
        <v>111</v>
      </c>
      <c r="C128" s="553"/>
      <c r="D128" s="553"/>
      <c r="E128" s="553"/>
      <c r="F128" s="553"/>
      <c r="G128" s="582"/>
      <c r="H128" s="582"/>
      <c r="I128" s="582"/>
      <c r="J128" s="582"/>
      <c r="K128" s="583"/>
      <c r="L128" s="584"/>
      <c r="M128" s="585"/>
      <c r="N128" s="1151"/>
      <c r="O128" s="1151"/>
      <c r="P128" s="2618"/>
      <c r="Q128" s="503"/>
    </row>
    <row r="129" spans="1:17" ht="15.75" thickBot="1">
      <c r="A129" s="533"/>
      <c r="B129" s="542"/>
      <c r="C129" s="559"/>
      <c r="D129" s="559"/>
      <c r="E129" s="559"/>
      <c r="F129" s="559"/>
      <c r="G129" s="535"/>
      <c r="H129" s="535"/>
      <c r="I129" s="535"/>
      <c r="J129" s="535"/>
      <c r="K129" s="535"/>
      <c r="L129" s="535"/>
      <c r="M129" s="536"/>
      <c r="N129" s="1152"/>
      <c r="O129" s="1152"/>
      <c r="P129" s="2618"/>
      <c r="Q129" s="503"/>
    </row>
    <row r="130" spans="1:17" ht="15" thickTop="1">
      <c r="A130" s="598"/>
      <c r="B130" s="545">
        <f>B46</f>
        <v>111</v>
      </c>
      <c r="C130" s="553"/>
      <c r="D130" s="553"/>
      <c r="E130" s="553"/>
      <c r="F130" s="553"/>
      <c r="G130" s="586"/>
      <c r="H130" s="586"/>
      <c r="I130" s="586"/>
      <c r="J130" s="586"/>
      <c r="K130" s="522"/>
      <c r="L130" s="523"/>
      <c r="M130" s="589"/>
      <c r="N130" s="1151"/>
      <c r="O130" s="1151"/>
      <c r="P130" s="2618"/>
      <c r="Q130" s="503"/>
    </row>
    <row r="131" spans="1:17" ht="15.75" thickBot="1">
      <c r="A131" s="2624"/>
      <c r="B131" s="568"/>
      <c r="C131" s="569"/>
      <c r="D131" s="569"/>
      <c r="E131" s="569"/>
      <c r="F131" s="569"/>
      <c r="G131" s="590"/>
      <c r="H131" s="590"/>
      <c r="I131" s="590"/>
      <c r="J131" s="590"/>
      <c r="K131" s="590"/>
      <c r="L131" s="590"/>
      <c r="M131" s="591"/>
      <c r="N131" s="1152"/>
      <c r="O131" s="1152"/>
      <c r="P131" s="2618"/>
      <c r="Q131" s="503"/>
    </row>
    <row r="136" spans="1:17" ht="15" thickBot="1">
      <c r="B136" s="2625" t="s">
        <v>2621</v>
      </c>
    </row>
    <row r="137" spans="1:17" ht="15">
      <c r="B137" s="2626" t="s">
        <v>2622</v>
      </c>
      <c r="C137" s="2627"/>
      <c r="D137" s="2627"/>
      <c r="E137" s="2627"/>
      <c r="F137" s="2627"/>
      <c r="G137" s="2628"/>
      <c r="H137" s="2629"/>
      <c r="I137" s="2630" t="s">
        <v>2623</v>
      </c>
      <c r="J137" s="2627"/>
      <c r="K137" s="2631"/>
    </row>
    <row r="138" spans="1:17" ht="15">
      <c r="B138" s="2632"/>
      <c r="C138" s="145" t="s">
        <v>2624</v>
      </c>
      <c r="D138" s="145" t="s">
        <v>2625</v>
      </c>
      <c r="E138" s="2633" t="s">
        <v>2626</v>
      </c>
      <c r="F138" s="2634" t="s">
        <v>2627</v>
      </c>
      <c r="G138" s="145" t="s">
        <v>2625</v>
      </c>
      <c r="H138" s="146" t="s">
        <v>2626</v>
      </c>
      <c r="I138" s="2635"/>
      <c r="J138" s="145" t="s">
        <v>2628</v>
      </c>
      <c r="K138" s="146" t="s">
        <v>2629</v>
      </c>
    </row>
    <row r="139" spans="1:17" ht="15">
      <c r="B139" s="1083">
        <v>6</v>
      </c>
      <c r="C139" s="1084">
        <v>96</v>
      </c>
      <c r="D139" s="2636" t="s">
        <v>2630</v>
      </c>
      <c r="E139" s="1085">
        <v>100</v>
      </c>
      <c r="F139" s="1086">
        <v>102.5</v>
      </c>
      <c r="G139" s="2636" t="s">
        <v>2630</v>
      </c>
      <c r="H139" s="1087">
        <v>105</v>
      </c>
      <c r="I139" s="2637" t="s">
        <v>2631</v>
      </c>
      <c r="J139" s="1084">
        <v>20</v>
      </c>
      <c r="K139" s="1088">
        <f>C145/(J139-2)</f>
        <v>4.0555555555555553E-3</v>
      </c>
    </row>
    <row r="140" spans="1:17" ht="15">
      <c r="B140" s="1089">
        <v>5</v>
      </c>
      <c r="C140" s="1090">
        <v>100</v>
      </c>
      <c r="D140" s="1090"/>
      <c r="E140" s="1091"/>
      <c r="F140" s="1092">
        <v>102</v>
      </c>
      <c r="G140" s="1090"/>
      <c r="H140" s="1093"/>
      <c r="I140" s="2638" t="s">
        <v>2632</v>
      </c>
      <c r="J140" s="314">
        <f>ROUNDUP((J139-1)/2,0)</f>
        <v>10</v>
      </c>
      <c r="K140" s="1094">
        <v>100</v>
      </c>
    </row>
    <row r="141" spans="1:17" ht="15">
      <c r="B141" s="1089">
        <v>4</v>
      </c>
      <c r="C141" s="1090">
        <v>102</v>
      </c>
      <c r="D141" s="1090"/>
      <c r="E141" s="1091"/>
      <c r="F141" s="1092">
        <v>101.5</v>
      </c>
      <c r="G141" s="1090"/>
      <c r="H141" s="1093"/>
      <c r="I141" s="2638" t="s">
        <v>2633</v>
      </c>
      <c r="J141" s="314">
        <v>1</v>
      </c>
      <c r="K141" s="1095">
        <f>ROUND(100+(J141-J140)*K139*100,1)</f>
        <v>96.4</v>
      </c>
    </row>
    <row r="142" spans="1:17" ht="15">
      <c r="B142" s="1089">
        <v>3</v>
      </c>
      <c r="C142" s="1090">
        <v>103</v>
      </c>
      <c r="D142" s="1090"/>
      <c r="E142" s="1091"/>
      <c r="F142" s="1092">
        <v>101</v>
      </c>
      <c r="G142" s="1090"/>
      <c r="H142" s="1093"/>
      <c r="I142" s="2638" t="s">
        <v>2634</v>
      </c>
      <c r="J142" s="314">
        <f>J139</f>
        <v>20</v>
      </c>
      <c r="K142" s="1096">
        <v>95</v>
      </c>
    </row>
    <row r="143" spans="1:17" ht="15">
      <c r="B143" s="1089">
        <v>2</v>
      </c>
      <c r="C143" s="1090">
        <v>100</v>
      </c>
      <c r="D143" s="1090"/>
      <c r="E143" s="1091"/>
      <c r="F143" s="1092">
        <v>100.5</v>
      </c>
      <c r="G143" s="1090"/>
      <c r="H143" s="1093"/>
      <c r="I143" s="2638" t="s">
        <v>2635</v>
      </c>
      <c r="J143" s="1090">
        <v>15</v>
      </c>
      <c r="K143" s="1095">
        <f>ROUND(100+(J143-J140)*K139*100,1)</f>
        <v>102</v>
      </c>
    </row>
    <row r="144" spans="1:17" ht="15">
      <c r="B144" s="1089">
        <v>1</v>
      </c>
      <c r="C144" s="1090">
        <v>98</v>
      </c>
      <c r="D144" s="2639" t="s">
        <v>2636</v>
      </c>
      <c r="E144" s="1091">
        <v>102</v>
      </c>
      <c r="F144" s="1097">
        <v>100</v>
      </c>
      <c r="G144" s="2639" t="s">
        <v>2636</v>
      </c>
      <c r="H144" s="1093">
        <v>105</v>
      </c>
      <c r="I144" s="2638" t="s">
        <v>2635</v>
      </c>
      <c r="J144" s="1090">
        <v>18</v>
      </c>
      <c r="K144" s="1095">
        <f>ROUND(100+(J144-J140)*K139*100,1)</f>
        <v>103.2</v>
      </c>
    </row>
    <row r="145" spans="2:11" ht="15.75" thickBot="1">
      <c r="B145" s="2640" t="s">
        <v>2637</v>
      </c>
      <c r="C145" s="1098">
        <f>ROUND(MAX(C139:C144)/MIN(C139:C144)-1,3)</f>
        <v>7.2999999999999995E-2</v>
      </c>
      <c r="D145" s="1099"/>
      <c r="E145" s="1099"/>
      <c r="F145" s="2641" t="s">
        <v>2638</v>
      </c>
      <c r="G145" s="2642"/>
      <c r="H145" s="2643"/>
      <c r="I145" s="2644" t="s">
        <v>2635</v>
      </c>
      <c r="J145" s="1100">
        <v>8</v>
      </c>
      <c r="K145" s="1101">
        <f>ROUND(100+(J145-J140)*K139*100,1)</f>
        <v>99.2</v>
      </c>
    </row>
    <row r="147" spans="2:11">
      <c r="B147" s="2625" t="s">
        <v>2639</v>
      </c>
    </row>
    <row r="148" spans="2:11">
      <c r="B148" s="262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875" style="402" customWidth="1"/>
    <col min="3"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875" style="1122" customWidth="1"/>
    <col min="17" max="17" width="19.5" style="402" customWidth="1"/>
    <col min="18" max="22" width="6.125" style="402" customWidth="1"/>
    <col min="23" max="23" width="5.875" style="402" customWidth="1"/>
    <col min="24" max="24" width="4.125" style="402" customWidth="1"/>
    <col min="25" max="25" width="3.5" style="402" customWidth="1"/>
    <col min="26" max="26" width="19.875" style="402" customWidth="1"/>
    <col min="27" max="28" width="9.375" style="402" customWidth="1"/>
    <col min="29" max="16384" width="9" style="402"/>
  </cols>
  <sheetData>
    <row r="1" spans="1:29" s="1625" customFormat="1" ht="28.5" customHeight="1" thickBot="1">
      <c r="A1" s="1614" t="s">
        <v>2527</v>
      </c>
      <c r="B1" s="2657" t="s">
        <v>2685</v>
      </c>
      <c r="C1" s="1616" t="s">
        <v>2529</v>
      </c>
      <c r="D1" s="1617"/>
      <c r="E1" s="1626"/>
      <c r="F1" s="2572"/>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IF(C2="——",ROUND(C50*D3/10000,0),ROUND(C50*D3/10000,0)-D2)</f>
        <v>#DIV/0!</v>
      </c>
      <c r="C2" s="2574"/>
      <c r="D2" s="1361" t="e">
        <f ca="1">SUMIF(INDIRECT("'"&amp;F2&amp;"'"&amp;"!A:A"),"承租人权益价值",INDIRECT("'"&amp;F2&amp;"'"&amp;"!c:c"))</f>
        <v>#REF!</v>
      </c>
      <c r="E2" s="2575" t="s">
        <v>2327</v>
      </c>
      <c r="F2" s="257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135636.54</v>
      </c>
      <c r="E3" s="265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591" t="s">
        <v>2645</v>
      </c>
      <c r="D4" s="3592"/>
      <c r="E4" s="3593" t="s">
        <v>2646</v>
      </c>
      <c r="F4" s="3594"/>
      <c r="G4" s="3591" t="s">
        <v>2647</v>
      </c>
      <c r="H4" s="3592"/>
      <c r="I4" s="3591" t="s">
        <v>2648</v>
      </c>
      <c r="J4" s="3592"/>
      <c r="K4" s="609" t="s">
        <v>2649</v>
      </c>
      <c r="L4" s="1129"/>
      <c r="M4" s="1130"/>
      <c r="N4" s="1130"/>
      <c r="O4" s="1130"/>
      <c r="P4" s="3678" t="s">
        <v>2650</v>
      </c>
      <c r="Q4" s="3679"/>
      <c r="R4" s="3673" t="s">
        <v>2646</v>
      </c>
      <c r="S4" s="3674"/>
      <c r="T4" s="3673" t="s">
        <v>2647</v>
      </c>
      <c r="U4" s="3674"/>
      <c r="V4" s="3682" t="s">
        <v>2648</v>
      </c>
      <c r="W4" s="3682"/>
      <c r="X4" s="2658"/>
      <c r="Y4" s="3673" t="s">
        <v>2650</v>
      </c>
      <c r="Z4" s="3674"/>
      <c r="AA4" s="3672" t="s">
        <v>2646</v>
      </c>
      <c r="AB4" s="3672" t="s">
        <v>2647</v>
      </c>
      <c r="AC4" s="3675" t="s">
        <v>2648</v>
      </c>
    </row>
    <row r="5" spans="1:29" ht="15">
      <c r="A5" s="403"/>
      <c r="B5" s="404"/>
      <c r="C5" s="3583" t="s">
        <v>2541</v>
      </c>
      <c r="D5" s="3584"/>
      <c r="E5" s="3671" t="s">
        <v>2542</v>
      </c>
      <c r="F5" s="3582"/>
      <c r="G5" s="3583" t="s">
        <v>2543</v>
      </c>
      <c r="H5" s="3584"/>
      <c r="I5" s="3583" t="s">
        <v>2544</v>
      </c>
      <c r="J5" s="3584"/>
      <c r="K5" s="609"/>
      <c r="L5" s="1129"/>
      <c r="M5" s="1130"/>
      <c r="N5" s="1130"/>
      <c r="O5" s="1130"/>
      <c r="P5" s="3680"/>
      <c r="Q5" s="3598"/>
      <c r="R5" s="3579"/>
      <c r="S5" s="3580"/>
      <c r="T5" s="3579"/>
      <c r="U5" s="3580"/>
      <c r="V5" s="3574"/>
      <c r="W5" s="3574"/>
      <c r="X5" s="1801"/>
      <c r="Y5" s="3579"/>
      <c r="Z5" s="3580"/>
      <c r="AA5" s="3572"/>
      <c r="AB5" s="3572"/>
      <c r="AC5" s="3676"/>
    </row>
    <row r="6" spans="1:29" ht="15.75" thickBot="1">
      <c r="A6" s="405"/>
      <c r="B6" s="406"/>
      <c r="C6" s="3585" t="s">
        <v>2545</v>
      </c>
      <c r="D6" s="3586"/>
      <c r="E6" s="3588" t="s">
        <v>2545</v>
      </c>
      <c r="F6" s="3589"/>
      <c r="G6" s="3585" t="s">
        <v>2545</v>
      </c>
      <c r="H6" s="3586"/>
      <c r="I6" s="3585" t="s">
        <v>2545</v>
      </c>
      <c r="J6" s="3586"/>
      <c r="K6" s="609" t="s">
        <v>2546</v>
      </c>
      <c r="L6" s="1129"/>
      <c r="M6" s="1130"/>
      <c r="N6" s="1130"/>
      <c r="O6" s="1130"/>
      <c r="P6" s="3681"/>
      <c r="Q6" s="3600"/>
      <c r="R6" s="3579"/>
      <c r="S6" s="3580"/>
      <c r="T6" s="3601"/>
      <c r="U6" s="3602"/>
      <c r="V6" s="3574"/>
      <c r="W6" s="3574"/>
      <c r="X6" s="1801"/>
      <c r="Y6" s="3601"/>
      <c r="Z6" s="3602"/>
      <c r="AA6" s="3573"/>
      <c r="AB6" s="3573"/>
      <c r="AC6" s="3677"/>
    </row>
    <row r="7" spans="1:29" s="116" customFormat="1" ht="15.75" thickBot="1">
      <c r="A7" s="407" t="s">
        <v>2547</v>
      </c>
      <c r="B7" s="408"/>
      <c r="C7" s="409">
        <f>'数据-取费表'!B2</f>
        <v>44011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683" t="s">
        <v>2548</v>
      </c>
      <c r="Q7" s="3603"/>
      <c r="R7" s="769" t="s">
        <v>17</v>
      </c>
      <c r="S7" s="770">
        <f t="shared" ref="S7:S15" si="0">F7</f>
        <v>0</v>
      </c>
      <c r="T7" s="769" t="s">
        <v>17</v>
      </c>
      <c r="U7" s="770">
        <f t="shared" ref="U7:U15" si="1">H7</f>
        <v>0</v>
      </c>
      <c r="V7" s="769" t="s">
        <v>17</v>
      </c>
      <c r="W7" s="770">
        <f t="shared" ref="W7:W15" si="2">J7</f>
        <v>0</v>
      </c>
      <c r="X7" s="771"/>
      <c r="Y7" s="3575" t="s">
        <v>2548</v>
      </c>
      <c r="Z7" s="3576"/>
      <c r="AA7" s="772" t="e">
        <f>D7/F7</f>
        <v>#DIV/0!</v>
      </c>
      <c r="AB7" s="772" t="e">
        <f>D7/H7</f>
        <v>#DIV/0!</v>
      </c>
      <c r="AC7" s="2659"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683" t="s">
        <v>2551</v>
      </c>
      <c r="Q8" s="3576"/>
      <c r="R8" s="769" t="s">
        <v>17</v>
      </c>
      <c r="S8" s="770">
        <f t="shared" si="0"/>
        <v>0</v>
      </c>
      <c r="T8" s="769" t="s">
        <v>17</v>
      </c>
      <c r="U8" s="770">
        <f t="shared" si="1"/>
        <v>0</v>
      </c>
      <c r="V8" s="769" t="s">
        <v>17</v>
      </c>
      <c r="W8" s="770">
        <f t="shared" si="2"/>
        <v>0</v>
      </c>
      <c r="X8" s="771"/>
      <c r="Y8" s="3575" t="s">
        <v>2551</v>
      </c>
      <c r="Z8" s="3576"/>
      <c r="AA8" s="772" t="e">
        <f t="shared" ref="AA8:AA47" si="3">D8/F8</f>
        <v>#DIV/0!</v>
      </c>
      <c r="AB8" s="772" t="e">
        <f t="shared" ref="AB8:AB47" si="4">D8/H8</f>
        <v>#DIV/0!</v>
      </c>
      <c r="AC8" s="2659" t="e">
        <f t="shared" ref="AC8:AC47" si="5">D8/J8</f>
        <v>#DIV/0!</v>
      </c>
    </row>
    <row r="9" spans="1:29" s="116" customFormat="1">
      <c r="A9" s="414" t="s">
        <v>2552</v>
      </c>
      <c r="B9" s="70"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590" t="s">
        <v>2554</v>
      </c>
      <c r="Q9" s="1783" t="str">
        <f t="shared" ref="Q9:Q15" si="6">B9</f>
        <v>用途</v>
      </c>
      <c r="R9" s="769" t="s">
        <v>17</v>
      </c>
      <c r="S9" s="770">
        <f t="shared" si="0"/>
        <v>100</v>
      </c>
      <c r="T9" s="769" t="s">
        <v>17</v>
      </c>
      <c r="U9" s="770">
        <f t="shared" si="1"/>
        <v>100</v>
      </c>
      <c r="V9" s="769" t="s">
        <v>17</v>
      </c>
      <c r="W9" s="770">
        <f t="shared" si="2"/>
        <v>100</v>
      </c>
      <c r="X9" s="771"/>
      <c r="Y9" s="3335" t="s">
        <v>2555</v>
      </c>
      <c r="Z9" s="55" t="str">
        <f t="shared" ref="Z9:Z15" si="7">Q9</f>
        <v>用途</v>
      </c>
      <c r="AA9" s="772">
        <f t="shared" si="3"/>
        <v>1</v>
      </c>
      <c r="AB9" s="772">
        <f t="shared" si="4"/>
        <v>1</v>
      </c>
      <c r="AC9" s="2659">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590"/>
      <c r="Q10" s="1783" t="str">
        <f t="shared" si="6"/>
        <v>土地使用年限（年）</v>
      </c>
      <c r="R10" s="769" t="s">
        <v>17</v>
      </c>
      <c r="S10" s="770">
        <f t="shared" si="0"/>
        <v>100</v>
      </c>
      <c r="T10" s="769" t="s">
        <v>17</v>
      </c>
      <c r="U10" s="770">
        <f t="shared" si="1"/>
        <v>100</v>
      </c>
      <c r="V10" s="769" t="s">
        <v>17</v>
      </c>
      <c r="W10" s="770">
        <f t="shared" si="2"/>
        <v>100</v>
      </c>
      <c r="X10" s="771"/>
      <c r="Y10" s="3335"/>
      <c r="Z10" s="55" t="str">
        <f t="shared" si="7"/>
        <v>土地使用年限（年）</v>
      </c>
      <c r="AA10" s="772">
        <f t="shared" si="3"/>
        <v>1</v>
      </c>
      <c r="AB10" s="772">
        <f t="shared" si="4"/>
        <v>1</v>
      </c>
      <c r="AC10" s="2659">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590"/>
      <c r="Q11" s="1783" t="str">
        <f t="shared" si="6"/>
        <v>容积率</v>
      </c>
      <c r="R11" s="769" t="s">
        <v>17</v>
      </c>
      <c r="S11" s="770" t="e">
        <f t="shared" si="0"/>
        <v>#N/A</v>
      </c>
      <c r="T11" s="769" t="s">
        <v>17</v>
      </c>
      <c r="U11" s="770" t="e">
        <f t="shared" si="1"/>
        <v>#N/A</v>
      </c>
      <c r="V11" s="769" t="s">
        <v>17</v>
      </c>
      <c r="W11" s="770" t="e">
        <f t="shared" si="2"/>
        <v>#N/A</v>
      </c>
      <c r="X11" s="771"/>
      <c r="Y11" s="3335"/>
      <c r="Z11" s="55" t="str">
        <f t="shared" si="7"/>
        <v>容积率</v>
      </c>
      <c r="AA11" s="772" t="e">
        <f t="shared" si="3"/>
        <v>#N/A</v>
      </c>
      <c r="AB11" s="772" t="e">
        <f t="shared" si="4"/>
        <v>#N/A</v>
      </c>
      <c r="AC11" s="2659" t="e">
        <f t="shared" si="5"/>
        <v>#N/A</v>
      </c>
    </row>
    <row r="12" spans="1:29" s="116" customFormat="1" ht="15">
      <c r="A12" s="430"/>
      <c r="B12" s="2588">
        <v>111</v>
      </c>
      <c r="C12" s="431"/>
      <c r="D12" s="432">
        <v>100</v>
      </c>
      <c r="E12" s="431"/>
      <c r="F12" s="135">
        <f>SUMIF(71:71,E12,72:72)-SUMIF(71:71,C12,72:72)+100</f>
        <v>100</v>
      </c>
      <c r="G12" s="2660"/>
      <c r="H12" s="135">
        <f>SUMIF(71:71,G12,72:72)-SUMIF(71:71,C12,72:72)+100</f>
        <v>100</v>
      </c>
      <c r="I12" s="431"/>
      <c r="J12" s="135">
        <f>SUMIF(71:71,I12,72:72)-SUMIF(71:71,C12,72:72)+100</f>
        <v>100</v>
      </c>
      <c r="K12" s="612"/>
      <c r="L12" s="1131"/>
      <c r="M12" s="1132"/>
      <c r="N12" s="1132"/>
      <c r="O12" s="1132"/>
      <c r="P12" s="3590"/>
      <c r="Q12" s="1783">
        <f t="shared" si="6"/>
        <v>111</v>
      </c>
      <c r="R12" s="769" t="s">
        <v>17</v>
      </c>
      <c r="S12" s="770">
        <f t="shared" si="0"/>
        <v>100</v>
      </c>
      <c r="T12" s="769" t="s">
        <v>17</v>
      </c>
      <c r="U12" s="770">
        <f t="shared" si="1"/>
        <v>100</v>
      </c>
      <c r="V12" s="769" t="s">
        <v>17</v>
      </c>
      <c r="W12" s="770">
        <f t="shared" si="2"/>
        <v>100</v>
      </c>
      <c r="X12" s="771"/>
      <c r="Y12" s="3335"/>
      <c r="Z12" s="55">
        <f t="shared" si="7"/>
        <v>111</v>
      </c>
      <c r="AA12" s="772">
        <f>D12/F12</f>
        <v>1</v>
      </c>
      <c r="AB12" s="772">
        <f>D12/H12</f>
        <v>1</v>
      </c>
      <c r="AC12" s="2659">
        <f>D12/J12</f>
        <v>1</v>
      </c>
    </row>
    <row r="13" spans="1:29" ht="15">
      <c r="A13" s="427"/>
      <c r="B13" s="2588">
        <v>111</v>
      </c>
      <c r="C13" s="433"/>
      <c r="D13" s="434">
        <v>100</v>
      </c>
      <c r="E13" s="431"/>
      <c r="F13" s="135">
        <f>SUMIF(73:73,E13,74:74)-SUMIF(73:73,C13,74:74)+100</f>
        <v>100</v>
      </c>
      <c r="G13" s="2660"/>
      <c r="H13" s="434">
        <f>SUMIF(73:73,G13,74:74)-SUMIF(73:73,C13,74:74)+100</f>
        <v>100</v>
      </c>
      <c r="I13" s="431"/>
      <c r="J13" s="434">
        <f>SUMIF(73:73,I13,74:74)-SUMIF(73:73,C13,74:74)+100</f>
        <v>100</v>
      </c>
      <c r="K13" s="612"/>
      <c r="L13" s="1139"/>
      <c r="M13" s="1130"/>
      <c r="N13" s="1130"/>
      <c r="O13" s="1130"/>
      <c r="P13" s="3590"/>
      <c r="Q13" s="1783">
        <f t="shared" si="6"/>
        <v>111</v>
      </c>
      <c r="R13" s="769" t="s">
        <v>17</v>
      </c>
      <c r="S13" s="770">
        <f t="shared" si="0"/>
        <v>100</v>
      </c>
      <c r="T13" s="769" t="s">
        <v>17</v>
      </c>
      <c r="U13" s="770">
        <f t="shared" si="1"/>
        <v>100</v>
      </c>
      <c r="V13" s="769" t="s">
        <v>17</v>
      </c>
      <c r="W13" s="770">
        <f t="shared" si="2"/>
        <v>100</v>
      </c>
      <c r="X13" s="771"/>
      <c r="Y13" s="3335"/>
      <c r="Z13" s="55">
        <f t="shared" si="7"/>
        <v>111</v>
      </c>
      <c r="AA13" s="772">
        <f t="shared" si="3"/>
        <v>1</v>
      </c>
      <c r="AB13" s="772">
        <f t="shared" si="4"/>
        <v>1</v>
      </c>
      <c r="AC13" s="2659">
        <f t="shared" si="5"/>
        <v>1</v>
      </c>
    </row>
    <row r="14" spans="1:29" ht="15.75" thickBot="1">
      <c r="A14" s="435"/>
      <c r="B14" s="2590">
        <v>111</v>
      </c>
      <c r="C14" s="436"/>
      <c r="D14" s="437">
        <v>100</v>
      </c>
      <c r="E14" s="627"/>
      <c r="F14" s="437">
        <f>SUMIF(75:75,E14,76:76)-SUMIF(75:75,C14,76:76)+100</f>
        <v>100</v>
      </c>
      <c r="G14" s="2660"/>
      <c r="H14" s="437">
        <f>SUMIF(75:75,G14,76:76)-SUMIF(75:75,C14,76:76)+100</f>
        <v>100</v>
      </c>
      <c r="I14" s="431"/>
      <c r="J14" s="437">
        <f>SUMIF(75:75,I14,76:76)-SUMIF(75:75,C14,76:76)+100</f>
        <v>100</v>
      </c>
      <c r="K14" s="612"/>
      <c r="L14" s="1139"/>
      <c r="M14" s="1130"/>
      <c r="N14" s="1130"/>
      <c r="O14" s="1130"/>
      <c r="P14" s="3590"/>
      <c r="Q14" s="1783">
        <f t="shared" si="6"/>
        <v>111</v>
      </c>
      <c r="R14" s="769" t="s">
        <v>17</v>
      </c>
      <c r="S14" s="770">
        <f t="shared" si="0"/>
        <v>100</v>
      </c>
      <c r="T14" s="769" t="s">
        <v>17</v>
      </c>
      <c r="U14" s="770">
        <f t="shared" si="1"/>
        <v>100</v>
      </c>
      <c r="V14" s="769" t="s">
        <v>17</v>
      </c>
      <c r="W14" s="770">
        <f t="shared" si="2"/>
        <v>100</v>
      </c>
      <c r="X14" s="771"/>
      <c r="Y14" s="3335"/>
      <c r="Z14" s="55">
        <f t="shared" si="7"/>
        <v>111</v>
      </c>
      <c r="AA14" s="772">
        <f t="shared" si="3"/>
        <v>1</v>
      </c>
      <c r="AB14" s="772">
        <f t="shared" si="4"/>
        <v>1</v>
      </c>
      <c r="AC14" s="2659">
        <f t="shared" si="5"/>
        <v>1</v>
      </c>
    </row>
    <row r="15" spans="1:29" ht="71.25">
      <c r="A15" s="439" t="s">
        <v>2558</v>
      </c>
      <c r="B15" s="628" t="s">
        <v>2686</v>
      </c>
      <c r="C15" s="266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604" t="s">
        <v>2559</v>
      </c>
      <c r="Q15" s="1798" t="str">
        <f t="shared" si="6"/>
        <v>办公集聚程度</v>
      </c>
      <c r="R15" s="773" t="s">
        <v>17</v>
      </c>
      <c r="S15" s="774">
        <f t="shared" si="0"/>
        <v>100</v>
      </c>
      <c r="T15" s="773" t="s">
        <v>17</v>
      </c>
      <c r="U15" s="774">
        <f t="shared" si="1"/>
        <v>100</v>
      </c>
      <c r="V15" s="773" t="s">
        <v>17</v>
      </c>
      <c r="W15" s="774">
        <f t="shared" si="2"/>
        <v>100</v>
      </c>
      <c r="X15" s="1801"/>
      <c r="Y15" s="3606" t="s">
        <v>2559</v>
      </c>
      <c r="Z15" s="1802" t="str">
        <f t="shared" si="7"/>
        <v>办公集聚程度</v>
      </c>
      <c r="AA15" s="1799">
        <f t="shared" si="3"/>
        <v>1</v>
      </c>
      <c r="AB15" s="1799">
        <f t="shared" si="4"/>
        <v>1</v>
      </c>
      <c r="AC15" s="2662">
        <f t="shared" si="5"/>
        <v>1</v>
      </c>
    </row>
    <row r="16" spans="1:29" ht="15">
      <c r="A16" s="427"/>
      <c r="B16" s="629"/>
      <c r="C16" s="2599"/>
      <c r="D16" s="447"/>
      <c r="E16" s="446"/>
      <c r="F16" s="447"/>
      <c r="G16" s="2599"/>
      <c r="H16" s="449"/>
      <c r="I16" s="446"/>
      <c r="J16" s="447"/>
      <c r="K16" s="614"/>
      <c r="L16" s="1139"/>
      <c r="M16" s="1130"/>
      <c r="N16" s="1130"/>
      <c r="O16" s="1130"/>
      <c r="P16" s="3605"/>
      <c r="Q16" s="1798"/>
      <c r="R16" s="773"/>
      <c r="S16" s="774"/>
      <c r="T16" s="773"/>
      <c r="U16" s="774"/>
      <c r="V16" s="773"/>
      <c r="W16" s="774"/>
      <c r="X16" s="1801"/>
      <c r="Y16" s="3607"/>
      <c r="Z16" s="1802"/>
      <c r="AA16" s="1799">
        <v>1</v>
      </c>
      <c r="AB16" s="1799">
        <v>1</v>
      </c>
      <c r="AC16" s="2662">
        <v>1</v>
      </c>
    </row>
    <row r="17" spans="1:29" ht="71.25">
      <c r="A17" s="427"/>
      <c r="B17" s="630" t="s">
        <v>2095</v>
      </c>
      <c r="C17" s="266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605"/>
      <c r="Q17" s="1798" t="str">
        <f>B17</f>
        <v>交通便捷度</v>
      </c>
      <c r="R17" s="773" t="s">
        <v>17</v>
      </c>
      <c r="S17" s="774">
        <f>F17</f>
        <v>100</v>
      </c>
      <c r="T17" s="773" t="s">
        <v>17</v>
      </c>
      <c r="U17" s="774">
        <f>H17</f>
        <v>100</v>
      </c>
      <c r="V17" s="773" t="s">
        <v>17</v>
      </c>
      <c r="W17" s="774">
        <f>J17</f>
        <v>100</v>
      </c>
      <c r="X17" s="1801"/>
      <c r="Y17" s="3607"/>
      <c r="Z17" s="1802" t="str">
        <f>Q17</f>
        <v>交通便捷度</v>
      </c>
      <c r="AA17" s="1799">
        <f t="shared" si="3"/>
        <v>1</v>
      </c>
      <c r="AB17" s="1799">
        <f t="shared" si="4"/>
        <v>1</v>
      </c>
      <c r="AC17" s="2662">
        <f t="shared" si="5"/>
        <v>1</v>
      </c>
    </row>
    <row r="18" spans="1:29" ht="15">
      <c r="A18" s="427"/>
      <c r="B18" s="631"/>
      <c r="C18" s="2664"/>
      <c r="D18" s="449"/>
      <c r="E18" s="2597"/>
      <c r="F18" s="449"/>
      <c r="G18" s="2598"/>
      <c r="H18" s="447"/>
      <c r="I18" s="2598"/>
      <c r="J18" s="447"/>
      <c r="K18" s="614"/>
      <c r="L18" s="1139"/>
      <c r="M18" s="1130"/>
      <c r="N18" s="1130"/>
      <c r="O18" s="1130"/>
      <c r="P18" s="3605"/>
      <c r="Q18" s="1798"/>
      <c r="R18" s="773"/>
      <c r="S18" s="774"/>
      <c r="T18" s="773"/>
      <c r="U18" s="774"/>
      <c r="V18" s="773"/>
      <c r="W18" s="774"/>
      <c r="X18" s="1801"/>
      <c r="Y18" s="3607"/>
      <c r="Z18" s="1802"/>
      <c r="AA18" s="1799">
        <v>1</v>
      </c>
      <c r="AB18" s="1799">
        <v>1</v>
      </c>
      <c r="AC18" s="2662">
        <v>1</v>
      </c>
    </row>
    <row r="19" spans="1:29" ht="42.75">
      <c r="A19" s="427"/>
      <c r="B19" s="630" t="s">
        <v>2687</v>
      </c>
      <c r="C19" s="266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605"/>
      <c r="Q19" s="1798" t="str">
        <f>B19</f>
        <v>公共配套设施</v>
      </c>
      <c r="R19" s="773" t="s">
        <v>17</v>
      </c>
      <c r="S19" s="774">
        <f>F19</f>
        <v>100</v>
      </c>
      <c r="T19" s="773" t="s">
        <v>17</v>
      </c>
      <c r="U19" s="774">
        <f>H19</f>
        <v>100</v>
      </c>
      <c r="V19" s="773" t="s">
        <v>17</v>
      </c>
      <c r="W19" s="774">
        <f>J19</f>
        <v>100</v>
      </c>
      <c r="X19" s="1801"/>
      <c r="Y19" s="3607"/>
      <c r="Z19" s="1802" t="str">
        <f>Q19</f>
        <v>公共配套设施</v>
      </c>
      <c r="AA19" s="1799">
        <f t="shared" si="3"/>
        <v>1</v>
      </c>
      <c r="AB19" s="1799">
        <f t="shared" si="4"/>
        <v>1</v>
      </c>
      <c r="AC19" s="2662">
        <f t="shared" si="5"/>
        <v>1</v>
      </c>
    </row>
    <row r="20" spans="1:29" ht="15">
      <c r="A20" s="427"/>
      <c r="B20" s="631"/>
      <c r="C20" s="2599"/>
      <c r="D20" s="447"/>
      <c r="E20" s="2592"/>
      <c r="F20" s="447"/>
      <c r="G20" s="2593"/>
      <c r="H20" s="447"/>
      <c r="I20" s="2593"/>
      <c r="J20" s="447"/>
      <c r="K20" s="614"/>
      <c r="L20" s="1139"/>
      <c r="M20" s="1130"/>
      <c r="N20" s="1130"/>
      <c r="O20" s="1130"/>
      <c r="P20" s="3605"/>
      <c r="Q20" s="1798"/>
      <c r="R20" s="773"/>
      <c r="S20" s="774"/>
      <c r="T20" s="773"/>
      <c r="U20" s="774"/>
      <c r="V20" s="773"/>
      <c r="W20" s="774"/>
      <c r="X20" s="1801"/>
      <c r="Y20" s="3607"/>
      <c r="Z20" s="1802"/>
      <c r="AA20" s="1799">
        <v>1</v>
      </c>
      <c r="AB20" s="1799">
        <v>1</v>
      </c>
      <c r="AC20" s="2662">
        <v>1</v>
      </c>
    </row>
    <row r="21" spans="1:29" ht="28.5">
      <c r="A21" s="427"/>
      <c r="B21" s="632" t="s">
        <v>2688</v>
      </c>
      <c r="C21" s="266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605"/>
      <c r="Q21" s="1798" t="str">
        <f>B21</f>
        <v>基础设施水平</v>
      </c>
      <c r="R21" s="773" t="s">
        <v>17</v>
      </c>
      <c r="S21" s="774">
        <f>F21</f>
        <v>100</v>
      </c>
      <c r="T21" s="773" t="s">
        <v>17</v>
      </c>
      <c r="U21" s="774">
        <f>H21</f>
        <v>100</v>
      </c>
      <c r="V21" s="773" t="s">
        <v>17</v>
      </c>
      <c r="W21" s="774">
        <f>J21</f>
        <v>100</v>
      </c>
      <c r="X21" s="1801"/>
      <c r="Y21" s="3607"/>
      <c r="Z21" s="1802" t="str">
        <f>Q21</f>
        <v>基础设施水平</v>
      </c>
      <c r="AA21" s="1799">
        <f t="shared" ref="AA21" si="8">D21/F21</f>
        <v>1</v>
      </c>
      <c r="AB21" s="1799">
        <f t="shared" ref="AB21" si="9">D21/H21</f>
        <v>1</v>
      </c>
      <c r="AC21" s="2662">
        <f t="shared" ref="AC21" si="10">D21/J21</f>
        <v>1</v>
      </c>
    </row>
    <row r="22" spans="1:29" ht="15">
      <c r="A22" s="427"/>
      <c r="B22" s="632"/>
      <c r="C22" s="2664"/>
      <c r="D22" s="447"/>
      <c r="E22" s="446"/>
      <c r="F22" s="447"/>
      <c r="G22" s="2599"/>
      <c r="H22" s="447"/>
      <c r="I22" s="2599"/>
      <c r="J22" s="447"/>
      <c r="K22" s="1379"/>
      <c r="L22" s="1139"/>
      <c r="M22" s="1130"/>
      <c r="N22" s="1130"/>
      <c r="O22" s="1130"/>
      <c r="P22" s="3605"/>
      <c r="Q22" s="1798"/>
      <c r="R22" s="773"/>
      <c r="S22" s="774"/>
      <c r="T22" s="773"/>
      <c r="U22" s="774"/>
      <c r="V22" s="773"/>
      <c r="W22" s="774"/>
      <c r="X22" s="1801"/>
      <c r="Y22" s="3607"/>
      <c r="Z22" s="1802"/>
      <c r="AA22" s="1799">
        <v>1</v>
      </c>
      <c r="AB22" s="1799">
        <v>1</v>
      </c>
      <c r="AC22" s="2662">
        <v>1</v>
      </c>
    </row>
    <row r="23" spans="1:29" ht="42.75">
      <c r="A23" s="427"/>
      <c r="B23" s="630" t="s">
        <v>2689</v>
      </c>
      <c r="C23" s="266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605"/>
      <c r="Q23" s="1798" t="str">
        <f>B23</f>
        <v>环境质量</v>
      </c>
      <c r="R23" s="773" t="s">
        <v>17</v>
      </c>
      <c r="S23" s="774">
        <f>F23</f>
        <v>100</v>
      </c>
      <c r="T23" s="773" t="s">
        <v>17</v>
      </c>
      <c r="U23" s="774">
        <f>H23</f>
        <v>100</v>
      </c>
      <c r="V23" s="773" t="s">
        <v>17</v>
      </c>
      <c r="W23" s="774">
        <f>J23</f>
        <v>100</v>
      </c>
      <c r="X23" s="1801"/>
      <c r="Y23" s="3607"/>
      <c r="Z23" s="1802" t="str">
        <f>Q23</f>
        <v>环境质量</v>
      </c>
      <c r="AA23" s="1799">
        <f t="shared" si="3"/>
        <v>1</v>
      </c>
      <c r="AB23" s="1799">
        <f t="shared" si="4"/>
        <v>1</v>
      </c>
      <c r="AC23" s="2662">
        <f t="shared" si="5"/>
        <v>1</v>
      </c>
    </row>
    <row r="24" spans="1:29" ht="15">
      <c r="A24" s="427"/>
      <c r="B24" s="632"/>
      <c r="C24" s="2599"/>
      <c r="D24" s="447"/>
      <c r="E24" s="2592"/>
      <c r="F24" s="447"/>
      <c r="G24" s="2593"/>
      <c r="H24" s="447"/>
      <c r="I24" s="2593"/>
      <c r="J24" s="447"/>
      <c r="K24" s="614"/>
      <c r="L24" s="1139"/>
      <c r="M24" s="1130"/>
      <c r="N24" s="1130"/>
      <c r="O24" s="1130"/>
      <c r="P24" s="3605"/>
      <c r="Q24" s="1798"/>
      <c r="R24" s="773"/>
      <c r="S24" s="774"/>
      <c r="T24" s="773"/>
      <c r="U24" s="774"/>
      <c r="V24" s="773"/>
      <c r="W24" s="774"/>
      <c r="X24" s="1801"/>
      <c r="Y24" s="3607"/>
      <c r="Z24" s="1802"/>
      <c r="AA24" s="1799">
        <v>1</v>
      </c>
      <c r="AB24" s="1799">
        <v>1</v>
      </c>
      <c r="AC24" s="2662">
        <v>1</v>
      </c>
    </row>
    <row r="25" spans="1:29" ht="27">
      <c r="A25" s="403"/>
      <c r="B25" s="630" t="s">
        <v>2690</v>
      </c>
      <c r="C25" s="2603"/>
      <c r="D25" s="434">
        <v>100</v>
      </c>
      <c r="E25" s="433"/>
      <c r="F25" s="434">
        <f>SUMIF(87:87,E26,88:88)-SUMIF(87:87,C26,88:88)+100</f>
        <v>100</v>
      </c>
      <c r="G25" s="2603"/>
      <c r="H25" s="434">
        <f>SUMIF(87:87,G26,88:88)-SUMIF(87:87,C26,88:88)+100</f>
        <v>100</v>
      </c>
      <c r="I25" s="433"/>
      <c r="J25" s="434">
        <f>SUMIF(87:87,I26,88:88)-SUMIF(87:87,C26,88:88)+100</f>
        <v>100</v>
      </c>
      <c r="K25" s="613"/>
      <c r="L25" s="1139"/>
      <c r="M25" s="1130"/>
      <c r="N25" s="1130"/>
      <c r="O25" s="1130"/>
      <c r="P25" s="3605"/>
      <c r="Q25" s="1798" t="str">
        <f>B25</f>
        <v>毗邻道路的类型与等级</v>
      </c>
      <c r="R25" s="773" t="s">
        <v>17</v>
      </c>
      <c r="S25" s="774">
        <f>F25</f>
        <v>100</v>
      </c>
      <c r="T25" s="773" t="s">
        <v>17</v>
      </c>
      <c r="U25" s="774">
        <f>H25</f>
        <v>100</v>
      </c>
      <c r="V25" s="773" t="s">
        <v>17</v>
      </c>
      <c r="W25" s="774">
        <f>J25</f>
        <v>100</v>
      </c>
      <c r="X25" s="1801"/>
      <c r="Y25" s="3607"/>
      <c r="Z25" s="1802" t="str">
        <f>Q25</f>
        <v>毗邻道路的类型与等级</v>
      </c>
      <c r="AA25" s="1799">
        <f t="shared" si="3"/>
        <v>1</v>
      </c>
      <c r="AB25" s="1799">
        <f t="shared" si="4"/>
        <v>1</v>
      </c>
      <c r="AC25" s="2662">
        <f t="shared" si="5"/>
        <v>1</v>
      </c>
    </row>
    <row r="26" spans="1:29" ht="15">
      <c r="A26" s="403"/>
      <c r="B26" s="631"/>
      <c r="C26" s="633"/>
      <c r="D26" s="434"/>
      <c r="E26" s="615"/>
      <c r="F26" s="434"/>
      <c r="G26" s="633"/>
      <c r="H26" s="434"/>
      <c r="I26" s="615"/>
      <c r="J26" s="434"/>
      <c r="K26" s="614"/>
      <c r="L26" s="1139"/>
      <c r="M26" s="1130"/>
      <c r="N26" s="1130"/>
      <c r="O26" s="1130"/>
      <c r="P26" s="3605"/>
      <c r="Q26" s="1798"/>
      <c r="R26" s="773"/>
      <c r="S26" s="774"/>
      <c r="T26" s="773"/>
      <c r="U26" s="774"/>
      <c r="V26" s="773"/>
      <c r="W26" s="774"/>
      <c r="X26" s="1801"/>
      <c r="Y26" s="3607"/>
      <c r="Z26" s="1802"/>
      <c r="AA26" s="1799">
        <v>1</v>
      </c>
      <c r="AB26" s="1799">
        <v>1</v>
      </c>
      <c r="AC26" s="2662">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605"/>
      <c r="Q27" s="1798" t="str">
        <f t="shared" ref="Q27:Q47" si="11">B27</f>
        <v>楼层</v>
      </c>
      <c r="R27" s="773" t="s">
        <v>17</v>
      </c>
      <c r="S27" s="774">
        <f>F27</f>
        <v>100</v>
      </c>
      <c r="T27" s="773" t="s">
        <v>17</v>
      </c>
      <c r="U27" s="774">
        <f>H27</f>
        <v>100</v>
      </c>
      <c r="V27" s="773" t="s">
        <v>17</v>
      </c>
      <c r="W27" s="774">
        <f>J27</f>
        <v>100</v>
      </c>
      <c r="X27" s="1801"/>
      <c r="Y27" s="3607"/>
      <c r="Z27" s="1802" t="str">
        <f>Q27</f>
        <v>楼层</v>
      </c>
      <c r="AA27" s="1799">
        <f t="shared" si="3"/>
        <v>1</v>
      </c>
      <c r="AB27" s="1799">
        <f t="shared" si="4"/>
        <v>1</v>
      </c>
      <c r="AC27" s="2662">
        <f t="shared" si="5"/>
        <v>1</v>
      </c>
    </row>
    <row r="28" spans="1:29" s="116" customFormat="1" ht="15">
      <c r="A28" s="430"/>
      <c r="B28" s="630" t="s">
        <v>2691</v>
      </c>
      <c r="C28" s="2665"/>
      <c r="D28" s="461">
        <v>100</v>
      </c>
      <c r="E28" s="2653"/>
      <c r="F28" s="461">
        <f>SUMIF(91:91,E28,92:92)-SUMIF(91:91,C28,92:92)+100</f>
        <v>100</v>
      </c>
      <c r="G28" s="2665"/>
      <c r="H28" s="461">
        <f>SUMIF(91:91,G28,92:92)-SUMIF(91:91,C28,92:92)+100</f>
        <v>100</v>
      </c>
      <c r="I28" s="2653"/>
      <c r="J28" s="461">
        <f>SUMIF(91:91,I28,92:92)-SUMIF(91:91,C28,92:92)+100</f>
        <v>100</v>
      </c>
      <c r="K28" s="611"/>
      <c r="L28" s="1131"/>
      <c r="M28" s="1132"/>
      <c r="N28" s="1132"/>
      <c r="O28" s="1132"/>
      <c r="P28" s="3605"/>
      <c r="Q28" s="1783" t="str">
        <f t="shared" si="11"/>
        <v>朝向</v>
      </c>
      <c r="R28" s="769" t="s">
        <v>17</v>
      </c>
      <c r="S28" s="770">
        <f>F28</f>
        <v>100</v>
      </c>
      <c r="T28" s="769" t="s">
        <v>17</v>
      </c>
      <c r="U28" s="770">
        <f>H28</f>
        <v>100</v>
      </c>
      <c r="V28" s="769" t="s">
        <v>17</v>
      </c>
      <c r="W28" s="770">
        <f>J28</f>
        <v>100</v>
      </c>
      <c r="X28" s="771"/>
      <c r="Y28" s="3607"/>
      <c r="Z28" s="55" t="str">
        <f>Q28</f>
        <v>朝向</v>
      </c>
      <c r="AA28" s="1799">
        <f>D28/F28</f>
        <v>1</v>
      </c>
      <c r="AB28" s="1799">
        <f>D28/H28</f>
        <v>1</v>
      </c>
      <c r="AC28" s="2662">
        <f>D28/J28</f>
        <v>1</v>
      </c>
    </row>
    <row r="29" spans="1:29" ht="15">
      <c r="A29" s="427"/>
      <c r="B29" s="2666">
        <v>111</v>
      </c>
      <c r="C29" s="2603"/>
      <c r="D29" s="434">
        <v>100</v>
      </c>
      <c r="E29" s="431"/>
      <c r="F29" s="434">
        <f>SUMIF(93:93,E29,94:94)-SUMIF(93:93,C29,94:94)+100</f>
        <v>100</v>
      </c>
      <c r="G29" s="2660"/>
      <c r="H29" s="434">
        <f>SUMIF(93:93,G29,94:94)-SUMIF(93:93,C29,94:94)+100</f>
        <v>100</v>
      </c>
      <c r="I29" s="431"/>
      <c r="J29" s="434">
        <f>SUMIF(93:93,I29,94:94)-SUMIF(93:93,C29,94:94)+100</f>
        <v>100</v>
      </c>
      <c r="K29" s="612"/>
      <c r="L29" s="1139"/>
      <c r="M29" s="1130"/>
      <c r="N29" s="1130"/>
      <c r="O29" s="1130"/>
      <c r="P29" s="3605"/>
      <c r="Q29" s="1798">
        <f t="shared" si="11"/>
        <v>111</v>
      </c>
      <c r="R29" s="773" t="s">
        <v>17</v>
      </c>
      <c r="S29" s="774">
        <f t="shared" ref="S29:S47" si="12">F29</f>
        <v>100</v>
      </c>
      <c r="T29" s="773" t="s">
        <v>17</v>
      </c>
      <c r="U29" s="774">
        <f t="shared" ref="U29:U47" si="13">H29</f>
        <v>100</v>
      </c>
      <c r="V29" s="773" t="s">
        <v>17</v>
      </c>
      <c r="W29" s="774">
        <f t="shared" ref="W29:W47" si="14">J29</f>
        <v>100</v>
      </c>
      <c r="X29" s="1801"/>
      <c r="Y29" s="3607"/>
      <c r="Z29" s="1802">
        <f t="shared" ref="Z29:Z47" si="15">Q29</f>
        <v>111</v>
      </c>
      <c r="AA29" s="1799">
        <f t="shared" si="3"/>
        <v>1</v>
      </c>
      <c r="AB29" s="1799">
        <f t="shared" si="4"/>
        <v>1</v>
      </c>
      <c r="AC29" s="2662">
        <f t="shared" si="5"/>
        <v>1</v>
      </c>
    </row>
    <row r="30" spans="1:29" ht="15">
      <c r="A30" s="427"/>
      <c r="B30" s="2666">
        <v>111</v>
      </c>
      <c r="C30" s="2603"/>
      <c r="D30" s="434">
        <v>100</v>
      </c>
      <c r="E30" s="431"/>
      <c r="F30" s="434">
        <f>SUMIF(95:95,E30,96:96)-SUMIF(95:95,C30,96:96)+100</f>
        <v>100</v>
      </c>
      <c r="G30" s="2660"/>
      <c r="H30" s="434">
        <f>SUMIF(95:95,G30,96:96)-SUMIF(95:95,C30,96:96)+100</f>
        <v>100</v>
      </c>
      <c r="I30" s="431"/>
      <c r="J30" s="434">
        <f>SUMIF(95:95,I30,96:96)-SUMIF(95:95,C30,96:96)+100</f>
        <v>100</v>
      </c>
      <c r="K30" s="612"/>
      <c r="L30" s="1139"/>
      <c r="M30" s="1130"/>
      <c r="N30" s="1130"/>
      <c r="O30" s="1130"/>
      <c r="P30" s="3605"/>
      <c r="Q30" s="1798">
        <f t="shared" si="11"/>
        <v>111</v>
      </c>
      <c r="R30" s="773" t="s">
        <v>17</v>
      </c>
      <c r="S30" s="774">
        <f t="shared" si="12"/>
        <v>100</v>
      </c>
      <c r="T30" s="773" t="s">
        <v>17</v>
      </c>
      <c r="U30" s="774">
        <f t="shared" si="13"/>
        <v>100</v>
      </c>
      <c r="V30" s="773" t="s">
        <v>17</v>
      </c>
      <c r="W30" s="774">
        <f t="shared" si="14"/>
        <v>100</v>
      </c>
      <c r="X30" s="1801"/>
      <c r="Y30" s="3607"/>
      <c r="Z30" s="1802">
        <f t="shared" si="15"/>
        <v>111</v>
      </c>
      <c r="AA30" s="1799">
        <f t="shared" si="3"/>
        <v>1</v>
      </c>
      <c r="AB30" s="1799">
        <f t="shared" si="4"/>
        <v>1</v>
      </c>
      <c r="AC30" s="2662">
        <f t="shared" si="5"/>
        <v>1</v>
      </c>
    </row>
    <row r="31" spans="1:29" ht="15">
      <c r="A31" s="427"/>
      <c r="B31" s="2666">
        <v>111</v>
      </c>
      <c r="C31" s="2603"/>
      <c r="D31" s="434">
        <v>100</v>
      </c>
      <c r="E31" s="431"/>
      <c r="F31" s="434">
        <f>SUMIF(97:97,E31,98:98)-SUMIF(97:97,C31,98:98)+100</f>
        <v>100</v>
      </c>
      <c r="G31" s="2660"/>
      <c r="H31" s="434">
        <f>SUMIF(97:97,G31,98:98)-SUMIF(97:97,C31,98:98)+100</f>
        <v>100</v>
      </c>
      <c r="I31" s="431"/>
      <c r="J31" s="434">
        <f>SUMIF(97:97,I31,98:98)-SUMIF(97:97,C31,98:98)+100</f>
        <v>100</v>
      </c>
      <c r="K31" s="612"/>
      <c r="L31" s="1139"/>
      <c r="M31" s="1130"/>
      <c r="N31" s="1130"/>
      <c r="O31" s="1130"/>
      <c r="P31" s="3605"/>
      <c r="Q31" s="1798">
        <f t="shared" si="11"/>
        <v>111</v>
      </c>
      <c r="R31" s="773" t="s">
        <v>17</v>
      </c>
      <c r="S31" s="774">
        <f t="shared" si="12"/>
        <v>100</v>
      </c>
      <c r="T31" s="773" t="s">
        <v>17</v>
      </c>
      <c r="U31" s="774">
        <f t="shared" si="13"/>
        <v>100</v>
      </c>
      <c r="V31" s="773" t="s">
        <v>17</v>
      </c>
      <c r="W31" s="774">
        <f t="shared" si="14"/>
        <v>100</v>
      </c>
      <c r="X31" s="1801"/>
      <c r="Y31" s="3607"/>
      <c r="Z31" s="1802">
        <f t="shared" si="15"/>
        <v>111</v>
      </c>
      <c r="AA31" s="1799">
        <f t="shared" si="3"/>
        <v>1</v>
      </c>
      <c r="AB31" s="1799">
        <f t="shared" si="4"/>
        <v>1</v>
      </c>
      <c r="AC31" s="2662">
        <f t="shared" si="5"/>
        <v>1</v>
      </c>
    </row>
    <row r="32" spans="1:29" ht="15.75" thickBot="1">
      <c r="A32" s="435"/>
      <c r="B32" s="634">
        <v>111</v>
      </c>
      <c r="C32" s="2604"/>
      <c r="D32" s="437">
        <v>100</v>
      </c>
      <c r="E32" s="627"/>
      <c r="F32" s="437">
        <f>SUMIF(99:99,E32,100:100)-SUMIF(99:99,C32,100:100)+100</f>
        <v>100</v>
      </c>
      <c r="G32" s="2660"/>
      <c r="H32" s="437">
        <f>SUMIF(99:99,G32,100:100)-SUMIF(99:99,C32,100:100)+100</f>
        <v>100</v>
      </c>
      <c r="I32" s="431"/>
      <c r="J32" s="437">
        <f>SUMIF(99:99,I32,100:100)-SUMIF(99:99,C32,100:100)+100</f>
        <v>100</v>
      </c>
      <c r="K32" s="612"/>
      <c r="L32" s="1139"/>
      <c r="M32" s="1130"/>
      <c r="N32" s="1130"/>
      <c r="O32" s="1130"/>
      <c r="P32" s="3605"/>
      <c r="Q32" s="1798">
        <f t="shared" si="11"/>
        <v>111</v>
      </c>
      <c r="R32" s="773" t="s">
        <v>17</v>
      </c>
      <c r="S32" s="774">
        <f t="shared" si="12"/>
        <v>100</v>
      </c>
      <c r="T32" s="773" t="s">
        <v>17</v>
      </c>
      <c r="U32" s="774">
        <f t="shared" si="13"/>
        <v>100</v>
      </c>
      <c r="V32" s="773" t="s">
        <v>17</v>
      </c>
      <c r="W32" s="774">
        <f t="shared" si="14"/>
        <v>100</v>
      </c>
      <c r="X32" s="1801"/>
      <c r="Y32" s="3607"/>
      <c r="Z32" s="1802">
        <f t="shared" si="15"/>
        <v>111</v>
      </c>
      <c r="AA32" s="1799">
        <f t="shared" si="3"/>
        <v>1</v>
      </c>
      <c r="AB32" s="1799">
        <f t="shared" si="4"/>
        <v>1</v>
      </c>
      <c r="AC32" s="2662">
        <f t="shared" si="5"/>
        <v>1</v>
      </c>
    </row>
    <row r="33" spans="1:29" ht="15">
      <c r="A33" s="439" t="s">
        <v>2562</v>
      </c>
      <c r="B33" s="70" t="s">
        <v>2692</v>
      </c>
      <c r="C33" s="2667"/>
      <c r="D33" s="466">
        <v>100</v>
      </c>
      <c r="E33" s="2667"/>
      <c r="F33" s="460">
        <f>SUMIF(101:101,E33,102:102)-SUMIF(101:101,C33,102:102)+100</f>
        <v>100</v>
      </c>
      <c r="G33" s="2667"/>
      <c r="H33" s="434">
        <f>SUMIF(101:101,G33,102:102)-SUMIF(101:101,C33,102:102)+100</f>
        <v>100</v>
      </c>
      <c r="I33" s="2667"/>
      <c r="J33" s="466">
        <f>SUMIF(101:101,I33,102:102)-SUMIF(101:101,C33,102:102)+100</f>
        <v>100</v>
      </c>
      <c r="K33" s="611"/>
      <c r="L33" s="1139"/>
      <c r="M33" s="1130"/>
      <c r="N33" s="1130"/>
      <c r="O33" s="1130"/>
      <c r="P33" s="3608" t="s">
        <v>2564</v>
      </c>
      <c r="Q33" s="1798" t="str">
        <f t="shared" si="11"/>
        <v>建筑类型</v>
      </c>
      <c r="R33" s="773" t="s">
        <v>17</v>
      </c>
      <c r="S33" s="774">
        <f t="shared" si="12"/>
        <v>100</v>
      </c>
      <c r="T33" s="773" t="s">
        <v>17</v>
      </c>
      <c r="U33" s="774">
        <f t="shared" si="13"/>
        <v>100</v>
      </c>
      <c r="V33" s="773" t="s">
        <v>17</v>
      </c>
      <c r="W33" s="774">
        <f t="shared" si="14"/>
        <v>100</v>
      </c>
      <c r="X33" s="1801"/>
      <c r="Y33" s="3611" t="s">
        <v>2564</v>
      </c>
      <c r="Z33" s="1802" t="str">
        <f t="shared" si="15"/>
        <v>建筑类型</v>
      </c>
      <c r="AA33" s="1799">
        <f t="shared" si="3"/>
        <v>1</v>
      </c>
      <c r="AB33" s="1799">
        <f t="shared" si="4"/>
        <v>1</v>
      </c>
      <c r="AC33" s="2662">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609"/>
      <c r="Q34" s="775" t="str">
        <f t="shared" si="11"/>
        <v>项目建筑规模</v>
      </c>
      <c r="R34" s="776" t="s">
        <v>17</v>
      </c>
      <c r="S34" s="777" t="e">
        <f t="shared" si="12"/>
        <v>#N/A</v>
      </c>
      <c r="T34" s="776" t="s">
        <v>17</v>
      </c>
      <c r="U34" s="777" t="e">
        <f t="shared" si="13"/>
        <v>#N/A</v>
      </c>
      <c r="V34" s="776" t="s">
        <v>17</v>
      </c>
      <c r="W34" s="777" t="e">
        <f t="shared" si="14"/>
        <v>#N/A</v>
      </c>
      <c r="X34" s="778"/>
      <c r="Y34" s="3611"/>
      <c r="Z34" s="779" t="str">
        <f t="shared" si="15"/>
        <v>项目建筑规模</v>
      </c>
      <c r="AA34" s="1799" t="e">
        <f t="shared" si="3"/>
        <v>#N/A</v>
      </c>
      <c r="AB34" s="1799" t="e">
        <f t="shared" si="4"/>
        <v>#N/A</v>
      </c>
      <c r="AC34" s="2662"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609"/>
      <c r="Q35" s="1798" t="str">
        <f t="shared" si="11"/>
        <v>建筑结构</v>
      </c>
      <c r="R35" s="773" t="s">
        <v>17</v>
      </c>
      <c r="S35" s="774">
        <f t="shared" si="12"/>
        <v>100</v>
      </c>
      <c r="T35" s="773" t="s">
        <v>17</v>
      </c>
      <c r="U35" s="774">
        <f t="shared" si="13"/>
        <v>100</v>
      </c>
      <c r="V35" s="773" t="s">
        <v>17</v>
      </c>
      <c r="W35" s="774">
        <f t="shared" si="14"/>
        <v>100</v>
      </c>
      <c r="X35" s="1801"/>
      <c r="Y35" s="3611"/>
      <c r="Z35" s="1802" t="str">
        <f t="shared" si="15"/>
        <v>建筑结构</v>
      </c>
      <c r="AA35" s="1799">
        <f t="shared" si="3"/>
        <v>1</v>
      </c>
      <c r="AB35" s="1799">
        <f t="shared" si="4"/>
        <v>1</v>
      </c>
      <c r="AC35" s="2662">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609"/>
      <c r="Q36" s="1798" t="str">
        <f t="shared" si="11"/>
        <v>公共部分装修</v>
      </c>
      <c r="R36" s="773" t="s">
        <v>17</v>
      </c>
      <c r="S36" s="774">
        <f t="shared" si="12"/>
        <v>100</v>
      </c>
      <c r="T36" s="773" t="s">
        <v>17</v>
      </c>
      <c r="U36" s="774">
        <f t="shared" si="13"/>
        <v>100</v>
      </c>
      <c r="V36" s="773" t="s">
        <v>17</v>
      </c>
      <c r="W36" s="774">
        <f t="shared" si="14"/>
        <v>100</v>
      </c>
      <c r="X36" s="1801"/>
      <c r="Y36" s="3611"/>
      <c r="Z36" s="1802" t="str">
        <f t="shared" si="15"/>
        <v>公共部分装修</v>
      </c>
      <c r="AA36" s="1799">
        <f t="shared" si="3"/>
        <v>1</v>
      </c>
      <c r="AB36" s="1799">
        <f t="shared" si="4"/>
        <v>1</v>
      </c>
      <c r="AC36" s="2662">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609"/>
      <c r="Q37" s="1798" t="str">
        <f t="shared" si="11"/>
        <v>成新度</v>
      </c>
      <c r="R37" s="773" t="s">
        <v>17</v>
      </c>
      <c r="S37" s="774" t="e">
        <f t="shared" si="12"/>
        <v>#N/A</v>
      </c>
      <c r="T37" s="773" t="s">
        <v>17</v>
      </c>
      <c r="U37" s="774" t="e">
        <f t="shared" si="13"/>
        <v>#N/A</v>
      </c>
      <c r="V37" s="773" t="s">
        <v>17</v>
      </c>
      <c r="W37" s="774" t="e">
        <f t="shared" si="14"/>
        <v>#N/A</v>
      </c>
      <c r="X37" s="1801"/>
      <c r="Y37" s="3611"/>
      <c r="Z37" s="1802" t="str">
        <f t="shared" si="15"/>
        <v>成新度</v>
      </c>
      <c r="AA37" s="1799" t="e">
        <f t="shared" si="3"/>
        <v>#N/A</v>
      </c>
      <c r="AB37" s="1799" t="e">
        <f t="shared" si="4"/>
        <v>#N/A</v>
      </c>
      <c r="AC37" s="2662"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609"/>
      <c r="Q38" s="1783" t="str">
        <f t="shared" si="11"/>
        <v>写字楼等级</v>
      </c>
      <c r="R38" s="769" t="s">
        <v>17</v>
      </c>
      <c r="S38" s="770">
        <f t="shared" si="12"/>
        <v>100</v>
      </c>
      <c r="T38" s="769" t="s">
        <v>17</v>
      </c>
      <c r="U38" s="770">
        <f t="shared" si="13"/>
        <v>100</v>
      </c>
      <c r="V38" s="769" t="s">
        <v>17</v>
      </c>
      <c r="W38" s="770">
        <f t="shared" si="14"/>
        <v>100</v>
      </c>
      <c r="X38" s="771"/>
      <c r="Y38" s="3611"/>
      <c r="Z38" s="55" t="str">
        <f t="shared" si="15"/>
        <v>写字楼等级</v>
      </c>
      <c r="AA38" s="772">
        <f t="shared" si="3"/>
        <v>1</v>
      </c>
      <c r="AB38" s="772">
        <f t="shared" si="4"/>
        <v>1</v>
      </c>
      <c r="AC38" s="2659">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609" t="s">
        <v>2564</v>
      </c>
      <c r="Q39" s="1798" t="str">
        <f t="shared" si="11"/>
        <v>物业管理</v>
      </c>
      <c r="R39" s="773" t="s">
        <v>17</v>
      </c>
      <c r="S39" s="774">
        <f t="shared" si="12"/>
        <v>100</v>
      </c>
      <c r="T39" s="773" t="s">
        <v>17</v>
      </c>
      <c r="U39" s="774">
        <f t="shared" si="13"/>
        <v>100</v>
      </c>
      <c r="V39" s="773" t="s">
        <v>17</v>
      </c>
      <c r="W39" s="774">
        <f t="shared" si="14"/>
        <v>100</v>
      </c>
      <c r="X39" s="1801"/>
      <c r="Y39" s="3611" t="s">
        <v>2564</v>
      </c>
      <c r="Z39" s="1802" t="str">
        <f t="shared" si="15"/>
        <v>物业管理</v>
      </c>
      <c r="AA39" s="1799">
        <f t="shared" si="3"/>
        <v>1</v>
      </c>
      <c r="AB39" s="1799">
        <f t="shared" si="4"/>
        <v>1</v>
      </c>
      <c r="AC39" s="2662">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609"/>
      <c r="Q40" s="1798" t="str">
        <f t="shared" si="11"/>
        <v>市政基础设施</v>
      </c>
      <c r="R40" s="773" t="s">
        <v>17</v>
      </c>
      <c r="S40" s="774">
        <f t="shared" si="12"/>
        <v>100</v>
      </c>
      <c r="T40" s="773" t="s">
        <v>17</v>
      </c>
      <c r="U40" s="774">
        <f t="shared" si="13"/>
        <v>100</v>
      </c>
      <c r="V40" s="773" t="s">
        <v>17</v>
      </c>
      <c r="W40" s="774">
        <f t="shared" si="14"/>
        <v>100</v>
      </c>
      <c r="X40" s="1801"/>
      <c r="Y40" s="3611"/>
      <c r="Z40" s="1802" t="str">
        <f t="shared" si="15"/>
        <v>市政基础设施</v>
      </c>
      <c r="AA40" s="1799">
        <f t="shared" si="3"/>
        <v>1</v>
      </c>
      <c r="AB40" s="1799">
        <f t="shared" si="4"/>
        <v>1</v>
      </c>
      <c r="AC40" s="2662">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609"/>
      <c r="Q41" s="1798" t="str">
        <f t="shared" si="11"/>
        <v>层高</v>
      </c>
      <c r="R41" s="773" t="s">
        <v>17</v>
      </c>
      <c r="S41" s="774">
        <f t="shared" si="12"/>
        <v>100</v>
      </c>
      <c r="T41" s="773" t="s">
        <v>17</v>
      </c>
      <c r="U41" s="774">
        <f t="shared" si="13"/>
        <v>100</v>
      </c>
      <c r="V41" s="773" t="s">
        <v>17</v>
      </c>
      <c r="W41" s="774">
        <f t="shared" si="14"/>
        <v>100</v>
      </c>
      <c r="X41" s="1801"/>
      <c r="Y41" s="3611"/>
      <c r="Z41" s="1802" t="str">
        <f t="shared" si="15"/>
        <v>层高</v>
      </c>
      <c r="AA41" s="1799">
        <f t="shared" si="3"/>
        <v>1</v>
      </c>
      <c r="AB41" s="1799">
        <f t="shared" si="4"/>
        <v>1</v>
      </c>
      <c r="AC41" s="2662">
        <f t="shared" si="5"/>
        <v>1</v>
      </c>
    </row>
    <row r="42" spans="1:29" s="470" customFormat="1" ht="15">
      <c r="A42" s="467"/>
      <c r="B42" s="1800"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609"/>
      <c r="Q42" s="775" t="str">
        <f t="shared" si="11"/>
        <v>单套建筑面积</v>
      </c>
      <c r="R42" s="776" t="s">
        <v>17</v>
      </c>
      <c r="S42" s="777">
        <f t="shared" si="12"/>
        <v>100</v>
      </c>
      <c r="T42" s="776" t="s">
        <v>17</v>
      </c>
      <c r="U42" s="777">
        <f t="shared" si="13"/>
        <v>100</v>
      </c>
      <c r="V42" s="776" t="s">
        <v>17</v>
      </c>
      <c r="W42" s="777">
        <f t="shared" si="14"/>
        <v>100</v>
      </c>
      <c r="X42" s="778"/>
      <c r="Y42" s="3611"/>
      <c r="Z42" s="779" t="str">
        <f t="shared" si="15"/>
        <v>单套建筑面积</v>
      </c>
      <c r="AA42" s="1799">
        <f t="shared" si="3"/>
        <v>1</v>
      </c>
      <c r="AB42" s="1799">
        <f t="shared" si="4"/>
        <v>1</v>
      </c>
      <c r="AC42" s="2662">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609"/>
      <c r="Q43" s="1798" t="str">
        <f t="shared" si="11"/>
        <v>内部装修</v>
      </c>
      <c r="R43" s="773" t="s">
        <v>17</v>
      </c>
      <c r="S43" s="774">
        <f t="shared" si="12"/>
        <v>100</v>
      </c>
      <c r="T43" s="773" t="s">
        <v>17</v>
      </c>
      <c r="U43" s="774">
        <f t="shared" si="13"/>
        <v>100</v>
      </c>
      <c r="V43" s="773" t="s">
        <v>17</v>
      </c>
      <c r="W43" s="774">
        <f t="shared" si="14"/>
        <v>100</v>
      </c>
      <c r="X43" s="1801"/>
      <c r="Y43" s="3611"/>
      <c r="Z43" s="1802" t="str">
        <f t="shared" si="15"/>
        <v>内部装修</v>
      </c>
      <c r="AA43" s="1799">
        <f t="shared" si="3"/>
        <v>1</v>
      </c>
      <c r="AB43" s="1799">
        <f t="shared" si="4"/>
        <v>1</v>
      </c>
      <c r="AC43" s="2662">
        <f t="shared" si="5"/>
        <v>1</v>
      </c>
    </row>
    <row r="44" spans="1:29" ht="15">
      <c r="A44" s="471"/>
      <c r="B44" s="421" t="s">
        <v>2575</v>
      </c>
      <c r="C44" s="459"/>
      <c r="D44" s="434">
        <v>100</v>
      </c>
      <c r="E44" s="2601"/>
      <c r="F44" s="460">
        <f>SUMIF(125:125,E44,126:126)-SUMIF(125:125,C44,126:126)+100</f>
        <v>100</v>
      </c>
      <c r="G44" s="2601"/>
      <c r="H44" s="434">
        <f>SUMIF(125:125,G44,126:126)-SUMIF(125:125,C44,126:126)+100</f>
        <v>100</v>
      </c>
      <c r="I44" s="2601"/>
      <c r="J44" s="434">
        <f>SUMIF(125:125,I44,126:126)-SUMIF(125:125,C44,126:126)+100</f>
        <v>100</v>
      </c>
      <c r="K44" s="611"/>
      <c r="L44" s="1139"/>
      <c r="M44" s="1130"/>
      <c r="N44" s="1130"/>
      <c r="O44" s="1130"/>
      <c r="P44" s="3609"/>
      <c r="Q44" s="1798" t="str">
        <f t="shared" si="11"/>
        <v>内部装修维护情况</v>
      </c>
      <c r="R44" s="773" t="s">
        <v>17</v>
      </c>
      <c r="S44" s="774">
        <f t="shared" si="12"/>
        <v>100</v>
      </c>
      <c r="T44" s="773" t="s">
        <v>17</v>
      </c>
      <c r="U44" s="774">
        <f t="shared" si="13"/>
        <v>100</v>
      </c>
      <c r="V44" s="773" t="s">
        <v>17</v>
      </c>
      <c r="W44" s="774">
        <f t="shared" si="14"/>
        <v>100</v>
      </c>
      <c r="X44" s="1801"/>
      <c r="Y44" s="3611"/>
      <c r="Z44" s="1802" t="str">
        <f t="shared" si="15"/>
        <v>内部装修维护情况</v>
      </c>
      <c r="AA44" s="1799">
        <f t="shared" si="3"/>
        <v>1</v>
      </c>
      <c r="AB44" s="1799">
        <f t="shared" si="4"/>
        <v>1</v>
      </c>
      <c r="AC44" s="2662">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609"/>
      <c r="Q45" s="1783">
        <f t="shared" si="11"/>
        <v>111</v>
      </c>
      <c r="R45" s="769" t="s">
        <v>17</v>
      </c>
      <c r="S45" s="770">
        <f t="shared" si="12"/>
        <v>100</v>
      </c>
      <c r="T45" s="769" t="s">
        <v>17</v>
      </c>
      <c r="U45" s="770">
        <f t="shared" si="13"/>
        <v>100</v>
      </c>
      <c r="V45" s="769" t="s">
        <v>17</v>
      </c>
      <c r="W45" s="770">
        <f t="shared" si="14"/>
        <v>100</v>
      </c>
      <c r="X45" s="771"/>
      <c r="Y45" s="3611"/>
      <c r="Z45" s="55">
        <f t="shared" si="15"/>
        <v>111</v>
      </c>
      <c r="AA45" s="772">
        <f t="shared" si="3"/>
        <v>1</v>
      </c>
      <c r="AB45" s="772">
        <f t="shared" si="4"/>
        <v>1</v>
      </c>
      <c r="AC45" s="2659">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609"/>
      <c r="Q46" s="1798">
        <f t="shared" si="11"/>
        <v>111</v>
      </c>
      <c r="R46" s="773" t="s">
        <v>17</v>
      </c>
      <c r="S46" s="774">
        <f t="shared" si="12"/>
        <v>100</v>
      </c>
      <c r="T46" s="773" t="s">
        <v>17</v>
      </c>
      <c r="U46" s="774">
        <f t="shared" si="13"/>
        <v>100</v>
      </c>
      <c r="V46" s="773" t="s">
        <v>17</v>
      </c>
      <c r="W46" s="774">
        <f t="shared" si="14"/>
        <v>100</v>
      </c>
      <c r="X46" s="1801"/>
      <c r="Y46" s="3611"/>
      <c r="Z46" s="1802">
        <f t="shared" si="15"/>
        <v>111</v>
      </c>
      <c r="AA46" s="1799">
        <f t="shared" si="3"/>
        <v>1</v>
      </c>
      <c r="AB46" s="1799">
        <f t="shared" si="4"/>
        <v>1</v>
      </c>
      <c r="AC46" s="2662">
        <f t="shared" si="5"/>
        <v>1</v>
      </c>
    </row>
    <row r="47" spans="1:29" ht="15.75" thickBot="1">
      <c r="A47" s="477"/>
      <c r="B47" s="259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610"/>
      <c r="Q47" s="1798">
        <f t="shared" si="11"/>
        <v>111</v>
      </c>
      <c r="R47" s="773" t="s">
        <v>17</v>
      </c>
      <c r="S47" s="774">
        <f t="shared" si="12"/>
        <v>100</v>
      </c>
      <c r="T47" s="773" t="s">
        <v>17</v>
      </c>
      <c r="U47" s="774">
        <f t="shared" si="13"/>
        <v>100</v>
      </c>
      <c r="V47" s="773" t="s">
        <v>17</v>
      </c>
      <c r="W47" s="774">
        <f t="shared" si="14"/>
        <v>100</v>
      </c>
      <c r="X47" s="1801"/>
      <c r="Y47" s="3612"/>
      <c r="Z47" s="1802">
        <f t="shared" si="15"/>
        <v>111</v>
      </c>
      <c r="AA47" s="1799">
        <f t="shared" si="3"/>
        <v>1</v>
      </c>
      <c r="AB47" s="1799">
        <f t="shared" si="4"/>
        <v>1</v>
      </c>
      <c r="AC47" s="2662">
        <f t="shared" si="5"/>
        <v>1</v>
      </c>
    </row>
    <row r="48" spans="1:29" ht="15">
      <c r="A48" s="478" t="s">
        <v>2576</v>
      </c>
      <c r="B48" s="479"/>
      <c r="C48" s="1403" t="s">
        <v>1</v>
      </c>
      <c r="D48" s="1404"/>
      <c r="E48" s="1405"/>
      <c r="F48" s="1406"/>
      <c r="G48" s="1407"/>
      <c r="H48" s="1408"/>
      <c r="I48" s="1405"/>
      <c r="J48" s="484"/>
      <c r="K48" s="782"/>
      <c r="L48" s="1142"/>
      <c r="M48" s="1130"/>
      <c r="N48" s="1130"/>
      <c r="O48" s="1130"/>
      <c r="P48" s="3590" t="str">
        <f>A48</f>
        <v>成交单价（元/平方米）</v>
      </c>
      <c r="Q48" s="3613"/>
      <c r="R48" s="3614">
        <f>E48</f>
        <v>0</v>
      </c>
      <c r="S48" s="3614"/>
      <c r="T48" s="3614">
        <f>G48</f>
        <v>0</v>
      </c>
      <c r="U48" s="3614"/>
      <c r="V48" s="3614">
        <f>I48</f>
        <v>0</v>
      </c>
      <c r="W48" s="3614"/>
      <c r="X48" s="445"/>
      <c r="Y48" s="780"/>
      <c r="Z48" s="445"/>
      <c r="AA48" s="445"/>
      <c r="AB48" s="445"/>
      <c r="AC48" s="629"/>
    </row>
    <row r="49" spans="1:29" ht="15.75" thickBot="1">
      <c r="A49" s="485" t="s">
        <v>2668</v>
      </c>
      <c r="B49" s="486"/>
      <c r="C49" s="1409" t="e">
        <f>R50</f>
        <v>#DIV/0!</v>
      </c>
      <c r="D49" s="1410"/>
      <c r="E49" s="1411" t="e">
        <f>R49</f>
        <v>#DIV/0!</v>
      </c>
      <c r="F49" s="1411"/>
      <c r="G49" s="1409" t="e">
        <f>T49</f>
        <v>#DIV/0!</v>
      </c>
      <c r="H49" s="1410"/>
      <c r="I49" s="1411" t="e">
        <f>V49</f>
        <v>#DIV/0!</v>
      </c>
      <c r="J49" s="488"/>
      <c r="K49" s="783"/>
      <c r="L49" s="1142"/>
      <c r="M49" s="1130"/>
      <c r="N49" s="1130"/>
      <c r="O49" s="1130"/>
      <c r="P49" s="3590" t="str">
        <f>A49</f>
        <v>比较价值（元/平方米）</v>
      </c>
      <c r="Q49" s="3613"/>
      <c r="R49" s="3614" t="e">
        <f>IF(F1="售价",ROUND(PRODUCT(R48,AA7:AA47),0),ROUND(PRODUCT(R48,AA7:AA47),1))</f>
        <v>#DIV/0!</v>
      </c>
      <c r="S49" s="3614"/>
      <c r="T49" s="3614" t="e">
        <f>IF(F1="售价",ROUND(PRODUCT(T48,AB7:AB47),0),ROUND(PRODUCT(T48,AB7:AB47),1))</f>
        <v>#DIV/0!</v>
      </c>
      <c r="U49" s="3614"/>
      <c r="V49" s="3614" t="e">
        <f>IF(F1="售价",ROUND(PRODUCT(V48,AC7:AC47),0),ROUND(PRODUCT(V48,AC7:AC47),1))</f>
        <v>#DIV/0!</v>
      </c>
      <c r="W49" s="3614"/>
      <c r="X49" s="445"/>
      <c r="Y49" s="445"/>
      <c r="Z49" s="445"/>
      <c r="AA49" s="445"/>
      <c r="AB49" s="445"/>
      <c r="AC49" s="629"/>
    </row>
    <row r="50" spans="1:29" ht="15.75" thickBot="1">
      <c r="A50" s="491" t="s">
        <v>2669</v>
      </c>
      <c r="B50" s="492"/>
      <c r="C50" s="1413" t="e">
        <f>R50</f>
        <v>#DIV/0!</v>
      </c>
      <c r="D50" s="1413"/>
      <c r="E50" s="1413"/>
      <c r="F50" s="1413"/>
      <c r="G50" s="1413"/>
      <c r="H50" s="1413"/>
      <c r="I50" s="1413"/>
      <c r="J50" s="493"/>
      <c r="K50" s="784"/>
      <c r="L50" s="1142"/>
      <c r="M50" s="1130"/>
      <c r="N50" s="1130"/>
      <c r="O50" s="1130"/>
      <c r="P50" s="3684" t="str">
        <f>A50</f>
        <v>估价对象XX用房的比较价值（楼面单价，元/平方米）</v>
      </c>
      <c r="Q50" s="3685"/>
      <c r="R50" s="3686" t="e">
        <f>IF(F1="售价",ROUND(AVERAGE(R49:V49),0),ROUND(AVERAGE(R49:V49),1))</f>
        <v>#DIV/0!</v>
      </c>
      <c r="S50" s="3686"/>
      <c r="T50" s="3686"/>
      <c r="U50" s="3686"/>
      <c r="V50" s="3686"/>
      <c r="W50" s="3686"/>
      <c r="X50" s="2642"/>
      <c r="Y50" s="2642"/>
      <c r="Z50" s="2642"/>
      <c r="AA50" s="2642"/>
      <c r="AB50" s="2642"/>
      <c r="AC50" s="264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68"/>
    </row>
    <row r="56" spans="1:29" s="501" customFormat="1">
      <c r="A56" s="1144"/>
      <c r="B56" s="1145"/>
      <c r="C56" s="1149"/>
      <c r="D56" s="1144"/>
      <c r="E56" s="1144"/>
      <c r="F56" s="1144"/>
      <c r="G56" s="1144"/>
      <c r="H56" s="1144"/>
      <c r="I56" s="1144"/>
      <c r="J56" s="1144"/>
      <c r="K56" s="1147"/>
      <c r="L56" s="1148"/>
      <c r="M56" s="1144"/>
      <c r="N56" s="1144"/>
      <c r="O56" s="1144"/>
      <c r="P56" s="2668"/>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69"/>
      <c r="Q58" s="503"/>
    </row>
    <row r="59" spans="1:29" s="507" customFormat="1" ht="15">
      <c r="A59" s="504" t="s">
        <v>2547</v>
      </c>
      <c r="B59" s="505"/>
      <c r="C59" s="1570" t="str">
        <f>YEAR(C7)&amp;"-"&amp;MONTH(C7)</f>
        <v>2020-6</v>
      </c>
      <c r="D59" s="1571">
        <f>EDATE(C59,-1)</f>
        <v>43952</v>
      </c>
      <c r="E59" s="1571">
        <f>EDATE(D59,-1)</f>
        <v>43922</v>
      </c>
      <c r="F59" s="1571">
        <f t="shared" ref="F59:O59" si="16">EDATE(E59,-1)</f>
        <v>43891</v>
      </c>
      <c r="G59" s="1571">
        <f t="shared" si="16"/>
        <v>43862</v>
      </c>
      <c r="H59" s="1571">
        <f t="shared" si="16"/>
        <v>43831</v>
      </c>
      <c r="I59" s="1571">
        <f t="shared" si="16"/>
        <v>43800</v>
      </c>
      <c r="J59" s="1571">
        <f t="shared" si="16"/>
        <v>43770</v>
      </c>
      <c r="K59" s="1571">
        <f t="shared" si="16"/>
        <v>43739</v>
      </c>
      <c r="L59" s="1571">
        <f t="shared" si="16"/>
        <v>43709</v>
      </c>
      <c r="M59" s="1571">
        <f t="shared" si="16"/>
        <v>43678</v>
      </c>
      <c r="N59" s="1571">
        <f t="shared" si="16"/>
        <v>43647</v>
      </c>
      <c r="O59" s="1571">
        <f t="shared" si="16"/>
        <v>43617</v>
      </c>
      <c r="P59" s="1567"/>
    </row>
    <row r="60" spans="1:29" s="116" customFormat="1" ht="15">
      <c r="A60" s="508"/>
      <c r="B60" s="509"/>
      <c r="C60" s="1569">
        <v>100</v>
      </c>
      <c r="D60" s="511"/>
      <c r="E60" s="511"/>
      <c r="F60" s="511"/>
      <c r="G60" s="511"/>
      <c r="H60" s="511"/>
      <c r="I60" s="511"/>
      <c r="J60" s="511"/>
      <c r="K60" s="511"/>
      <c r="L60" s="511"/>
      <c r="M60" s="512"/>
      <c r="N60" s="511"/>
      <c r="O60" s="512"/>
      <c r="P60" s="2670"/>
    </row>
    <row r="61" spans="1:29" s="116" customFormat="1" ht="15.75" thickBot="1">
      <c r="A61" s="514" t="s">
        <v>2584</v>
      </c>
      <c r="B61" s="515"/>
      <c r="C61" s="516"/>
      <c r="D61" s="517"/>
      <c r="E61" s="517"/>
      <c r="F61" s="517"/>
      <c r="G61" s="517"/>
      <c r="H61" s="517"/>
      <c r="I61" s="517"/>
      <c r="J61" s="517"/>
      <c r="K61" s="517"/>
      <c r="L61" s="517"/>
      <c r="M61" s="518"/>
      <c r="N61" s="517"/>
      <c r="O61" s="518"/>
      <c r="P61" s="2670"/>
      <c r="Q61" s="503"/>
    </row>
    <row r="62" spans="1:29" s="116" customFormat="1" ht="15">
      <c r="A62" s="520" t="s">
        <v>2549</v>
      </c>
      <c r="B62" s="509"/>
      <c r="C62" s="521" t="s">
        <v>2651</v>
      </c>
      <c r="D62" s="522"/>
      <c r="E62" s="522"/>
      <c r="F62" s="522"/>
      <c r="G62" s="522"/>
      <c r="H62" s="522"/>
      <c r="I62" s="522"/>
      <c r="J62" s="522"/>
      <c r="K62" s="522"/>
      <c r="L62" s="523"/>
      <c r="M62" s="524"/>
      <c r="N62" s="1150"/>
      <c r="O62" s="1150"/>
      <c r="P62" s="2671"/>
      <c r="Q62" s="503"/>
    </row>
    <row r="63" spans="1:29" s="116" customFormat="1" ht="15.75" thickBot="1">
      <c r="A63" s="520"/>
      <c r="B63" s="509"/>
      <c r="C63" s="510">
        <v>100</v>
      </c>
      <c r="D63" s="511"/>
      <c r="E63" s="511"/>
      <c r="F63" s="511"/>
      <c r="G63" s="511"/>
      <c r="H63" s="511"/>
      <c r="I63" s="511"/>
      <c r="J63" s="511"/>
      <c r="K63" s="511"/>
      <c r="L63" s="511"/>
      <c r="M63" s="513"/>
      <c r="N63" s="1150"/>
      <c r="O63" s="1150"/>
      <c r="P63" s="2670"/>
      <c r="Q63" s="503"/>
    </row>
    <row r="64" spans="1:29">
      <c r="A64" s="526" t="s">
        <v>2587</v>
      </c>
      <c r="B64" s="527" t="s">
        <v>2553</v>
      </c>
      <c r="C64" s="528">
        <f>C9</f>
        <v>0</v>
      </c>
      <c r="D64" s="529"/>
      <c r="E64" s="529"/>
      <c r="F64" s="529"/>
      <c r="G64" s="529"/>
      <c r="H64" s="529"/>
      <c r="I64" s="529"/>
      <c r="J64" s="529"/>
      <c r="K64" s="530"/>
      <c r="L64" s="531"/>
      <c r="M64" s="532"/>
      <c r="N64" s="1151"/>
      <c r="O64" s="1151"/>
      <c r="P64" s="2672"/>
      <c r="Q64" s="503"/>
    </row>
    <row r="65" spans="1:17" ht="15.75" thickBot="1">
      <c r="A65" s="533"/>
      <c r="B65" s="534"/>
      <c r="C65" s="535">
        <v>100</v>
      </c>
      <c r="D65" s="535"/>
      <c r="E65" s="535"/>
      <c r="F65" s="535"/>
      <c r="G65" s="535"/>
      <c r="H65" s="535"/>
      <c r="I65" s="535"/>
      <c r="J65" s="535"/>
      <c r="K65" s="535"/>
      <c r="L65" s="535"/>
      <c r="M65" s="536"/>
      <c r="N65" s="1152"/>
      <c r="O65" s="1152"/>
      <c r="P65" s="2672"/>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7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2"/>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2"/>
      <c r="Q68" s="503"/>
    </row>
    <row r="69" spans="1:17" ht="15">
      <c r="A69" s="533"/>
      <c r="B69" s="547"/>
      <c r="C69" s="548"/>
      <c r="D69" s="548"/>
      <c r="E69" s="548"/>
      <c r="F69" s="548"/>
      <c r="G69" s="548"/>
      <c r="H69" s="548"/>
      <c r="I69" s="548"/>
      <c r="J69" s="548"/>
      <c r="K69" s="549"/>
      <c r="L69" s="550"/>
      <c r="M69" s="551"/>
      <c r="N69" s="1151"/>
      <c r="O69" s="1151"/>
      <c r="P69" s="267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2"/>
      <c r="Q70" s="503"/>
    </row>
    <row r="71" spans="1:17" s="470" customFormat="1" ht="15.75" thickTop="1">
      <c r="A71" s="552"/>
      <c r="B71" s="537">
        <f>B12</f>
        <v>111</v>
      </c>
      <c r="C71" s="553"/>
      <c r="D71" s="553"/>
      <c r="E71" s="553"/>
      <c r="F71" s="553"/>
      <c r="G71" s="553"/>
      <c r="H71" s="554"/>
      <c r="I71" s="554"/>
      <c r="J71" s="554"/>
      <c r="K71" s="554"/>
      <c r="L71" s="555"/>
      <c r="M71" s="556"/>
      <c r="N71" s="1153"/>
      <c r="O71" s="1153"/>
      <c r="P71" s="2673"/>
      <c r="Q71" s="558"/>
    </row>
    <row r="72" spans="1:17" s="470" customFormat="1" ht="15.75" thickBot="1">
      <c r="A72" s="552"/>
      <c r="B72" s="542"/>
      <c r="C72" s="559"/>
      <c r="D72" s="535"/>
      <c r="E72" s="535"/>
      <c r="F72" s="535"/>
      <c r="G72" s="535"/>
      <c r="H72" s="535"/>
      <c r="I72" s="535"/>
      <c r="J72" s="535"/>
      <c r="K72" s="535"/>
      <c r="L72" s="535"/>
      <c r="M72" s="536"/>
      <c r="N72" s="1152"/>
      <c r="O72" s="1152"/>
      <c r="P72" s="2673"/>
      <c r="Q72" s="558"/>
    </row>
    <row r="73" spans="1:17" s="470" customFormat="1" ht="15.75" thickTop="1">
      <c r="A73" s="552"/>
      <c r="B73" s="537">
        <f>B13</f>
        <v>111</v>
      </c>
      <c r="C73" s="553"/>
      <c r="D73" s="553"/>
      <c r="E73" s="553"/>
      <c r="F73" s="553"/>
      <c r="G73" s="553"/>
      <c r="H73" s="554"/>
      <c r="I73" s="554"/>
      <c r="J73" s="554"/>
      <c r="K73" s="554"/>
      <c r="L73" s="555"/>
      <c r="M73" s="556"/>
      <c r="N73" s="1153"/>
      <c r="O73" s="1153"/>
      <c r="P73" s="2674"/>
      <c r="Q73" s="560"/>
    </row>
    <row r="74" spans="1:17" s="470" customFormat="1" ht="15.75" thickBot="1">
      <c r="A74" s="552"/>
      <c r="B74" s="542"/>
      <c r="C74" s="559"/>
      <c r="D74" s="559"/>
      <c r="E74" s="559"/>
      <c r="F74" s="559"/>
      <c r="G74" s="559"/>
      <c r="H74" s="561"/>
      <c r="I74" s="561"/>
      <c r="J74" s="561"/>
      <c r="K74" s="561"/>
      <c r="L74" s="561"/>
      <c r="M74" s="562"/>
      <c r="N74" s="1153"/>
      <c r="O74" s="1153"/>
      <c r="P74" s="2673"/>
      <c r="Q74" s="558"/>
    </row>
    <row r="75" spans="1:17" s="470" customFormat="1" ht="15.75" thickTop="1">
      <c r="A75" s="552"/>
      <c r="B75" s="545">
        <f>B14</f>
        <v>111</v>
      </c>
      <c r="C75" s="522"/>
      <c r="D75" s="522"/>
      <c r="E75" s="522"/>
      <c r="F75" s="522"/>
      <c r="G75" s="522"/>
      <c r="H75" s="563"/>
      <c r="I75" s="563"/>
      <c r="J75" s="563"/>
      <c r="K75" s="563"/>
      <c r="L75" s="564"/>
      <c r="M75" s="565"/>
      <c r="N75" s="1153"/>
      <c r="O75" s="1153"/>
      <c r="P75" s="2675"/>
      <c r="Q75" s="558"/>
    </row>
    <row r="76" spans="1:17" s="470" customFormat="1" ht="15.75" thickBot="1">
      <c r="A76" s="567"/>
      <c r="B76" s="568"/>
      <c r="C76" s="569"/>
      <c r="D76" s="569"/>
      <c r="E76" s="569"/>
      <c r="F76" s="569"/>
      <c r="G76" s="569"/>
      <c r="H76" s="570"/>
      <c r="I76" s="570"/>
      <c r="J76" s="570"/>
      <c r="K76" s="570"/>
      <c r="L76" s="570"/>
      <c r="M76" s="571"/>
      <c r="N76" s="1153"/>
      <c r="O76" s="1153"/>
      <c r="P76" s="2673"/>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7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2"/>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7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2"/>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7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2"/>
      <c r="Q82" s="503"/>
    </row>
    <row r="83" spans="1:17" ht="15.75" thickTop="1">
      <c r="A83" s="533"/>
      <c r="B83" s="545" t="s">
        <v>2688</v>
      </c>
      <c r="C83" s="659" t="s">
        <v>2674</v>
      </c>
      <c r="D83" s="659" t="s">
        <v>2675</v>
      </c>
      <c r="E83" s="659" t="s">
        <v>2676</v>
      </c>
      <c r="F83" s="659" t="s">
        <v>2677</v>
      </c>
      <c r="G83" s="659" t="s">
        <v>2678</v>
      </c>
      <c r="H83" s="538"/>
      <c r="I83" s="538"/>
      <c r="J83" s="538"/>
      <c r="K83" s="538"/>
      <c r="L83" s="538"/>
      <c r="M83" s="1378"/>
      <c r="N83" s="1152"/>
      <c r="O83" s="1152"/>
      <c r="P83" s="267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2"/>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7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2"/>
      <c r="Q86" s="503"/>
    </row>
    <row r="87" spans="1:17" s="116" customFormat="1" ht="27.75" thickTop="1">
      <c r="A87" s="578"/>
      <c r="B87" s="537" t="s">
        <v>2698</v>
      </c>
      <c r="C87" s="553"/>
      <c r="D87" s="553"/>
      <c r="E87" s="553"/>
      <c r="F87" s="553"/>
      <c r="G87" s="553"/>
      <c r="H87" s="553"/>
      <c r="I87" s="553"/>
      <c r="J87" s="553"/>
      <c r="K87" s="553"/>
      <c r="L87" s="579"/>
      <c r="M87" s="580"/>
      <c r="N87" s="1150"/>
      <c r="O87" s="1150"/>
      <c r="P87" s="267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2"/>
      <c r="Q88" s="503"/>
    </row>
    <row r="89" spans="1:17" s="116" customFormat="1" ht="15.75" thickTop="1">
      <c r="A89" s="578"/>
      <c r="B89" s="537" t="str">
        <f>B27</f>
        <v>楼层</v>
      </c>
      <c r="C89" s="553"/>
      <c r="D89" s="553"/>
      <c r="E89" s="553"/>
      <c r="F89" s="2623"/>
      <c r="G89" s="553"/>
      <c r="H89" s="553"/>
      <c r="I89" s="553"/>
      <c r="J89" s="553"/>
      <c r="K89" s="553"/>
      <c r="L89" s="553"/>
      <c r="M89" s="580"/>
      <c r="N89" s="1150"/>
      <c r="O89" s="1150"/>
      <c r="P89" s="267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2"/>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3"/>
      <c r="Q92" s="558"/>
    </row>
    <row r="93" spans="1:17" ht="15.75" thickTop="1">
      <c r="A93" s="533"/>
      <c r="B93" s="537">
        <f>B29</f>
        <v>111</v>
      </c>
      <c r="C93" s="553"/>
      <c r="D93" s="553"/>
      <c r="E93" s="553"/>
      <c r="F93" s="553"/>
      <c r="G93" s="553"/>
      <c r="H93" s="553"/>
      <c r="I93" s="553"/>
      <c r="J93" s="553"/>
      <c r="K93" s="553"/>
      <c r="L93" s="579"/>
      <c r="M93" s="580"/>
      <c r="N93" s="1151"/>
      <c r="O93" s="1151"/>
      <c r="P93" s="2672"/>
      <c r="Q93" s="503"/>
    </row>
    <row r="94" spans="1:17" ht="15.75" thickBot="1">
      <c r="A94" s="533"/>
      <c r="B94" s="542"/>
      <c r="C94" s="559"/>
      <c r="D94" s="535"/>
      <c r="E94" s="535"/>
      <c r="F94" s="535"/>
      <c r="G94" s="535"/>
      <c r="H94" s="535"/>
      <c r="I94" s="535"/>
      <c r="J94" s="535"/>
      <c r="K94" s="535"/>
      <c r="L94" s="535"/>
      <c r="M94" s="536"/>
      <c r="N94" s="1152"/>
      <c r="O94" s="1152"/>
      <c r="P94" s="2672"/>
      <c r="Q94" s="503"/>
    </row>
    <row r="95" spans="1:17" ht="15.75" thickTop="1">
      <c r="A95" s="533"/>
      <c r="B95" s="537">
        <f>B30</f>
        <v>111</v>
      </c>
      <c r="C95" s="553"/>
      <c r="D95" s="553"/>
      <c r="E95" s="553"/>
      <c r="F95" s="553"/>
      <c r="G95" s="582"/>
      <c r="H95" s="582"/>
      <c r="I95" s="582"/>
      <c r="J95" s="582"/>
      <c r="K95" s="583"/>
      <c r="L95" s="584"/>
      <c r="M95" s="585"/>
      <c r="N95" s="1151"/>
      <c r="O95" s="1151"/>
      <c r="P95" s="2672"/>
      <c r="Q95" s="503"/>
    </row>
    <row r="96" spans="1:17" ht="15.75" thickBot="1">
      <c r="A96" s="533"/>
      <c r="B96" s="542"/>
      <c r="C96" s="559"/>
      <c r="D96" s="559"/>
      <c r="E96" s="559"/>
      <c r="F96" s="559"/>
      <c r="G96" s="535"/>
      <c r="H96" s="535"/>
      <c r="I96" s="535"/>
      <c r="J96" s="535"/>
      <c r="K96" s="535"/>
      <c r="L96" s="535"/>
      <c r="M96" s="536"/>
      <c r="N96" s="1152"/>
      <c r="O96" s="1152"/>
      <c r="P96" s="2672"/>
      <c r="Q96" s="503"/>
    </row>
    <row r="97" spans="1:17" ht="15.75" thickTop="1">
      <c r="A97" s="533"/>
      <c r="B97" s="537">
        <f>B31</f>
        <v>111</v>
      </c>
      <c r="C97" s="553"/>
      <c r="D97" s="553"/>
      <c r="E97" s="553"/>
      <c r="F97" s="553"/>
      <c r="G97" s="582"/>
      <c r="H97" s="582"/>
      <c r="I97" s="582"/>
      <c r="J97" s="582"/>
      <c r="K97" s="583"/>
      <c r="L97" s="584"/>
      <c r="M97" s="585"/>
      <c r="N97" s="1151"/>
      <c r="O97" s="1151"/>
      <c r="P97" s="2672"/>
      <c r="Q97" s="503"/>
    </row>
    <row r="98" spans="1:17" ht="15.75" thickBot="1">
      <c r="A98" s="533"/>
      <c r="B98" s="542"/>
      <c r="C98" s="559"/>
      <c r="D98" s="535"/>
      <c r="E98" s="535"/>
      <c r="F98" s="535"/>
      <c r="G98" s="535"/>
      <c r="H98" s="535"/>
      <c r="I98" s="535"/>
      <c r="J98" s="535"/>
      <c r="K98" s="535"/>
      <c r="L98" s="535"/>
      <c r="M98" s="536"/>
      <c r="N98" s="1152"/>
      <c r="O98" s="1152"/>
      <c r="P98" s="2672"/>
      <c r="Q98" s="503"/>
    </row>
    <row r="99" spans="1:17" ht="15.75" thickTop="1">
      <c r="A99" s="533"/>
      <c r="B99" s="545">
        <f>B32</f>
        <v>111</v>
      </c>
      <c r="C99" s="522"/>
      <c r="D99" s="522"/>
      <c r="E99" s="522"/>
      <c r="F99" s="522"/>
      <c r="G99" s="586"/>
      <c r="H99" s="586"/>
      <c r="I99" s="586"/>
      <c r="J99" s="586"/>
      <c r="K99" s="587"/>
      <c r="L99" s="588"/>
      <c r="M99" s="589"/>
      <c r="N99" s="1151"/>
      <c r="O99" s="1151"/>
      <c r="P99" s="2672"/>
      <c r="Q99" s="503"/>
    </row>
    <row r="100" spans="1:17" ht="15.75" thickBot="1">
      <c r="A100" s="2624"/>
      <c r="B100" s="568"/>
      <c r="C100" s="569"/>
      <c r="D100" s="569"/>
      <c r="E100" s="569"/>
      <c r="F100" s="569"/>
      <c r="G100" s="590"/>
      <c r="H100" s="590"/>
      <c r="I100" s="590"/>
      <c r="J100" s="590"/>
      <c r="K100" s="590"/>
      <c r="L100" s="590"/>
      <c r="M100" s="591"/>
      <c r="N100" s="1152"/>
      <c r="O100" s="1152"/>
      <c r="P100" s="2672"/>
      <c r="Q100" s="503"/>
    </row>
    <row r="101" spans="1:17">
      <c r="A101" s="526" t="s">
        <v>2562</v>
      </c>
      <c r="B101" s="527" t="s">
        <v>2611</v>
      </c>
      <c r="C101" s="529"/>
      <c r="D101" s="529"/>
      <c r="E101" s="529"/>
      <c r="F101" s="529"/>
      <c r="G101" s="529"/>
      <c r="H101" s="529"/>
      <c r="I101" s="529"/>
      <c r="J101" s="529"/>
      <c r="K101" s="530"/>
      <c r="L101" s="531"/>
      <c r="M101" s="532"/>
      <c r="N101" s="1151"/>
      <c r="O101" s="1151"/>
      <c r="P101" s="267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2"/>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2"/>
      <c r="Q103" s="503"/>
    </row>
    <row r="104" spans="1:17" s="470" customFormat="1">
      <c r="A104" s="592"/>
      <c r="B104" s="593"/>
      <c r="C104" s="594"/>
      <c r="D104" s="594"/>
      <c r="E104" s="594"/>
      <c r="F104" s="594"/>
      <c r="G104" s="594"/>
      <c r="H104" s="594"/>
      <c r="I104" s="594"/>
      <c r="J104" s="595"/>
      <c r="K104" s="595"/>
      <c r="L104" s="596"/>
      <c r="M104" s="597"/>
      <c r="N104" s="1153"/>
      <c r="O104" s="1153"/>
      <c r="P104" s="2673"/>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3"/>
      <c r="Q105" s="558"/>
    </row>
    <row r="106" spans="1:17" ht="15" thickTop="1">
      <c r="A106" s="598"/>
      <c r="B106" s="537" t="s">
        <v>2613</v>
      </c>
      <c r="C106" s="553"/>
      <c r="D106" s="553"/>
      <c r="E106" s="582"/>
      <c r="F106" s="582"/>
      <c r="G106" s="582"/>
      <c r="H106" s="582"/>
      <c r="I106" s="582"/>
      <c r="J106" s="582"/>
      <c r="K106" s="583"/>
      <c r="L106" s="584"/>
      <c r="M106" s="585"/>
      <c r="N106" s="1151"/>
      <c r="O106" s="1151"/>
      <c r="P106" s="267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2"/>
      <c r="Q107" s="503"/>
    </row>
    <row r="108" spans="1:17" ht="15" thickTop="1">
      <c r="A108" s="598"/>
      <c r="B108" s="537" t="s">
        <v>2615</v>
      </c>
      <c r="C108" s="553"/>
      <c r="D108" s="553"/>
      <c r="E108" s="553"/>
      <c r="F108" s="582"/>
      <c r="G108" s="582"/>
      <c r="H108" s="582"/>
      <c r="I108" s="582"/>
      <c r="J108" s="582"/>
      <c r="K108" s="583"/>
      <c r="L108" s="584"/>
      <c r="M108" s="585"/>
      <c r="N108" s="1151"/>
      <c r="O108" s="1151"/>
      <c r="P108" s="267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2"/>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2"/>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7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3"/>
      <c r="Q114" s="558"/>
    </row>
    <row r="115" spans="1:17" ht="15" thickTop="1">
      <c r="A115" s="598"/>
      <c r="B115" s="537" t="s">
        <v>2616</v>
      </c>
      <c r="C115" s="553"/>
      <c r="D115" s="553"/>
      <c r="E115" s="582"/>
      <c r="F115" s="582"/>
      <c r="G115" s="582"/>
      <c r="H115" s="582"/>
      <c r="I115" s="582"/>
      <c r="J115" s="582"/>
      <c r="K115" s="583"/>
      <c r="L115" s="584"/>
      <c r="M115" s="585"/>
      <c r="N115" s="1151"/>
      <c r="O115" s="1151"/>
      <c r="P115" s="267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2"/>
      <c r="Q116" s="503"/>
    </row>
    <row r="117" spans="1:17" ht="15" thickTop="1">
      <c r="A117" s="598"/>
      <c r="B117" s="537" t="s">
        <v>2617</v>
      </c>
      <c r="C117" s="553"/>
      <c r="D117" s="553"/>
      <c r="E117" s="553"/>
      <c r="F117" s="553"/>
      <c r="G117" s="553"/>
      <c r="H117" s="582"/>
      <c r="I117" s="582"/>
      <c r="J117" s="582"/>
      <c r="K117" s="583"/>
      <c r="L117" s="584"/>
      <c r="M117" s="585"/>
      <c r="N117" s="1151"/>
      <c r="O117" s="1151"/>
      <c r="P117" s="267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2"/>
      <c r="Q118" s="503"/>
    </row>
    <row r="119" spans="1:17" ht="15" thickTop="1">
      <c r="A119" s="598"/>
      <c r="B119" s="635" t="s">
        <v>2700</v>
      </c>
      <c r="C119" s="582"/>
      <c r="D119" s="582"/>
      <c r="E119" s="582"/>
      <c r="F119" s="582"/>
      <c r="G119" s="582"/>
      <c r="H119" s="582"/>
      <c r="I119" s="582"/>
      <c r="J119" s="582"/>
      <c r="K119" s="582"/>
      <c r="L119" s="2677"/>
      <c r="M119" s="2678"/>
      <c r="N119" s="1152"/>
      <c r="O119" s="1152"/>
      <c r="P119" s="267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2"/>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73"/>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3"/>
      <c r="Q122" s="558"/>
    </row>
    <row r="123" spans="1:17" ht="15" thickTop="1">
      <c r="A123" s="598"/>
      <c r="B123" s="537" t="s">
        <v>2619</v>
      </c>
      <c r="C123" s="553"/>
      <c r="D123" s="553"/>
      <c r="E123" s="553"/>
      <c r="F123" s="582"/>
      <c r="G123" s="582"/>
      <c r="H123" s="582"/>
      <c r="I123" s="582"/>
      <c r="J123" s="582"/>
      <c r="K123" s="583"/>
      <c r="L123" s="584"/>
      <c r="M123" s="585"/>
      <c r="N123" s="1151"/>
      <c r="O123" s="1151"/>
      <c r="P123" s="267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2"/>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7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2"/>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3"/>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3"/>
      <c r="Q128" s="558"/>
    </row>
    <row r="129" spans="1:17" ht="15" thickTop="1">
      <c r="A129" s="598"/>
      <c r="B129" s="537">
        <f>B46</f>
        <v>111</v>
      </c>
      <c r="C129" s="553"/>
      <c r="D129" s="553"/>
      <c r="E129" s="553"/>
      <c r="F129" s="553"/>
      <c r="G129" s="582"/>
      <c r="H129" s="582"/>
      <c r="I129" s="582"/>
      <c r="J129" s="582"/>
      <c r="K129" s="583"/>
      <c r="L129" s="584"/>
      <c r="M129" s="585"/>
      <c r="N129" s="1151"/>
      <c r="O129" s="1151"/>
      <c r="P129" s="2672"/>
      <c r="Q129" s="503"/>
    </row>
    <row r="130" spans="1:17" ht="15.75" thickBot="1">
      <c r="A130" s="533"/>
      <c r="B130" s="542"/>
      <c r="C130" s="559"/>
      <c r="D130" s="559"/>
      <c r="E130" s="559"/>
      <c r="F130" s="559"/>
      <c r="G130" s="535"/>
      <c r="H130" s="535"/>
      <c r="I130" s="535"/>
      <c r="J130" s="535"/>
      <c r="K130" s="535"/>
      <c r="L130" s="535"/>
      <c r="M130" s="536"/>
      <c r="N130" s="1152"/>
      <c r="O130" s="1152"/>
      <c r="P130" s="2672"/>
      <c r="Q130" s="503"/>
    </row>
    <row r="131" spans="1:17" ht="15" thickTop="1">
      <c r="A131" s="598"/>
      <c r="B131" s="545">
        <f>B47</f>
        <v>111</v>
      </c>
      <c r="C131" s="522"/>
      <c r="D131" s="522"/>
      <c r="E131" s="522"/>
      <c r="F131" s="522"/>
      <c r="G131" s="586"/>
      <c r="H131" s="586"/>
      <c r="I131" s="586"/>
      <c r="J131" s="586"/>
      <c r="K131" s="522"/>
      <c r="L131" s="523"/>
      <c r="M131" s="589"/>
      <c r="N131" s="1151"/>
      <c r="O131" s="1151"/>
      <c r="P131" s="2672"/>
      <c r="Q131" s="503"/>
    </row>
    <row r="132" spans="1:17" ht="15.75" thickBot="1">
      <c r="A132" s="2624"/>
      <c r="B132" s="568"/>
      <c r="C132" s="569"/>
      <c r="D132" s="569"/>
      <c r="E132" s="569"/>
      <c r="F132" s="569"/>
      <c r="G132" s="590"/>
      <c r="H132" s="590"/>
      <c r="I132" s="590"/>
      <c r="J132" s="590"/>
      <c r="K132" s="590"/>
      <c r="L132" s="590"/>
      <c r="M132" s="591"/>
      <c r="N132" s="1152"/>
      <c r="O132" s="1152"/>
      <c r="P132" s="267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47" customWidth="1"/>
    <col min="2" max="2" width="37.125" style="1947" customWidth="1"/>
    <col min="3" max="3" width="11.375" style="1947" customWidth="1"/>
    <col min="4" max="4" width="31.875" style="1947" customWidth="1"/>
    <col min="5" max="5" width="0.5" style="1947" customWidth="1"/>
    <col min="6" max="7" width="13" style="1947" customWidth="1"/>
    <col min="8" max="16384" width="9" style="1947"/>
  </cols>
  <sheetData>
    <row r="1" spans="1:5" ht="18.75">
      <c r="A1" s="1945" t="s">
        <v>1615</v>
      </c>
      <c r="B1" s="1946"/>
      <c r="C1" s="1946"/>
      <c r="D1" s="1946"/>
      <c r="E1" s="1946"/>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估价结果一览表（市场价值不需“结果表-1”）</v>
      </c>
      <c r="B3" s="3275"/>
      <c r="C3" s="3275"/>
      <c r="D3" s="3275"/>
      <c r="E3" s="3275"/>
    </row>
    <row r="4" spans="1:5" ht="19.5" thickBot="1">
      <c r="A4" s="1948"/>
      <c r="B4" s="3273" t="s">
        <v>1624</v>
      </c>
      <c r="C4" s="3273"/>
      <c r="D4" s="3273"/>
      <c r="E4" s="1948"/>
    </row>
    <row r="5" spans="1:5" ht="16.5" thickTop="1">
      <c r="A5" s="1946"/>
      <c r="B5" s="3271" t="s">
        <v>1616</v>
      </c>
      <c r="C5" s="1949" t="s">
        <v>1617</v>
      </c>
      <c r="D5" s="1039">
        <f ca="1">结果表!H101</f>
        <v>305676</v>
      </c>
      <c r="E5" s="1946"/>
    </row>
    <row r="6" spans="1:5" ht="15.75">
      <c r="A6" s="1946"/>
      <c r="B6" s="3271"/>
      <c r="C6" s="1949" t="s">
        <v>1618</v>
      </c>
      <c r="D6" s="1039" t="str">
        <f ca="1">NUMBERSTRING(INT(D5*10000),2)&amp;"元整"</f>
        <v>叁拾亿伍仟陆佰柒拾陆万元整</v>
      </c>
      <c r="E6" s="1946"/>
    </row>
    <row r="7" spans="1:5" ht="15.75">
      <c r="A7" s="1946"/>
      <c r="B7" s="3276"/>
      <c r="C7" s="1950" t="s">
        <v>1619</v>
      </c>
      <c r="D7" s="1040">
        <f ca="1">结果表!H102</f>
        <v>22536</v>
      </c>
      <c r="E7" s="1946"/>
    </row>
    <row r="8" spans="1:5" ht="15.75">
      <c r="A8" s="1946"/>
      <c r="B8" s="3277" t="str">
        <f>结果表!E103</f>
        <v>2.估价师知悉的法定优先受偿款</v>
      </c>
      <c r="C8" s="1951" t="s">
        <v>1620</v>
      </c>
      <c r="D8" s="1040">
        <f>结果表!H103</f>
        <v>0</v>
      </c>
      <c r="E8" s="1946"/>
    </row>
    <row r="9" spans="1:5" ht="15.75">
      <c r="A9" s="1946"/>
      <c r="B9" s="3279"/>
      <c r="C9" s="1949" t="s">
        <v>1618</v>
      </c>
      <c r="D9" s="1039" t="str">
        <f>NUMBERSTRING(INT(D8*10000),2)&amp;"元整"</f>
        <v>零元整</v>
      </c>
      <c r="E9" s="1946"/>
    </row>
    <row r="10" spans="1:5" ht="15">
      <c r="A10" s="1946"/>
      <c r="B10" s="1952" t="s">
        <v>1623</v>
      </c>
      <c r="C10" s="1953" t="s">
        <v>1621</v>
      </c>
      <c r="D10" s="1041">
        <f>结果表!H104</f>
        <v>0</v>
      </c>
      <c r="E10" s="1946"/>
    </row>
    <row r="11" spans="1:5" ht="15">
      <c r="A11" s="1946"/>
      <c r="B11" s="1952" t="s">
        <v>1625</v>
      </c>
      <c r="C11" s="1953" t="s">
        <v>1626</v>
      </c>
      <c r="D11" s="1041">
        <f>结果表!H105</f>
        <v>0</v>
      </c>
      <c r="E11" s="1946"/>
    </row>
    <row r="12" spans="1:5" ht="15">
      <c r="A12" s="1946"/>
      <c r="B12" s="1952" t="s">
        <v>1627</v>
      </c>
      <c r="C12" s="1953" t="s">
        <v>1626</v>
      </c>
      <c r="D12" s="1041">
        <f>结果表!H106</f>
        <v>0</v>
      </c>
      <c r="E12" s="1946"/>
    </row>
    <row r="13" spans="1:5" ht="15.75">
      <c r="A13" s="1946"/>
      <c r="B13" s="3270" t="str">
        <f>结果表!E107</f>
        <v>3.房地产抵押价值</v>
      </c>
      <c r="C13" s="1954" t="s">
        <v>1617</v>
      </c>
      <c r="D13" s="1042">
        <f ca="1">结果表!H107</f>
        <v>305676</v>
      </c>
      <c r="E13" s="1946"/>
    </row>
    <row r="14" spans="1:5" ht="15.75">
      <c r="A14" s="1946"/>
      <c r="B14" s="3271"/>
      <c r="C14" s="1949" t="s">
        <v>1618</v>
      </c>
      <c r="D14" s="1039" t="str">
        <f ca="1">NUMBERSTRING(INT(D13*10000),2)&amp;"元整"</f>
        <v>叁拾亿伍仟陆佰柒拾陆万元整</v>
      </c>
      <c r="E14" s="1946"/>
    </row>
    <row r="15" spans="1:5" ht="15">
      <c r="A15" s="1946"/>
      <c r="B15" s="3276"/>
      <c r="C15" s="1950" t="s">
        <v>1628</v>
      </c>
      <c r="D15" s="1051">
        <f ca="1">结果表!H108</f>
        <v>22536</v>
      </c>
      <c r="E15" s="1946"/>
    </row>
    <row r="16" spans="1:5" ht="15">
      <c r="A16" s="1946"/>
      <c r="B16" s="3277" t="str">
        <f>结果表!E109</f>
        <v>——</v>
      </c>
      <c r="C16" s="1954" t="s">
        <v>1629</v>
      </c>
      <c r="D16" s="1955" t="str">
        <f>结果表!H109</f>
        <v>——</v>
      </c>
      <c r="E16" s="1946"/>
    </row>
    <row r="17" spans="1:5" ht="15.75">
      <c r="A17" s="1946"/>
      <c r="B17" s="3278"/>
      <c r="C17" s="1949" t="s">
        <v>1630</v>
      </c>
      <c r="D17" s="1039" t="e">
        <f>NUMBERSTRING(INT(D16*10000),2)&amp;"元整"</f>
        <v>#VALUE!</v>
      </c>
      <c r="E17" s="1946"/>
    </row>
    <row r="18" spans="1:5" ht="15">
      <c r="A18" s="1946"/>
      <c r="B18" s="3279"/>
      <c r="C18" s="1950" t="s">
        <v>1619</v>
      </c>
      <c r="D18" s="1051" t="str">
        <f>结果表!H110</f>
        <v>——</v>
      </c>
      <c r="E18" s="1946"/>
    </row>
    <row r="19" spans="1:5" ht="15.75">
      <c r="A19" s="1946"/>
      <c r="B19" s="3270" t="str">
        <f>结果表!E111</f>
        <v>——</v>
      </c>
      <c r="C19" s="1954" t="s">
        <v>1617</v>
      </c>
      <c r="D19" s="1040" t="str">
        <f>结果表!H111</f>
        <v>——</v>
      </c>
      <c r="E19" s="1946"/>
    </row>
    <row r="20" spans="1:5" ht="15.75">
      <c r="A20" s="1946"/>
      <c r="B20" s="3271"/>
      <c r="C20" s="1949" t="s">
        <v>1630</v>
      </c>
      <c r="D20" s="1039" t="e">
        <f>NUMBERSTRING(INT(D19*10000),2)&amp;"元整"</f>
        <v>#VALUE!</v>
      </c>
      <c r="E20" s="1946"/>
    </row>
    <row r="21" spans="1:5" ht="15.75" thickBot="1">
      <c r="A21" s="1946"/>
      <c r="B21" s="3272"/>
      <c r="C21" s="1956" t="s">
        <v>1628</v>
      </c>
      <c r="D21" s="1052" t="str">
        <f>结果表!H112</f>
        <v>——</v>
      </c>
      <c r="E21" s="1946"/>
    </row>
    <row r="22" spans="1:5" ht="15" thickTop="1">
      <c r="A22" s="1946"/>
      <c r="B22" s="1957" t="s">
        <v>1631</v>
      </c>
      <c r="C22" s="1946"/>
      <c r="D22" s="1946"/>
      <c r="E22" s="1946"/>
    </row>
    <row r="23" spans="1:5">
      <c r="A23" s="1946"/>
      <c r="B23" s="1946"/>
      <c r="C23" s="1946"/>
      <c r="D23" s="1946"/>
      <c r="E23" s="1946"/>
    </row>
    <row r="24" spans="1:5" ht="18.75">
      <c r="A24" s="1958"/>
      <c r="B24" s="1959" t="s">
        <v>1622</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87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875" style="402" customWidth="1"/>
    <col min="17" max="17" width="19.5" style="402" customWidth="1"/>
    <col min="18" max="22" width="6.125" style="402" customWidth="1"/>
    <col min="23" max="23" width="5.875" style="402" customWidth="1"/>
    <col min="24" max="24" width="4.125" style="402" customWidth="1"/>
    <col min="25" max="25" width="3.5" style="402" customWidth="1"/>
    <col min="26" max="26" width="19.875" style="402" customWidth="1"/>
    <col min="27" max="28" width="9.375" style="402" customWidth="1"/>
    <col min="29" max="16384" width="9" style="402"/>
  </cols>
  <sheetData>
    <row r="1" spans="1:29" s="1625" customFormat="1" ht="28.5" customHeight="1" thickBot="1">
      <c r="A1" s="1614" t="s">
        <v>2527</v>
      </c>
      <c r="B1" s="2657" t="s">
        <v>2701</v>
      </c>
      <c r="C1" s="1616" t="s">
        <v>2529</v>
      </c>
      <c r="D1" s="1617"/>
      <c r="E1" s="1626"/>
      <c r="F1" s="2572"/>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4"/>
      <c r="D2" s="1123" t="e">
        <f ca="1">SUMIF(INDIRECT("'"&amp;F2&amp;"'"&amp;"!A:A"),"承租人权益价值",INDIRECT("'"&amp;F2&amp;"'"&amp;"!c:c"))</f>
        <v>#REF!</v>
      </c>
      <c r="E2" s="2575" t="s">
        <v>2327</v>
      </c>
      <c r="F2" s="257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135636.54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591" t="s">
        <v>2645</v>
      </c>
      <c r="D4" s="3592"/>
      <c r="E4" s="3593" t="s">
        <v>2646</v>
      </c>
      <c r="F4" s="3594"/>
      <c r="G4" s="3591" t="s">
        <v>2647</v>
      </c>
      <c r="H4" s="3592"/>
      <c r="I4" s="3591" t="s">
        <v>2648</v>
      </c>
      <c r="J4" s="3592"/>
      <c r="K4" s="609" t="s">
        <v>2649</v>
      </c>
      <c r="L4" s="1129"/>
      <c r="M4" s="1130"/>
      <c r="N4" s="1130"/>
      <c r="O4" s="1130"/>
      <c r="P4" s="3595" t="s">
        <v>2650</v>
      </c>
      <c r="Q4" s="3596"/>
      <c r="R4" s="3577" t="s">
        <v>2646</v>
      </c>
      <c r="S4" s="3578"/>
      <c r="T4" s="3577" t="s">
        <v>2647</v>
      </c>
      <c r="U4" s="3578"/>
      <c r="V4" s="3574" t="s">
        <v>2648</v>
      </c>
      <c r="W4" s="3574"/>
      <c r="X4" s="1801"/>
      <c r="Y4" s="3577" t="s">
        <v>2650</v>
      </c>
      <c r="Z4" s="3578"/>
      <c r="AA4" s="3571" t="s">
        <v>2646</v>
      </c>
      <c r="AB4" s="3572" t="s">
        <v>2647</v>
      </c>
      <c r="AC4" s="3571" t="s">
        <v>2648</v>
      </c>
    </row>
    <row r="5" spans="1:29" ht="15">
      <c r="A5" s="403"/>
      <c r="B5" s="404"/>
      <c r="C5" s="3583" t="s">
        <v>2541</v>
      </c>
      <c r="D5" s="3584"/>
      <c r="E5" s="3671" t="s">
        <v>2542</v>
      </c>
      <c r="F5" s="3582"/>
      <c r="G5" s="3583" t="s">
        <v>2543</v>
      </c>
      <c r="H5" s="3584"/>
      <c r="I5" s="3583" t="s">
        <v>2544</v>
      </c>
      <c r="J5" s="3584"/>
      <c r="K5" s="609"/>
      <c r="L5" s="1129"/>
      <c r="M5" s="1130"/>
      <c r="N5" s="1130"/>
      <c r="O5" s="1130"/>
      <c r="P5" s="3597"/>
      <c r="Q5" s="3598"/>
      <c r="R5" s="3579"/>
      <c r="S5" s="3580"/>
      <c r="T5" s="3579"/>
      <c r="U5" s="3580"/>
      <c r="V5" s="3574"/>
      <c r="W5" s="3574"/>
      <c r="X5" s="1801"/>
      <c r="Y5" s="3579"/>
      <c r="Z5" s="3580"/>
      <c r="AA5" s="3572"/>
      <c r="AB5" s="3572"/>
      <c r="AC5" s="3572"/>
    </row>
    <row r="6" spans="1:29" ht="15.75" thickBot="1">
      <c r="A6" s="405"/>
      <c r="B6" s="406"/>
      <c r="C6" s="3585" t="s">
        <v>2545</v>
      </c>
      <c r="D6" s="3586"/>
      <c r="E6" s="3588" t="s">
        <v>2545</v>
      </c>
      <c r="F6" s="3589"/>
      <c r="G6" s="3585" t="s">
        <v>2545</v>
      </c>
      <c r="H6" s="3586"/>
      <c r="I6" s="3585" t="s">
        <v>2545</v>
      </c>
      <c r="J6" s="3586"/>
      <c r="K6" s="609" t="s">
        <v>2546</v>
      </c>
      <c r="L6" s="1129"/>
      <c r="M6" s="1130"/>
      <c r="N6" s="1130"/>
      <c r="O6" s="1130"/>
      <c r="P6" s="3599"/>
      <c r="Q6" s="3600"/>
      <c r="R6" s="3579"/>
      <c r="S6" s="3580"/>
      <c r="T6" s="3601"/>
      <c r="U6" s="3602"/>
      <c r="V6" s="3574"/>
      <c r="W6" s="3574"/>
      <c r="X6" s="1801"/>
      <c r="Y6" s="3601"/>
      <c r="Z6" s="3602"/>
      <c r="AA6" s="3573"/>
      <c r="AB6" s="3573"/>
      <c r="AC6" s="3573"/>
    </row>
    <row r="7" spans="1:29" s="116" customFormat="1" ht="15.75" thickBot="1">
      <c r="A7" s="407" t="s">
        <v>2547</v>
      </c>
      <c r="B7" s="408"/>
      <c r="C7" s="409">
        <f>'数据-取费表'!B2</f>
        <v>44011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575" t="s">
        <v>2548</v>
      </c>
      <c r="Q7" s="3603"/>
      <c r="R7" s="769" t="s">
        <v>17</v>
      </c>
      <c r="S7" s="770">
        <f t="shared" ref="S7:S15" si="0">F7</f>
        <v>0</v>
      </c>
      <c r="T7" s="769" t="s">
        <v>17</v>
      </c>
      <c r="U7" s="770">
        <f t="shared" ref="U7:U15" si="1">H7</f>
        <v>0</v>
      </c>
      <c r="V7" s="769" t="s">
        <v>17</v>
      </c>
      <c r="W7" s="770">
        <f t="shared" ref="W7:W15" si="2">J7</f>
        <v>0</v>
      </c>
      <c r="X7" s="771"/>
      <c r="Y7" s="3575" t="s">
        <v>2548</v>
      </c>
      <c r="Z7" s="3576"/>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575" t="s">
        <v>2551</v>
      </c>
      <c r="Q8" s="3576"/>
      <c r="R8" s="769" t="s">
        <v>17</v>
      </c>
      <c r="S8" s="770">
        <f t="shared" si="0"/>
        <v>0</v>
      </c>
      <c r="T8" s="769" t="s">
        <v>17</v>
      </c>
      <c r="U8" s="770">
        <f t="shared" si="1"/>
        <v>0</v>
      </c>
      <c r="V8" s="769" t="s">
        <v>17</v>
      </c>
      <c r="W8" s="770">
        <f t="shared" si="2"/>
        <v>0</v>
      </c>
      <c r="X8" s="771"/>
      <c r="Y8" s="3575" t="s">
        <v>2551</v>
      </c>
      <c r="Z8" s="3576"/>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613" t="s">
        <v>2554</v>
      </c>
      <c r="Q9" s="1783" t="str">
        <f t="shared" ref="Q9:Q15" si="6">B9</f>
        <v>用途</v>
      </c>
      <c r="R9" s="769" t="s">
        <v>17</v>
      </c>
      <c r="S9" s="770">
        <f t="shared" si="0"/>
        <v>100</v>
      </c>
      <c r="T9" s="769" t="s">
        <v>17</v>
      </c>
      <c r="U9" s="770">
        <f t="shared" si="1"/>
        <v>100</v>
      </c>
      <c r="V9" s="769" t="s">
        <v>17</v>
      </c>
      <c r="W9" s="770">
        <f t="shared" si="2"/>
        <v>100</v>
      </c>
      <c r="X9" s="771"/>
      <c r="Y9" s="3335"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613"/>
      <c r="Q10" s="1783" t="str">
        <f t="shared" si="6"/>
        <v>土地使用年限（年）</v>
      </c>
      <c r="R10" s="769" t="s">
        <v>17</v>
      </c>
      <c r="S10" s="770">
        <f t="shared" si="0"/>
        <v>100</v>
      </c>
      <c r="T10" s="769" t="s">
        <v>17</v>
      </c>
      <c r="U10" s="770">
        <f t="shared" si="1"/>
        <v>100</v>
      </c>
      <c r="V10" s="769" t="s">
        <v>17</v>
      </c>
      <c r="W10" s="770">
        <f t="shared" si="2"/>
        <v>100</v>
      </c>
      <c r="X10" s="771"/>
      <c r="Y10" s="3335"/>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613"/>
      <c r="Q11" s="1783" t="str">
        <f t="shared" si="6"/>
        <v>容积率</v>
      </c>
      <c r="R11" s="769" t="s">
        <v>17</v>
      </c>
      <c r="S11" s="770" t="e">
        <f t="shared" si="0"/>
        <v>#N/A</v>
      </c>
      <c r="T11" s="769" t="s">
        <v>17</v>
      </c>
      <c r="U11" s="770" t="e">
        <f t="shared" si="1"/>
        <v>#N/A</v>
      </c>
      <c r="V11" s="769" t="s">
        <v>17</v>
      </c>
      <c r="W11" s="770" t="e">
        <f t="shared" si="2"/>
        <v>#N/A</v>
      </c>
      <c r="X11" s="771"/>
      <c r="Y11" s="3335"/>
      <c r="Z11" s="55" t="str">
        <f t="shared" si="7"/>
        <v>容积率</v>
      </c>
      <c r="AA11" s="772" t="e">
        <f t="shared" si="3"/>
        <v>#N/A</v>
      </c>
      <c r="AB11" s="772" t="e">
        <f t="shared" si="4"/>
        <v>#N/A</v>
      </c>
      <c r="AC11" s="772" t="e">
        <f t="shared" si="5"/>
        <v>#N/A</v>
      </c>
    </row>
    <row r="12" spans="1:29" s="116" customFormat="1" ht="15">
      <c r="A12" s="430"/>
      <c r="B12" s="2588">
        <v>111</v>
      </c>
      <c r="C12" s="431"/>
      <c r="D12" s="432">
        <v>100</v>
      </c>
      <c r="E12" s="433"/>
      <c r="F12" s="135">
        <f>SUMIF(64:64,E12,65:65)-SUMIF(64:64,C12,65:65)+100</f>
        <v>100</v>
      </c>
      <c r="G12" s="2680"/>
      <c r="H12" s="135">
        <f>SUMIF(64:64,G12,65:65)-SUMIF(64:64,C12,65:65)+100</f>
        <v>100</v>
      </c>
      <c r="I12" s="468"/>
      <c r="J12" s="135">
        <f>SUMIF(64:64,I12,65:65)-SUMIF(64:64,C12,65:65)+100</f>
        <v>100</v>
      </c>
      <c r="K12" s="612"/>
      <c r="L12" s="1131"/>
      <c r="M12" s="1132"/>
      <c r="N12" s="1132"/>
      <c r="O12" s="1133"/>
      <c r="P12" s="3613"/>
      <c r="Q12" s="1783">
        <f t="shared" si="6"/>
        <v>111</v>
      </c>
      <c r="R12" s="769" t="s">
        <v>17</v>
      </c>
      <c r="S12" s="770">
        <f t="shared" si="0"/>
        <v>100</v>
      </c>
      <c r="T12" s="769" t="s">
        <v>17</v>
      </c>
      <c r="U12" s="770">
        <f t="shared" si="1"/>
        <v>100</v>
      </c>
      <c r="V12" s="769" t="s">
        <v>17</v>
      </c>
      <c r="W12" s="770">
        <f t="shared" si="2"/>
        <v>100</v>
      </c>
      <c r="X12" s="771"/>
      <c r="Y12" s="3335"/>
      <c r="Z12" s="55">
        <f t="shared" si="7"/>
        <v>111</v>
      </c>
      <c r="AA12" s="772">
        <f>D12/F12</f>
        <v>1</v>
      </c>
      <c r="AB12" s="772">
        <f>D12/H12</f>
        <v>1</v>
      </c>
      <c r="AC12" s="772">
        <f>D12/J12</f>
        <v>1</v>
      </c>
    </row>
    <row r="13" spans="1:29" ht="15">
      <c r="A13" s="427"/>
      <c r="B13" s="2588">
        <v>111</v>
      </c>
      <c r="C13" s="433"/>
      <c r="D13" s="434">
        <v>100</v>
      </c>
      <c r="E13" s="433"/>
      <c r="F13" s="135">
        <f>SUMIF(66:66,E13,67:67)-SUMIF(66:66,C13,67:67)+100</f>
        <v>100</v>
      </c>
      <c r="G13" s="2680"/>
      <c r="H13" s="434">
        <f>SUMIF(66:66,G13,67:67)-SUMIF(66:66,C13,67:67)+100</f>
        <v>100</v>
      </c>
      <c r="I13" s="468"/>
      <c r="J13" s="434">
        <f>SUMIF(66:66,I13,67:67)-SUMIF(66:66,C13,67:67)+100</f>
        <v>100</v>
      </c>
      <c r="K13" s="612"/>
      <c r="L13" s="1139"/>
      <c r="M13" s="1130"/>
      <c r="N13" s="1130"/>
      <c r="O13" s="1138"/>
      <c r="P13" s="3613"/>
      <c r="Q13" s="1783">
        <f t="shared" si="6"/>
        <v>111</v>
      </c>
      <c r="R13" s="769" t="s">
        <v>17</v>
      </c>
      <c r="S13" s="770">
        <f t="shared" si="0"/>
        <v>100</v>
      </c>
      <c r="T13" s="769" t="s">
        <v>17</v>
      </c>
      <c r="U13" s="770">
        <f t="shared" si="1"/>
        <v>100</v>
      </c>
      <c r="V13" s="769" t="s">
        <v>17</v>
      </c>
      <c r="W13" s="770">
        <f t="shared" si="2"/>
        <v>100</v>
      </c>
      <c r="X13" s="771"/>
      <c r="Y13" s="3335"/>
      <c r="Z13" s="55">
        <f t="shared" si="7"/>
        <v>111</v>
      </c>
      <c r="AA13" s="772">
        <f t="shared" si="3"/>
        <v>1</v>
      </c>
      <c r="AB13" s="772">
        <f t="shared" si="4"/>
        <v>1</v>
      </c>
      <c r="AC13" s="772">
        <f t="shared" si="5"/>
        <v>1</v>
      </c>
    </row>
    <row r="14" spans="1:29" ht="15.75" thickBot="1">
      <c r="A14" s="435"/>
      <c r="B14" s="2590">
        <v>111</v>
      </c>
      <c r="C14" s="436"/>
      <c r="D14" s="437">
        <v>100</v>
      </c>
      <c r="E14" s="436"/>
      <c r="F14" s="437">
        <f>SUMIF(68:68,E14,69:69)-SUMIF(68:68,C14,69:69)+100</f>
        <v>100</v>
      </c>
      <c r="G14" s="2680"/>
      <c r="H14" s="437">
        <f>SUMIF(68:68,G14,69:69)-SUMIF(68:68,C14,69:69)+100</f>
        <v>100</v>
      </c>
      <c r="I14" s="468"/>
      <c r="J14" s="437">
        <f>SUMIF(68:68,I14,69:69)-SUMIF(68:68,C14,69:69)+100</f>
        <v>100</v>
      </c>
      <c r="K14" s="612"/>
      <c r="L14" s="1139"/>
      <c r="M14" s="1130"/>
      <c r="N14" s="1130"/>
      <c r="O14" s="1138"/>
      <c r="P14" s="3613"/>
      <c r="Q14" s="1783">
        <f t="shared" si="6"/>
        <v>111</v>
      </c>
      <c r="R14" s="769" t="s">
        <v>17</v>
      </c>
      <c r="S14" s="770">
        <f t="shared" si="0"/>
        <v>100</v>
      </c>
      <c r="T14" s="769" t="s">
        <v>17</v>
      </c>
      <c r="U14" s="770">
        <f t="shared" si="1"/>
        <v>100</v>
      </c>
      <c r="V14" s="769" t="s">
        <v>17</v>
      </c>
      <c r="W14" s="770">
        <f t="shared" si="2"/>
        <v>100</v>
      </c>
      <c r="X14" s="771"/>
      <c r="Y14" s="3335"/>
      <c r="Z14" s="55">
        <f t="shared" si="7"/>
        <v>111</v>
      </c>
      <c r="AA14" s="772">
        <f t="shared" si="3"/>
        <v>1</v>
      </c>
      <c r="AB14" s="772">
        <f t="shared" si="4"/>
        <v>1</v>
      </c>
      <c r="AC14" s="772">
        <f t="shared" si="5"/>
        <v>1</v>
      </c>
    </row>
    <row r="15" spans="1:29" ht="57">
      <c r="A15" s="439" t="s">
        <v>2558</v>
      </c>
      <c r="B15" s="68" t="s">
        <v>2702</v>
      </c>
      <c r="C15" s="268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606" t="s">
        <v>2559</v>
      </c>
      <c r="Q15" s="1798" t="str">
        <f t="shared" si="6"/>
        <v>产业集聚程度</v>
      </c>
      <c r="R15" s="773" t="s">
        <v>17</v>
      </c>
      <c r="S15" s="774">
        <f t="shared" si="0"/>
        <v>100</v>
      </c>
      <c r="T15" s="773" t="s">
        <v>17</v>
      </c>
      <c r="U15" s="774">
        <f t="shared" si="1"/>
        <v>100</v>
      </c>
      <c r="V15" s="773" t="s">
        <v>17</v>
      </c>
      <c r="W15" s="774">
        <f t="shared" si="2"/>
        <v>100</v>
      </c>
      <c r="X15" s="1801"/>
      <c r="Y15" s="3606" t="s">
        <v>2559</v>
      </c>
      <c r="Z15" s="1802" t="str">
        <f t="shared" si="7"/>
        <v>产业集聚程度</v>
      </c>
      <c r="AA15" s="1799">
        <f t="shared" si="3"/>
        <v>1</v>
      </c>
      <c r="AB15" s="1799">
        <f t="shared" si="4"/>
        <v>1</v>
      </c>
      <c r="AC15" s="1799">
        <f t="shared" si="5"/>
        <v>1</v>
      </c>
    </row>
    <row r="16" spans="1:29" ht="15">
      <c r="A16" s="427"/>
      <c r="B16" s="445"/>
      <c r="C16" s="446"/>
      <c r="D16" s="447"/>
      <c r="E16" s="446"/>
      <c r="F16" s="448"/>
      <c r="G16" s="446"/>
      <c r="H16" s="449"/>
      <c r="I16" s="446"/>
      <c r="J16" s="447"/>
      <c r="K16" s="614"/>
      <c r="L16" s="1139"/>
      <c r="M16" s="1130"/>
      <c r="N16" s="1130"/>
      <c r="O16" s="1138"/>
      <c r="P16" s="3607"/>
      <c r="Q16" s="1798"/>
      <c r="R16" s="773"/>
      <c r="S16" s="774"/>
      <c r="T16" s="773"/>
      <c r="U16" s="774"/>
      <c r="V16" s="773"/>
      <c r="W16" s="774"/>
      <c r="X16" s="1801"/>
      <c r="Y16" s="3607"/>
      <c r="Z16" s="1802"/>
      <c r="AA16" s="1799">
        <v>1</v>
      </c>
      <c r="AB16" s="1799">
        <v>1</v>
      </c>
      <c r="AC16" s="1799">
        <v>1</v>
      </c>
    </row>
    <row r="17" spans="1:29" ht="85.5">
      <c r="A17" s="427"/>
      <c r="B17" s="450" t="s">
        <v>2095</v>
      </c>
      <c r="C17" s="259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607"/>
      <c r="Q17" s="1798" t="str">
        <f>B17</f>
        <v>交通便捷度</v>
      </c>
      <c r="R17" s="773" t="s">
        <v>17</v>
      </c>
      <c r="S17" s="774">
        <f>F17</f>
        <v>100</v>
      </c>
      <c r="T17" s="773" t="s">
        <v>17</v>
      </c>
      <c r="U17" s="774">
        <f>H17</f>
        <v>100</v>
      </c>
      <c r="V17" s="773" t="s">
        <v>17</v>
      </c>
      <c r="W17" s="774">
        <f>J17</f>
        <v>100</v>
      </c>
      <c r="X17" s="1801"/>
      <c r="Y17" s="3607"/>
      <c r="Z17" s="1802" t="str">
        <f>Q17</f>
        <v>交通便捷度</v>
      </c>
      <c r="AA17" s="1799">
        <f t="shared" si="3"/>
        <v>1</v>
      </c>
      <c r="AB17" s="1799">
        <f t="shared" si="4"/>
        <v>1</v>
      </c>
      <c r="AC17" s="1799">
        <f t="shared" si="5"/>
        <v>1</v>
      </c>
    </row>
    <row r="18" spans="1:29" ht="15">
      <c r="A18" s="427"/>
      <c r="B18" s="455"/>
      <c r="C18" s="2596"/>
      <c r="D18" s="449"/>
      <c r="E18" s="2598"/>
      <c r="F18" s="452"/>
      <c r="G18" s="2597"/>
      <c r="H18" s="447"/>
      <c r="I18" s="2598"/>
      <c r="J18" s="447"/>
      <c r="K18" s="614"/>
      <c r="L18" s="1139"/>
      <c r="M18" s="1130"/>
      <c r="N18" s="1130"/>
      <c r="O18" s="1138"/>
      <c r="P18" s="3607"/>
      <c r="Q18" s="1798"/>
      <c r="R18" s="773"/>
      <c r="S18" s="774"/>
      <c r="T18" s="773"/>
      <c r="U18" s="774"/>
      <c r="V18" s="773"/>
      <c r="W18" s="774"/>
      <c r="X18" s="1801"/>
      <c r="Y18" s="3607"/>
      <c r="Z18" s="1802"/>
      <c r="AA18" s="1799">
        <v>1</v>
      </c>
      <c r="AB18" s="1799">
        <v>1</v>
      </c>
      <c r="AC18" s="1799">
        <v>1</v>
      </c>
    </row>
    <row r="19" spans="1:29" ht="42.75">
      <c r="A19" s="427"/>
      <c r="B19" s="450" t="s">
        <v>2687</v>
      </c>
      <c r="C19" s="259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607"/>
      <c r="Q19" s="1798" t="str">
        <f>B19</f>
        <v>公共配套设施</v>
      </c>
      <c r="R19" s="773" t="s">
        <v>17</v>
      </c>
      <c r="S19" s="774">
        <f>F19</f>
        <v>100</v>
      </c>
      <c r="T19" s="773" t="s">
        <v>17</v>
      </c>
      <c r="U19" s="774">
        <f>H19</f>
        <v>100</v>
      </c>
      <c r="V19" s="773" t="s">
        <v>17</v>
      </c>
      <c r="W19" s="774">
        <f>J19</f>
        <v>100</v>
      </c>
      <c r="X19" s="1801"/>
      <c r="Y19" s="3607"/>
      <c r="Z19" s="1802" t="str">
        <f>Q19</f>
        <v>公共配套设施</v>
      </c>
      <c r="AA19" s="1799">
        <f t="shared" si="3"/>
        <v>1</v>
      </c>
      <c r="AB19" s="1799">
        <f t="shared" si="4"/>
        <v>1</v>
      </c>
      <c r="AC19" s="1799">
        <f t="shared" si="5"/>
        <v>1</v>
      </c>
    </row>
    <row r="20" spans="1:29" ht="15">
      <c r="A20" s="427"/>
      <c r="B20" s="455"/>
      <c r="C20" s="446"/>
      <c r="D20" s="447"/>
      <c r="E20" s="2593"/>
      <c r="F20" s="448"/>
      <c r="G20" s="2592"/>
      <c r="H20" s="447"/>
      <c r="I20" s="2593"/>
      <c r="J20" s="447"/>
      <c r="K20" s="614"/>
      <c r="L20" s="1139"/>
      <c r="M20" s="1130"/>
      <c r="N20" s="1130"/>
      <c r="O20" s="1138"/>
      <c r="P20" s="3607"/>
      <c r="Q20" s="1798"/>
      <c r="R20" s="773"/>
      <c r="S20" s="774"/>
      <c r="T20" s="773"/>
      <c r="U20" s="774"/>
      <c r="V20" s="773"/>
      <c r="W20" s="774"/>
      <c r="X20" s="1801"/>
      <c r="Y20" s="3607"/>
      <c r="Z20" s="1802"/>
      <c r="AA20" s="1799">
        <v>1</v>
      </c>
      <c r="AB20" s="1799">
        <v>1</v>
      </c>
      <c r="AC20" s="1799">
        <v>1</v>
      </c>
    </row>
    <row r="21" spans="1:29" ht="28.5">
      <c r="A21" s="427"/>
      <c r="B21" s="1380" t="s">
        <v>2688</v>
      </c>
      <c r="C21" s="259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607"/>
      <c r="Q21" s="1798" t="str">
        <f>B21</f>
        <v>基础设施水平</v>
      </c>
      <c r="R21" s="773" t="s">
        <v>17</v>
      </c>
      <c r="S21" s="774">
        <f>F21</f>
        <v>100</v>
      </c>
      <c r="T21" s="773" t="s">
        <v>17</v>
      </c>
      <c r="U21" s="774">
        <f>H21</f>
        <v>100</v>
      </c>
      <c r="V21" s="773" t="s">
        <v>17</v>
      </c>
      <c r="W21" s="774">
        <f>J21</f>
        <v>100</v>
      </c>
      <c r="X21" s="1801"/>
      <c r="Y21" s="3607"/>
      <c r="Z21" s="1802" t="str">
        <f>Q21</f>
        <v>基础设施水平</v>
      </c>
      <c r="AA21" s="1799">
        <f t="shared" ref="AA21" si="8">D21/F21</f>
        <v>1</v>
      </c>
      <c r="AB21" s="1799">
        <f t="shared" ref="AB21" si="9">D21/H21</f>
        <v>1</v>
      </c>
      <c r="AC21" s="1799">
        <f t="shared" ref="AC21" si="10">D21/J21</f>
        <v>1</v>
      </c>
    </row>
    <row r="22" spans="1:29" ht="15">
      <c r="A22" s="427"/>
      <c r="B22" s="1380"/>
      <c r="C22" s="2596"/>
      <c r="D22" s="447"/>
      <c r="E22" s="446"/>
      <c r="F22" s="448"/>
      <c r="G22" s="446"/>
      <c r="H22" s="447"/>
      <c r="I22" s="446"/>
      <c r="J22" s="447"/>
      <c r="K22" s="1379"/>
      <c r="L22" s="1139"/>
      <c r="M22" s="1130"/>
      <c r="N22" s="1130"/>
      <c r="O22" s="1138"/>
      <c r="P22" s="3607"/>
      <c r="Q22" s="1798"/>
      <c r="R22" s="773"/>
      <c r="S22" s="774"/>
      <c r="T22" s="773"/>
      <c r="U22" s="774"/>
      <c r="V22" s="773"/>
      <c r="W22" s="774"/>
      <c r="X22" s="1801"/>
      <c r="Y22" s="3607"/>
      <c r="Z22" s="1802"/>
      <c r="AA22" s="1799">
        <v>1</v>
      </c>
      <c r="AB22" s="1799">
        <v>1</v>
      </c>
      <c r="AC22" s="1799">
        <v>1</v>
      </c>
    </row>
    <row r="23" spans="1:29" ht="71.25">
      <c r="A23" s="427"/>
      <c r="B23" s="450" t="s">
        <v>2689</v>
      </c>
      <c r="C23" s="259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607"/>
      <c r="Q23" s="1798" t="str">
        <f>B23</f>
        <v>环境质量</v>
      </c>
      <c r="R23" s="773" t="s">
        <v>17</v>
      </c>
      <c r="S23" s="774">
        <f>F23</f>
        <v>100</v>
      </c>
      <c r="T23" s="773" t="s">
        <v>17</v>
      </c>
      <c r="U23" s="774">
        <f>H23</f>
        <v>100</v>
      </c>
      <c r="V23" s="773" t="s">
        <v>17</v>
      </c>
      <c r="W23" s="774">
        <f>J23</f>
        <v>100</v>
      </c>
      <c r="X23" s="1801"/>
      <c r="Y23" s="3607"/>
      <c r="Z23" s="1802" t="str">
        <f>Q23</f>
        <v>环境质量</v>
      </c>
      <c r="AA23" s="1799">
        <f t="shared" si="3"/>
        <v>1</v>
      </c>
      <c r="AB23" s="1799">
        <f t="shared" si="4"/>
        <v>1</v>
      </c>
      <c r="AC23" s="1799">
        <f t="shared" si="5"/>
        <v>1</v>
      </c>
    </row>
    <row r="24" spans="1:29" ht="15">
      <c r="A24" s="427"/>
      <c r="B24" s="1380"/>
      <c r="C24" s="446"/>
      <c r="D24" s="447"/>
      <c r="E24" s="2593"/>
      <c r="F24" s="448"/>
      <c r="G24" s="2592"/>
      <c r="H24" s="447"/>
      <c r="I24" s="2593"/>
      <c r="J24" s="447"/>
      <c r="K24" s="614"/>
      <c r="L24" s="1139"/>
      <c r="M24" s="1130"/>
      <c r="N24" s="1130"/>
      <c r="O24" s="1138"/>
      <c r="P24" s="3607"/>
      <c r="Q24" s="1798"/>
      <c r="R24" s="773"/>
      <c r="S24" s="774"/>
      <c r="T24" s="773"/>
      <c r="U24" s="774"/>
      <c r="V24" s="773"/>
      <c r="W24" s="774"/>
      <c r="X24" s="1801"/>
      <c r="Y24" s="3607"/>
      <c r="Z24" s="1802"/>
      <c r="AA24" s="1799">
        <v>1</v>
      </c>
      <c r="AB24" s="1799">
        <v>1</v>
      </c>
      <c r="AC24" s="1799">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607"/>
      <c r="Q25" s="1798">
        <f>B25</f>
        <v>111</v>
      </c>
      <c r="R25" s="773" t="s">
        <v>17</v>
      </c>
      <c r="S25" s="774">
        <f>F25</f>
        <v>100</v>
      </c>
      <c r="T25" s="773" t="s">
        <v>17</v>
      </c>
      <c r="U25" s="774">
        <f>H25</f>
        <v>100</v>
      </c>
      <c r="V25" s="773" t="s">
        <v>17</v>
      </c>
      <c r="W25" s="774">
        <f>J25</f>
        <v>100</v>
      </c>
      <c r="X25" s="1801"/>
      <c r="Y25" s="3607"/>
      <c r="Z25" s="1802">
        <f>Q25</f>
        <v>111</v>
      </c>
      <c r="AA25" s="1799">
        <f t="shared" si="3"/>
        <v>1</v>
      </c>
      <c r="AB25" s="1799">
        <f t="shared" si="4"/>
        <v>1</v>
      </c>
      <c r="AC25" s="1799">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607"/>
      <c r="Q26" s="1798">
        <f t="shared" ref="Q26:Q40" si="11">B26</f>
        <v>111</v>
      </c>
      <c r="R26" s="773" t="s">
        <v>17</v>
      </c>
      <c r="S26" s="774">
        <f>F26</f>
        <v>100</v>
      </c>
      <c r="T26" s="773" t="s">
        <v>17</v>
      </c>
      <c r="U26" s="774">
        <f>H26</f>
        <v>100</v>
      </c>
      <c r="V26" s="773" t="s">
        <v>17</v>
      </c>
      <c r="W26" s="774">
        <f>J26</f>
        <v>100</v>
      </c>
      <c r="X26" s="1801"/>
      <c r="Y26" s="3607"/>
      <c r="Z26" s="1802">
        <f>Q26</f>
        <v>111</v>
      </c>
      <c r="AA26" s="1799">
        <f t="shared" si="3"/>
        <v>1</v>
      </c>
      <c r="AB26" s="1799">
        <f t="shared" si="4"/>
        <v>1</v>
      </c>
      <c r="AC26" s="1799">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607"/>
      <c r="Q27" s="1783">
        <f t="shared" si="11"/>
        <v>111</v>
      </c>
      <c r="R27" s="769" t="s">
        <v>17</v>
      </c>
      <c r="S27" s="770">
        <f>F27</f>
        <v>100</v>
      </c>
      <c r="T27" s="769" t="s">
        <v>17</v>
      </c>
      <c r="U27" s="770">
        <f>H27</f>
        <v>100</v>
      </c>
      <c r="V27" s="769" t="s">
        <v>17</v>
      </c>
      <c r="W27" s="770">
        <f>J27</f>
        <v>100</v>
      </c>
      <c r="X27" s="771"/>
      <c r="Y27" s="3607"/>
      <c r="Z27" s="55">
        <f>Q27</f>
        <v>111</v>
      </c>
      <c r="AA27" s="1799">
        <f>D27/F27</f>
        <v>1</v>
      </c>
      <c r="AB27" s="1799">
        <f>D27/H27</f>
        <v>1</v>
      </c>
      <c r="AC27" s="1799">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607"/>
      <c r="Q28" s="1798">
        <f t="shared" si="11"/>
        <v>111</v>
      </c>
      <c r="R28" s="773" t="s">
        <v>17</v>
      </c>
      <c r="S28" s="774">
        <f t="shared" ref="S28:S40" si="12">F28</f>
        <v>100</v>
      </c>
      <c r="T28" s="773" t="s">
        <v>17</v>
      </c>
      <c r="U28" s="774">
        <f t="shared" ref="U28:U40" si="13">H28</f>
        <v>100</v>
      </c>
      <c r="V28" s="773" t="s">
        <v>17</v>
      </c>
      <c r="W28" s="774">
        <f t="shared" ref="W28:W40" si="14">J28</f>
        <v>100</v>
      </c>
      <c r="X28" s="1801"/>
      <c r="Y28" s="3607"/>
      <c r="Z28" s="1802">
        <f t="shared" ref="Z28:Z40" si="15">Q28</f>
        <v>111</v>
      </c>
      <c r="AA28" s="1799">
        <f t="shared" si="3"/>
        <v>1</v>
      </c>
      <c r="AB28" s="1799">
        <f t="shared" si="4"/>
        <v>1</v>
      </c>
      <c r="AC28" s="1799">
        <f t="shared" si="5"/>
        <v>1</v>
      </c>
    </row>
    <row r="29" spans="1:29" ht="15">
      <c r="A29" s="465" t="s">
        <v>2562</v>
      </c>
      <c r="B29" s="70" t="s">
        <v>2692</v>
      </c>
      <c r="C29" s="2667"/>
      <c r="D29" s="466">
        <v>100</v>
      </c>
      <c r="E29" s="2667"/>
      <c r="F29" s="460">
        <f>SUMIF(88:88,E29,89:89)-SUMIF(88:88,C29,89:89)+100</f>
        <v>100</v>
      </c>
      <c r="G29" s="2667"/>
      <c r="H29" s="434">
        <f>SUMIF(88:88,G29,89:89)-SUMIF(88:88,C29,89:89)+100</f>
        <v>100</v>
      </c>
      <c r="I29" s="2667"/>
      <c r="J29" s="466">
        <f>SUMIF(88:88,I29,89:89)-SUMIF(88:88,C29,89:89)+100</f>
        <v>100</v>
      </c>
      <c r="K29" s="611"/>
      <c r="L29" s="1139"/>
      <c r="M29" s="1130"/>
      <c r="N29" s="1130"/>
      <c r="O29" s="1138"/>
      <c r="P29" s="3687" t="s">
        <v>2564</v>
      </c>
      <c r="Q29" s="1798" t="str">
        <f t="shared" si="11"/>
        <v>建筑类型</v>
      </c>
      <c r="R29" s="773" t="s">
        <v>17</v>
      </c>
      <c r="S29" s="774">
        <f t="shared" si="12"/>
        <v>100</v>
      </c>
      <c r="T29" s="773" t="s">
        <v>17</v>
      </c>
      <c r="U29" s="774">
        <f t="shared" si="13"/>
        <v>100</v>
      </c>
      <c r="V29" s="773" t="s">
        <v>17</v>
      </c>
      <c r="W29" s="774">
        <f t="shared" si="14"/>
        <v>100</v>
      </c>
      <c r="X29" s="1801"/>
      <c r="Y29" s="3611" t="s">
        <v>2564</v>
      </c>
      <c r="Z29" s="1802" t="str">
        <f t="shared" si="15"/>
        <v>建筑类型</v>
      </c>
      <c r="AA29" s="1799">
        <f t="shared" si="3"/>
        <v>1</v>
      </c>
      <c r="AB29" s="1799">
        <f t="shared" si="4"/>
        <v>1</v>
      </c>
      <c r="AC29" s="1799">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611"/>
      <c r="Q30" s="775" t="str">
        <f t="shared" si="11"/>
        <v>项目建筑规模</v>
      </c>
      <c r="R30" s="776" t="s">
        <v>17</v>
      </c>
      <c r="S30" s="777" t="e">
        <f t="shared" si="12"/>
        <v>#N/A</v>
      </c>
      <c r="T30" s="776" t="s">
        <v>17</v>
      </c>
      <c r="U30" s="777" t="e">
        <f t="shared" si="13"/>
        <v>#N/A</v>
      </c>
      <c r="V30" s="776" t="s">
        <v>17</v>
      </c>
      <c r="W30" s="777" t="e">
        <f t="shared" si="14"/>
        <v>#N/A</v>
      </c>
      <c r="X30" s="778"/>
      <c r="Y30" s="3611"/>
      <c r="Z30" s="779" t="str">
        <f t="shared" si="15"/>
        <v>项目建筑规模</v>
      </c>
      <c r="AA30" s="1799" t="e">
        <f t="shared" si="3"/>
        <v>#N/A</v>
      </c>
      <c r="AB30" s="1799" t="e">
        <f t="shared" si="4"/>
        <v>#N/A</v>
      </c>
      <c r="AC30" s="1799"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611"/>
      <c r="Q31" s="1798" t="str">
        <f t="shared" si="11"/>
        <v>建筑结构</v>
      </c>
      <c r="R31" s="773" t="s">
        <v>17</v>
      </c>
      <c r="S31" s="774">
        <f t="shared" si="12"/>
        <v>100</v>
      </c>
      <c r="T31" s="773" t="s">
        <v>17</v>
      </c>
      <c r="U31" s="774">
        <f t="shared" si="13"/>
        <v>100</v>
      </c>
      <c r="V31" s="773" t="s">
        <v>17</v>
      </c>
      <c r="W31" s="774">
        <f t="shared" si="14"/>
        <v>100</v>
      </c>
      <c r="X31" s="1801"/>
      <c r="Y31" s="3611"/>
      <c r="Z31" s="1802" t="str">
        <f t="shared" si="15"/>
        <v>建筑结构</v>
      </c>
      <c r="AA31" s="1799">
        <f t="shared" si="3"/>
        <v>1</v>
      </c>
      <c r="AB31" s="1799">
        <f t="shared" si="4"/>
        <v>1</v>
      </c>
      <c r="AC31" s="1799">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611"/>
      <c r="Q32" s="1798" t="str">
        <f t="shared" si="11"/>
        <v>公共部分装修</v>
      </c>
      <c r="R32" s="773" t="s">
        <v>17</v>
      </c>
      <c r="S32" s="774">
        <f t="shared" si="12"/>
        <v>100</v>
      </c>
      <c r="T32" s="773" t="s">
        <v>17</v>
      </c>
      <c r="U32" s="774">
        <f t="shared" si="13"/>
        <v>100</v>
      </c>
      <c r="V32" s="773" t="s">
        <v>17</v>
      </c>
      <c r="W32" s="774">
        <f t="shared" si="14"/>
        <v>100</v>
      </c>
      <c r="X32" s="1801"/>
      <c r="Y32" s="3611"/>
      <c r="Z32" s="1802" t="str">
        <f t="shared" si="15"/>
        <v>公共部分装修</v>
      </c>
      <c r="AA32" s="1799">
        <f t="shared" si="3"/>
        <v>1</v>
      </c>
      <c r="AB32" s="1799">
        <f t="shared" si="4"/>
        <v>1</v>
      </c>
      <c r="AC32" s="1799">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611"/>
      <c r="Q33" s="1798" t="str">
        <f t="shared" si="11"/>
        <v>成新度</v>
      </c>
      <c r="R33" s="773" t="s">
        <v>17</v>
      </c>
      <c r="S33" s="774" t="e">
        <f t="shared" si="12"/>
        <v>#N/A</v>
      </c>
      <c r="T33" s="773" t="s">
        <v>17</v>
      </c>
      <c r="U33" s="774" t="e">
        <f t="shared" si="13"/>
        <v>#N/A</v>
      </c>
      <c r="V33" s="773" t="s">
        <v>17</v>
      </c>
      <c r="W33" s="774" t="e">
        <f t="shared" si="14"/>
        <v>#N/A</v>
      </c>
      <c r="X33" s="1801"/>
      <c r="Y33" s="3611"/>
      <c r="Z33" s="1802" t="str">
        <f t="shared" si="15"/>
        <v>成新度</v>
      </c>
      <c r="AA33" s="1799" t="e">
        <f t="shared" si="3"/>
        <v>#N/A</v>
      </c>
      <c r="AB33" s="1799" t="e">
        <f t="shared" si="4"/>
        <v>#N/A</v>
      </c>
      <c r="AC33" s="1799"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611"/>
      <c r="Q34" s="1783" t="str">
        <f t="shared" si="11"/>
        <v>物业管理</v>
      </c>
      <c r="R34" s="769" t="s">
        <v>17</v>
      </c>
      <c r="S34" s="770">
        <f t="shared" si="12"/>
        <v>100</v>
      </c>
      <c r="T34" s="769" t="s">
        <v>17</v>
      </c>
      <c r="U34" s="770">
        <f t="shared" si="13"/>
        <v>100</v>
      </c>
      <c r="V34" s="769" t="s">
        <v>17</v>
      </c>
      <c r="W34" s="770">
        <f t="shared" si="14"/>
        <v>100</v>
      </c>
      <c r="X34" s="771"/>
      <c r="Y34" s="3611"/>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611" t="s">
        <v>2564</v>
      </c>
      <c r="Q35" s="1798" t="str">
        <f t="shared" si="11"/>
        <v>市政基础设施</v>
      </c>
      <c r="R35" s="773" t="s">
        <v>17</v>
      </c>
      <c r="S35" s="774">
        <f t="shared" si="12"/>
        <v>100</v>
      </c>
      <c r="T35" s="773" t="s">
        <v>17</v>
      </c>
      <c r="U35" s="774">
        <f t="shared" si="13"/>
        <v>100</v>
      </c>
      <c r="V35" s="773" t="s">
        <v>17</v>
      </c>
      <c r="W35" s="774">
        <f t="shared" si="14"/>
        <v>100</v>
      </c>
      <c r="X35" s="1801"/>
      <c r="Y35" s="3611" t="s">
        <v>2564</v>
      </c>
      <c r="Z35" s="1802" t="str">
        <f t="shared" si="15"/>
        <v>市政基础设施</v>
      </c>
      <c r="AA35" s="1799">
        <f t="shared" si="3"/>
        <v>1</v>
      </c>
      <c r="AB35" s="1799">
        <f t="shared" si="4"/>
        <v>1</v>
      </c>
      <c r="AC35" s="1799">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611"/>
      <c r="Q36" s="1798" t="str">
        <f t="shared" si="11"/>
        <v>内部装修</v>
      </c>
      <c r="R36" s="773" t="s">
        <v>17</v>
      </c>
      <c r="S36" s="774">
        <f t="shared" si="12"/>
        <v>100</v>
      </c>
      <c r="T36" s="773" t="s">
        <v>17</v>
      </c>
      <c r="U36" s="774">
        <f t="shared" si="13"/>
        <v>100</v>
      </c>
      <c r="V36" s="773" t="s">
        <v>17</v>
      </c>
      <c r="W36" s="774">
        <f t="shared" si="14"/>
        <v>100</v>
      </c>
      <c r="X36" s="1801"/>
      <c r="Y36" s="3611"/>
      <c r="Z36" s="1802" t="str">
        <f t="shared" si="15"/>
        <v>内部装修</v>
      </c>
      <c r="AA36" s="1799">
        <f t="shared" si="3"/>
        <v>1</v>
      </c>
      <c r="AB36" s="1799">
        <f t="shared" si="4"/>
        <v>1</v>
      </c>
      <c r="AC36" s="1799">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611"/>
      <c r="Q37" s="1798" t="str">
        <f t="shared" si="11"/>
        <v>内部装修状况</v>
      </c>
      <c r="R37" s="773" t="s">
        <v>17</v>
      </c>
      <c r="S37" s="774">
        <f t="shared" si="12"/>
        <v>100</v>
      </c>
      <c r="T37" s="773" t="s">
        <v>17</v>
      </c>
      <c r="U37" s="774">
        <f t="shared" si="13"/>
        <v>100</v>
      </c>
      <c r="V37" s="773" t="s">
        <v>17</v>
      </c>
      <c r="W37" s="774">
        <f t="shared" si="14"/>
        <v>100</v>
      </c>
      <c r="X37" s="1801"/>
      <c r="Y37" s="3611"/>
      <c r="Z37" s="1802" t="str">
        <f t="shared" si="15"/>
        <v>内部装修状况</v>
      </c>
      <c r="AA37" s="1799">
        <f t="shared" si="3"/>
        <v>1</v>
      </c>
      <c r="AB37" s="1799">
        <f t="shared" si="4"/>
        <v>1</v>
      </c>
      <c r="AC37" s="1799">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611"/>
      <c r="Q38" s="775">
        <f t="shared" si="11"/>
        <v>111</v>
      </c>
      <c r="R38" s="776" t="s">
        <v>17</v>
      </c>
      <c r="S38" s="777">
        <f t="shared" si="12"/>
        <v>100</v>
      </c>
      <c r="T38" s="776" t="s">
        <v>17</v>
      </c>
      <c r="U38" s="777">
        <f t="shared" si="13"/>
        <v>100</v>
      </c>
      <c r="V38" s="776" t="s">
        <v>17</v>
      </c>
      <c r="W38" s="777">
        <f t="shared" si="14"/>
        <v>100</v>
      </c>
      <c r="X38" s="778"/>
      <c r="Y38" s="3611"/>
      <c r="Z38" s="779">
        <f t="shared" si="15"/>
        <v>111</v>
      </c>
      <c r="AA38" s="1799">
        <f t="shared" si="3"/>
        <v>1</v>
      </c>
      <c r="AB38" s="1799">
        <f t="shared" si="4"/>
        <v>1</v>
      </c>
      <c r="AC38" s="1799">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611"/>
      <c r="Q39" s="1798">
        <f t="shared" si="11"/>
        <v>111</v>
      </c>
      <c r="R39" s="773" t="s">
        <v>17</v>
      </c>
      <c r="S39" s="774">
        <f t="shared" si="12"/>
        <v>100</v>
      </c>
      <c r="T39" s="773" t="s">
        <v>17</v>
      </c>
      <c r="U39" s="774">
        <f t="shared" si="13"/>
        <v>100</v>
      </c>
      <c r="V39" s="773" t="s">
        <v>17</v>
      </c>
      <c r="W39" s="774">
        <f t="shared" si="14"/>
        <v>100</v>
      </c>
      <c r="X39" s="1801"/>
      <c r="Y39" s="3611"/>
      <c r="Z39" s="1802">
        <f t="shared" si="15"/>
        <v>111</v>
      </c>
      <c r="AA39" s="1799">
        <f t="shared" si="3"/>
        <v>1</v>
      </c>
      <c r="AB39" s="1799">
        <f t="shared" si="4"/>
        <v>1</v>
      </c>
      <c r="AC39" s="1799">
        <f t="shared" si="5"/>
        <v>1</v>
      </c>
    </row>
    <row r="40" spans="1:29" ht="15.75" thickBot="1">
      <c r="A40" s="477"/>
      <c r="B40" s="259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612"/>
      <c r="Q40" s="1798">
        <f t="shared" si="11"/>
        <v>111</v>
      </c>
      <c r="R40" s="773" t="s">
        <v>17</v>
      </c>
      <c r="S40" s="774">
        <f t="shared" si="12"/>
        <v>100</v>
      </c>
      <c r="T40" s="773" t="s">
        <v>17</v>
      </c>
      <c r="U40" s="774">
        <f t="shared" si="13"/>
        <v>100</v>
      </c>
      <c r="V40" s="773" t="s">
        <v>17</v>
      </c>
      <c r="W40" s="774">
        <f t="shared" si="14"/>
        <v>100</v>
      </c>
      <c r="X40" s="1801"/>
      <c r="Y40" s="3612"/>
      <c r="Z40" s="1802">
        <f t="shared" si="15"/>
        <v>111</v>
      </c>
      <c r="AA40" s="1799">
        <f t="shared" si="3"/>
        <v>1</v>
      </c>
      <c r="AB40" s="1799">
        <f t="shared" si="4"/>
        <v>1</v>
      </c>
      <c r="AC40" s="1799">
        <f t="shared" si="5"/>
        <v>1</v>
      </c>
    </row>
    <row r="41" spans="1:29" ht="15">
      <c r="A41" s="478" t="s">
        <v>2576</v>
      </c>
      <c r="B41" s="479"/>
      <c r="C41" s="1403" t="s">
        <v>1</v>
      </c>
      <c r="D41" s="1404"/>
      <c r="E41" s="1405"/>
      <c r="F41" s="1406"/>
      <c r="G41" s="1407"/>
      <c r="H41" s="1408"/>
      <c r="I41" s="1405"/>
      <c r="J41" s="1408"/>
      <c r="K41" s="782"/>
      <c r="L41" s="1142"/>
      <c r="M41" s="1143"/>
      <c r="N41" s="1130"/>
      <c r="O41" s="1143"/>
      <c r="P41" s="3613" t="str">
        <f>A41</f>
        <v>成交单价（元/平方米）</v>
      </c>
      <c r="Q41" s="3613"/>
      <c r="R41" s="3614">
        <f>E41</f>
        <v>0</v>
      </c>
      <c r="S41" s="3614"/>
      <c r="T41" s="3614">
        <f>G41</f>
        <v>0</v>
      </c>
      <c r="U41" s="3614"/>
      <c r="V41" s="3614">
        <f>I41</f>
        <v>0</v>
      </c>
      <c r="W41" s="3614"/>
      <c r="X41" s="758"/>
      <c r="Y41" s="780"/>
      <c r="Z41" s="758"/>
      <c r="AA41" s="758"/>
      <c r="AB41" s="758"/>
      <c r="AC41" s="758"/>
    </row>
    <row r="42" spans="1:29" ht="15.75" thickBot="1">
      <c r="A42" s="485" t="s">
        <v>2668</v>
      </c>
      <c r="B42" s="486"/>
      <c r="C42" s="1409" t="e">
        <f>R43</f>
        <v>#DIV/0!</v>
      </c>
      <c r="D42" s="1410"/>
      <c r="E42" s="1411" t="e">
        <f>R42</f>
        <v>#DIV/0!</v>
      </c>
      <c r="F42" s="1411"/>
      <c r="G42" s="1409" t="e">
        <f>T42</f>
        <v>#DIV/0!</v>
      </c>
      <c r="H42" s="1410"/>
      <c r="I42" s="1411" t="e">
        <f>V42</f>
        <v>#DIV/0!</v>
      </c>
      <c r="J42" s="1410"/>
      <c r="K42" s="783"/>
      <c r="L42" s="1142"/>
      <c r="M42" s="1143"/>
      <c r="N42" s="1130"/>
      <c r="O42" s="1143"/>
      <c r="P42" s="3613" t="str">
        <f>A42</f>
        <v>比较价值（元/平方米）</v>
      </c>
      <c r="Q42" s="3613"/>
      <c r="R42" s="3614" t="e">
        <f>IF(F1="售价",ROUND(PRODUCT(R41,AA7:AA40),0),ROUND(PRODUCT(R41,AA7:AA40),1))</f>
        <v>#DIV/0!</v>
      </c>
      <c r="S42" s="3614"/>
      <c r="T42" s="3614" t="e">
        <f>IF(F1="售价",ROUND(PRODUCT(T41,AB7:AB40),0),ROUND(PRODUCT(T41,AB7:AB40),1))</f>
        <v>#DIV/0!</v>
      </c>
      <c r="U42" s="3614"/>
      <c r="V42" s="3614" t="e">
        <f>IF(F1="售价",ROUND(PRODUCT(V41,AC7:AC40),0),ROUND(PRODUCT(V41,AC7:AC40),1))</f>
        <v>#DIV/0!</v>
      </c>
      <c r="W42" s="3614"/>
      <c r="X42" s="758"/>
      <c r="Y42" s="758"/>
      <c r="Z42" s="758"/>
      <c r="AA42" s="758"/>
      <c r="AB42" s="758"/>
      <c r="AC42" s="758"/>
    </row>
    <row r="43" spans="1:29" ht="15.75" thickBot="1">
      <c r="A43" s="491" t="s">
        <v>2669</v>
      </c>
      <c r="B43" s="492"/>
      <c r="C43" s="1413" t="e">
        <f>R43</f>
        <v>#DIV/0!</v>
      </c>
      <c r="D43" s="1413"/>
      <c r="E43" s="1413"/>
      <c r="F43" s="1413"/>
      <c r="G43" s="1413"/>
      <c r="H43" s="1413"/>
      <c r="I43" s="1413"/>
      <c r="J43" s="1413"/>
      <c r="K43" s="784"/>
      <c r="L43" s="1142"/>
      <c r="M43" s="1143"/>
      <c r="N43" s="1143"/>
      <c r="O43" s="1143"/>
      <c r="P43" s="3615" t="str">
        <f>A43</f>
        <v>估价对象XX用房的比较价值（楼面单价，元/平方米）</v>
      </c>
      <c r="Q43" s="3616"/>
      <c r="R43" s="3617" t="e">
        <f>IF(F1="售价",ROUND(AVERAGE(R42:V42),0),ROUND(AVERAGE(R42:V42),1))</f>
        <v>#DIV/0!</v>
      </c>
      <c r="S43" s="3617"/>
      <c r="T43" s="3617"/>
      <c r="U43" s="3617"/>
      <c r="V43" s="3617"/>
      <c r="W43" s="361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0" t="str">
        <f>YEAR(C7)&amp;"-"&amp;MONTH(C7)</f>
        <v>2020-6</v>
      </c>
      <c r="D52" s="1571">
        <f>EDATE(C52,-1)</f>
        <v>43952</v>
      </c>
      <c r="E52" s="1571">
        <f t="shared" ref="E52:O52" si="16">EDATE(D52,-1)</f>
        <v>43922</v>
      </c>
      <c r="F52" s="1571">
        <f t="shared" si="16"/>
        <v>43891</v>
      </c>
      <c r="G52" s="1571">
        <f t="shared" si="16"/>
        <v>43862</v>
      </c>
      <c r="H52" s="1571">
        <f t="shared" si="16"/>
        <v>43831</v>
      </c>
      <c r="I52" s="1571">
        <f t="shared" si="16"/>
        <v>43800</v>
      </c>
      <c r="J52" s="1571">
        <f t="shared" si="16"/>
        <v>43770</v>
      </c>
      <c r="K52" s="1571">
        <f t="shared" si="16"/>
        <v>43739</v>
      </c>
      <c r="L52" s="1571">
        <f t="shared" si="16"/>
        <v>43709</v>
      </c>
      <c r="M52" s="1571">
        <f t="shared" si="16"/>
        <v>43678</v>
      </c>
      <c r="N52" s="1571">
        <f t="shared" si="16"/>
        <v>43647</v>
      </c>
      <c r="O52" s="1571">
        <f t="shared" si="16"/>
        <v>43617</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78"/>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4"/>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4"/>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87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875" style="1122" customWidth="1"/>
    <col min="17" max="17" width="19.5" style="402" customWidth="1"/>
    <col min="18" max="22" width="6.125" style="402" customWidth="1"/>
    <col min="23" max="23" width="5.875" style="402" customWidth="1"/>
    <col min="24" max="24" width="4.125" style="402" customWidth="1"/>
    <col min="25" max="25" width="3.5" style="402" customWidth="1"/>
    <col min="26" max="26" width="19.8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2"/>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4"/>
      <c r="D2" s="1123" t="e">
        <f ca="1">SUMIF(INDIRECT("'"&amp;F2&amp;"'"&amp;"!A:A"),"承租人权益价值",INDIRECT("'"&amp;F2&amp;"'"&amp;"!c:c"))</f>
        <v>#REF!</v>
      </c>
      <c r="E2" s="2575" t="s">
        <v>2327</v>
      </c>
      <c r="F2" s="2576"/>
      <c r="G2" s="1124"/>
      <c r="H2" s="1124"/>
      <c r="I2" s="1124"/>
      <c r="J2" s="1124"/>
      <c r="K2" s="1126"/>
      <c r="L2" s="1127"/>
      <c r="M2" s="1128"/>
      <c r="N2" s="1128"/>
      <c r="O2" s="1128"/>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5"/>
      <c r="Q3" s="767"/>
      <c r="R3" s="767"/>
      <c r="S3" s="767"/>
      <c r="T3" s="767"/>
      <c r="U3" s="767"/>
      <c r="V3" s="767"/>
      <c r="W3" s="767"/>
      <c r="X3" s="767"/>
      <c r="Y3" s="767"/>
      <c r="Z3" s="767"/>
      <c r="AA3" s="767"/>
      <c r="AB3" s="785"/>
      <c r="AC3" s="781"/>
    </row>
    <row r="4" spans="1:29" ht="15">
      <c r="A4" s="400" t="s">
        <v>2644</v>
      </c>
      <c r="B4" s="401"/>
      <c r="C4" s="3591" t="s">
        <v>2645</v>
      </c>
      <c r="D4" s="3592"/>
      <c r="E4" s="3593" t="s">
        <v>2646</v>
      </c>
      <c r="F4" s="3594"/>
      <c r="G4" s="3591" t="s">
        <v>2647</v>
      </c>
      <c r="H4" s="3592"/>
      <c r="I4" s="3591" t="s">
        <v>2648</v>
      </c>
      <c r="J4" s="3592"/>
      <c r="K4" s="609" t="s">
        <v>2649</v>
      </c>
      <c r="L4" s="1129"/>
      <c r="M4" s="1130"/>
      <c r="N4" s="1130"/>
      <c r="O4" s="1130"/>
      <c r="P4" s="3595" t="s">
        <v>2650</v>
      </c>
      <c r="Q4" s="3596"/>
      <c r="R4" s="3577" t="s">
        <v>2646</v>
      </c>
      <c r="S4" s="3578"/>
      <c r="T4" s="3577" t="s">
        <v>2647</v>
      </c>
      <c r="U4" s="3578"/>
      <c r="V4" s="3574" t="s">
        <v>2648</v>
      </c>
      <c r="W4" s="3574"/>
      <c r="X4" s="1801"/>
      <c r="Y4" s="3577" t="s">
        <v>2650</v>
      </c>
      <c r="Z4" s="3578"/>
      <c r="AA4" s="3571" t="s">
        <v>2646</v>
      </c>
      <c r="AB4" s="3572" t="s">
        <v>2647</v>
      </c>
      <c r="AC4" s="3571" t="s">
        <v>2648</v>
      </c>
    </row>
    <row r="5" spans="1:29" ht="15">
      <c r="A5" s="403"/>
      <c r="B5" s="404"/>
      <c r="C5" s="3583" t="s">
        <v>2541</v>
      </c>
      <c r="D5" s="3584"/>
      <c r="E5" s="3671" t="s">
        <v>2542</v>
      </c>
      <c r="F5" s="3582"/>
      <c r="G5" s="3583" t="s">
        <v>2543</v>
      </c>
      <c r="H5" s="3584"/>
      <c r="I5" s="3583" t="s">
        <v>2544</v>
      </c>
      <c r="J5" s="3584"/>
      <c r="K5" s="609"/>
      <c r="L5" s="1129"/>
      <c r="M5" s="1130"/>
      <c r="N5" s="1130"/>
      <c r="O5" s="1130"/>
      <c r="P5" s="3597"/>
      <c r="Q5" s="3598"/>
      <c r="R5" s="3579"/>
      <c r="S5" s="3580"/>
      <c r="T5" s="3579"/>
      <c r="U5" s="3580"/>
      <c r="V5" s="3574"/>
      <c r="W5" s="3574"/>
      <c r="X5" s="1801"/>
      <c r="Y5" s="3579"/>
      <c r="Z5" s="3580"/>
      <c r="AA5" s="3572"/>
      <c r="AB5" s="3572"/>
      <c r="AC5" s="3572"/>
    </row>
    <row r="6" spans="1:29" ht="15.75" thickBot="1">
      <c r="A6" s="405"/>
      <c r="B6" s="406"/>
      <c r="C6" s="3585" t="s">
        <v>2545</v>
      </c>
      <c r="D6" s="3586"/>
      <c r="E6" s="3588" t="s">
        <v>2545</v>
      </c>
      <c r="F6" s="3589"/>
      <c r="G6" s="3585" t="s">
        <v>2545</v>
      </c>
      <c r="H6" s="3586"/>
      <c r="I6" s="3585" t="s">
        <v>2545</v>
      </c>
      <c r="J6" s="3586"/>
      <c r="K6" s="609" t="s">
        <v>2546</v>
      </c>
      <c r="L6" s="1129"/>
      <c r="M6" s="1130"/>
      <c r="N6" s="1130"/>
      <c r="O6" s="1130"/>
      <c r="P6" s="3599"/>
      <c r="Q6" s="3600"/>
      <c r="R6" s="3579"/>
      <c r="S6" s="3580"/>
      <c r="T6" s="3601"/>
      <c r="U6" s="3602"/>
      <c r="V6" s="3574"/>
      <c r="W6" s="3574"/>
      <c r="X6" s="1801"/>
      <c r="Y6" s="3601"/>
      <c r="Z6" s="3602"/>
      <c r="AA6" s="3573"/>
      <c r="AB6" s="3573"/>
      <c r="AC6" s="3573"/>
    </row>
    <row r="7" spans="1:29" s="116" customFormat="1" ht="15.75" thickBot="1">
      <c r="A7" s="407" t="s">
        <v>2547</v>
      </c>
      <c r="B7" s="408"/>
      <c r="C7" s="409">
        <f>'数据-取费表'!B2</f>
        <v>44011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575" t="s">
        <v>2548</v>
      </c>
      <c r="Q7" s="3603"/>
      <c r="R7" s="769" t="s">
        <v>17</v>
      </c>
      <c r="S7" s="770">
        <f t="shared" ref="S7:S14" si="0">F7</f>
        <v>0</v>
      </c>
      <c r="T7" s="769" t="s">
        <v>17</v>
      </c>
      <c r="U7" s="770">
        <f t="shared" ref="U7:U14" si="1">H7</f>
        <v>0</v>
      </c>
      <c r="V7" s="769" t="s">
        <v>17</v>
      </c>
      <c r="W7" s="770">
        <f t="shared" ref="W7:W14" si="2">J7</f>
        <v>0</v>
      </c>
      <c r="X7" s="771"/>
      <c r="Y7" s="3575" t="s">
        <v>2548</v>
      </c>
      <c r="Z7" s="3576"/>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575" t="s">
        <v>2551</v>
      </c>
      <c r="Q8" s="3576"/>
      <c r="R8" s="769" t="s">
        <v>17</v>
      </c>
      <c r="S8" s="770">
        <f t="shared" si="0"/>
        <v>0</v>
      </c>
      <c r="T8" s="769" t="s">
        <v>17</v>
      </c>
      <c r="U8" s="770">
        <f t="shared" si="1"/>
        <v>0</v>
      </c>
      <c r="V8" s="769" t="s">
        <v>17</v>
      </c>
      <c r="W8" s="770">
        <f t="shared" si="2"/>
        <v>0</v>
      </c>
      <c r="X8" s="771"/>
      <c r="Y8" s="3575" t="s">
        <v>2551</v>
      </c>
      <c r="Z8" s="3576"/>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613" t="s">
        <v>2554</v>
      </c>
      <c r="Q9" s="1783" t="str">
        <f t="shared" ref="Q9:Q14" si="6">B9</f>
        <v>用途</v>
      </c>
      <c r="R9" s="769" t="s">
        <v>17</v>
      </c>
      <c r="S9" s="770">
        <f t="shared" si="0"/>
        <v>100</v>
      </c>
      <c r="T9" s="769" t="s">
        <v>17</v>
      </c>
      <c r="U9" s="770">
        <f t="shared" si="1"/>
        <v>100</v>
      </c>
      <c r="V9" s="769" t="s">
        <v>17</v>
      </c>
      <c r="W9" s="770">
        <f t="shared" si="2"/>
        <v>100</v>
      </c>
      <c r="X9" s="771"/>
      <c r="Y9" s="3335"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613"/>
      <c r="Q10" s="1783" t="str">
        <f t="shared" si="6"/>
        <v>土地使用年限（年）</v>
      </c>
      <c r="R10" s="769" t="s">
        <v>17</v>
      </c>
      <c r="S10" s="770">
        <f t="shared" si="0"/>
        <v>100</v>
      </c>
      <c r="T10" s="769" t="s">
        <v>17</v>
      </c>
      <c r="U10" s="770">
        <f t="shared" si="1"/>
        <v>100</v>
      </c>
      <c r="V10" s="769" t="s">
        <v>17</v>
      </c>
      <c r="W10" s="770">
        <f t="shared" si="2"/>
        <v>100</v>
      </c>
      <c r="X10" s="771"/>
      <c r="Y10" s="333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613"/>
      <c r="Q11" s="1783">
        <f t="shared" si="6"/>
        <v>111</v>
      </c>
      <c r="R11" s="769" t="s">
        <v>17</v>
      </c>
      <c r="S11" s="770">
        <f t="shared" si="0"/>
        <v>100</v>
      </c>
      <c r="T11" s="769" t="s">
        <v>17</v>
      </c>
      <c r="U11" s="770">
        <f t="shared" si="1"/>
        <v>100</v>
      </c>
      <c r="V11" s="769" t="s">
        <v>17</v>
      </c>
      <c r="W11" s="770">
        <f t="shared" si="2"/>
        <v>100</v>
      </c>
      <c r="X11" s="771"/>
      <c r="Y11" s="333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613"/>
      <c r="Q12" s="1783">
        <f t="shared" si="6"/>
        <v>111</v>
      </c>
      <c r="R12" s="769" t="s">
        <v>17</v>
      </c>
      <c r="S12" s="770">
        <f t="shared" si="0"/>
        <v>100</v>
      </c>
      <c r="T12" s="769" t="s">
        <v>17</v>
      </c>
      <c r="U12" s="770">
        <f t="shared" si="1"/>
        <v>100</v>
      </c>
      <c r="V12" s="769" t="s">
        <v>17</v>
      </c>
      <c r="W12" s="770">
        <f t="shared" si="2"/>
        <v>100</v>
      </c>
      <c r="X12" s="771"/>
      <c r="Y12" s="333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613"/>
      <c r="Q13" s="1783">
        <f t="shared" si="6"/>
        <v>111</v>
      </c>
      <c r="R13" s="769" t="s">
        <v>17</v>
      </c>
      <c r="S13" s="770">
        <f t="shared" si="0"/>
        <v>100</v>
      </c>
      <c r="T13" s="769" t="s">
        <v>17</v>
      </c>
      <c r="U13" s="770">
        <f t="shared" si="1"/>
        <v>100</v>
      </c>
      <c r="V13" s="769" t="s">
        <v>17</v>
      </c>
      <c r="W13" s="770">
        <f t="shared" si="2"/>
        <v>100</v>
      </c>
      <c r="X13" s="771"/>
      <c r="Y13" s="3335"/>
      <c r="Z13" s="55">
        <f t="shared" si="7"/>
        <v>111</v>
      </c>
      <c r="AA13" s="772">
        <f t="shared" si="3"/>
        <v>1</v>
      </c>
      <c r="AB13" s="772">
        <f t="shared" si="4"/>
        <v>1</v>
      </c>
      <c r="AC13" s="772">
        <f t="shared" si="5"/>
        <v>1</v>
      </c>
    </row>
    <row r="14" spans="1:29" ht="85.5">
      <c r="A14" s="400" t="s">
        <v>2558</v>
      </c>
      <c r="B14" s="628" t="s">
        <v>2708</v>
      </c>
      <c r="C14" s="268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606" t="s">
        <v>2559</v>
      </c>
      <c r="Q14" s="1798" t="str">
        <f t="shared" si="6"/>
        <v>交通便捷度</v>
      </c>
      <c r="R14" s="773" t="s">
        <v>17</v>
      </c>
      <c r="S14" s="774">
        <f t="shared" si="0"/>
        <v>100</v>
      </c>
      <c r="T14" s="773" t="s">
        <v>17</v>
      </c>
      <c r="U14" s="774">
        <f t="shared" si="1"/>
        <v>100</v>
      </c>
      <c r="V14" s="773" t="s">
        <v>17</v>
      </c>
      <c r="W14" s="774">
        <f t="shared" si="2"/>
        <v>100</v>
      </c>
      <c r="X14" s="1801"/>
      <c r="Y14" s="3606" t="s">
        <v>2559</v>
      </c>
      <c r="Z14" s="1802" t="str">
        <f t="shared" si="7"/>
        <v>交通便捷度</v>
      </c>
      <c r="AA14" s="1799">
        <f t="shared" si="3"/>
        <v>1</v>
      </c>
      <c r="AB14" s="1799">
        <f t="shared" si="4"/>
        <v>1</v>
      </c>
      <c r="AC14" s="1799">
        <f t="shared" si="5"/>
        <v>1</v>
      </c>
    </row>
    <row r="15" spans="1:29" ht="15">
      <c r="A15" s="403"/>
      <c r="B15" s="646"/>
      <c r="C15" s="446"/>
      <c r="D15" s="447"/>
      <c r="E15" s="446"/>
      <c r="F15" s="448"/>
      <c r="G15" s="446"/>
      <c r="H15" s="449"/>
      <c r="I15" s="446"/>
      <c r="J15" s="447"/>
      <c r="K15" s="614"/>
      <c r="L15" s="1139"/>
      <c r="M15" s="1130"/>
      <c r="N15" s="1130"/>
      <c r="O15" s="1130"/>
      <c r="P15" s="3607"/>
      <c r="Q15" s="1798"/>
      <c r="R15" s="773"/>
      <c r="S15" s="774"/>
      <c r="T15" s="773"/>
      <c r="U15" s="774"/>
      <c r="V15" s="773"/>
      <c r="W15" s="774"/>
      <c r="X15" s="1801"/>
      <c r="Y15" s="3607"/>
      <c r="Z15" s="1802"/>
      <c r="AA15" s="1799">
        <v>1</v>
      </c>
      <c r="AB15" s="1799">
        <v>1</v>
      </c>
      <c r="AC15" s="1799">
        <v>1</v>
      </c>
    </row>
    <row r="16" spans="1:29" ht="42.75">
      <c r="A16" s="403"/>
      <c r="B16" s="630" t="s">
        <v>2687</v>
      </c>
      <c r="C16" s="259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607"/>
      <c r="Q16" s="1798" t="str">
        <f>B16</f>
        <v>公共配套设施</v>
      </c>
      <c r="R16" s="773" t="s">
        <v>17</v>
      </c>
      <c r="S16" s="774">
        <f>F16</f>
        <v>100</v>
      </c>
      <c r="T16" s="773" t="s">
        <v>17</v>
      </c>
      <c r="U16" s="774">
        <f>H16</f>
        <v>100</v>
      </c>
      <c r="V16" s="773" t="s">
        <v>17</v>
      </c>
      <c r="W16" s="774">
        <f>J16</f>
        <v>100</v>
      </c>
      <c r="X16" s="1801"/>
      <c r="Y16" s="3607"/>
      <c r="Z16" s="1802" t="str">
        <f>Q16</f>
        <v>公共配套设施</v>
      </c>
      <c r="AA16" s="1799">
        <f t="shared" si="3"/>
        <v>1</v>
      </c>
      <c r="AB16" s="1799">
        <f t="shared" si="4"/>
        <v>1</v>
      </c>
      <c r="AC16" s="1799">
        <f t="shared" si="5"/>
        <v>1</v>
      </c>
    </row>
    <row r="17" spans="1:29" ht="15">
      <c r="A17" s="403"/>
      <c r="B17" s="631"/>
      <c r="C17" s="2596"/>
      <c r="D17" s="447"/>
      <c r="E17" s="446"/>
      <c r="F17" s="448"/>
      <c r="G17" s="446"/>
      <c r="H17" s="447"/>
      <c r="I17" s="446"/>
      <c r="J17" s="447"/>
      <c r="K17" s="614"/>
      <c r="L17" s="1139"/>
      <c r="M17" s="1130"/>
      <c r="N17" s="1130"/>
      <c r="O17" s="1130"/>
      <c r="P17" s="3607"/>
      <c r="Q17" s="1798"/>
      <c r="R17" s="773"/>
      <c r="S17" s="774"/>
      <c r="T17" s="773"/>
      <c r="U17" s="774"/>
      <c r="V17" s="773"/>
      <c r="W17" s="774"/>
      <c r="X17" s="1801"/>
      <c r="Y17" s="3607"/>
      <c r="Z17" s="1802"/>
      <c r="AA17" s="1799">
        <v>1</v>
      </c>
      <c r="AB17" s="1799">
        <v>1</v>
      </c>
      <c r="AC17" s="1799">
        <v>1</v>
      </c>
    </row>
    <row r="18" spans="1:29" ht="28.5">
      <c r="A18" s="403"/>
      <c r="B18" s="632" t="s">
        <v>2688</v>
      </c>
      <c r="C18" s="259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607"/>
      <c r="Q18" s="1798" t="str">
        <f>B18</f>
        <v>基础设施水平</v>
      </c>
      <c r="R18" s="773" t="s">
        <v>17</v>
      </c>
      <c r="S18" s="774">
        <f>F18</f>
        <v>100</v>
      </c>
      <c r="T18" s="773" t="s">
        <v>17</v>
      </c>
      <c r="U18" s="774">
        <f>H18</f>
        <v>100</v>
      </c>
      <c r="V18" s="773" t="s">
        <v>17</v>
      </c>
      <c r="W18" s="774">
        <f>J18</f>
        <v>100</v>
      </c>
      <c r="X18" s="1801"/>
      <c r="Y18" s="3607"/>
      <c r="Z18" s="1802" t="str">
        <f>Q18</f>
        <v>基础设施水平</v>
      </c>
      <c r="AA18" s="1799">
        <f t="shared" ref="AA18" si="8">D18/F18</f>
        <v>1</v>
      </c>
      <c r="AB18" s="1799">
        <f t="shared" ref="AB18" si="9">D18/H18</f>
        <v>1</v>
      </c>
      <c r="AC18" s="1799">
        <f t="shared" ref="AC18" si="10">D18/J18</f>
        <v>1</v>
      </c>
    </row>
    <row r="19" spans="1:29" ht="15">
      <c r="A19" s="403"/>
      <c r="B19" s="632"/>
      <c r="C19" s="2596"/>
      <c r="D19" s="449"/>
      <c r="E19" s="2596"/>
      <c r="F19" s="452"/>
      <c r="G19" s="2596"/>
      <c r="H19" s="447"/>
      <c r="I19" s="446"/>
      <c r="J19" s="447"/>
      <c r="K19" s="1379"/>
      <c r="L19" s="1139"/>
      <c r="M19" s="1130"/>
      <c r="N19" s="1130"/>
      <c r="O19" s="1130"/>
      <c r="P19" s="3607"/>
      <c r="Q19" s="1798"/>
      <c r="R19" s="773"/>
      <c r="S19" s="774"/>
      <c r="T19" s="773"/>
      <c r="U19" s="774"/>
      <c r="V19" s="773"/>
      <c r="W19" s="774"/>
      <c r="X19" s="1801"/>
      <c r="Y19" s="3607"/>
      <c r="Z19" s="1802"/>
      <c r="AA19" s="1799">
        <v>1</v>
      </c>
      <c r="AB19" s="1799">
        <v>1</v>
      </c>
      <c r="AC19" s="1799">
        <v>1</v>
      </c>
    </row>
    <row r="20" spans="1:29" ht="57">
      <c r="A20" s="403"/>
      <c r="B20" s="630" t="s">
        <v>2709</v>
      </c>
      <c r="C20" s="259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607"/>
      <c r="Q20" s="1798" t="str">
        <f>B20</f>
        <v>自然及人文环境</v>
      </c>
      <c r="R20" s="773" t="s">
        <v>17</v>
      </c>
      <c r="S20" s="774">
        <f>F20</f>
        <v>100</v>
      </c>
      <c r="T20" s="773" t="s">
        <v>17</v>
      </c>
      <c r="U20" s="774">
        <f>H20</f>
        <v>100</v>
      </c>
      <c r="V20" s="773" t="s">
        <v>17</v>
      </c>
      <c r="W20" s="774">
        <f>J20</f>
        <v>100</v>
      </c>
      <c r="X20" s="1801"/>
      <c r="Y20" s="3607"/>
      <c r="Z20" s="1802" t="str">
        <f>Q20</f>
        <v>自然及人文环境</v>
      </c>
      <c r="AA20" s="1799">
        <f t="shared" si="3"/>
        <v>1</v>
      </c>
      <c r="AB20" s="1799">
        <f t="shared" si="4"/>
        <v>1</v>
      </c>
      <c r="AC20" s="1799">
        <f t="shared" si="5"/>
        <v>1</v>
      </c>
    </row>
    <row r="21" spans="1:29" ht="15">
      <c r="A21" s="403"/>
      <c r="B21" s="631"/>
      <c r="C21" s="446"/>
      <c r="D21" s="447"/>
      <c r="E21" s="446"/>
      <c r="F21" s="448"/>
      <c r="G21" s="446"/>
      <c r="H21" s="447"/>
      <c r="I21" s="446"/>
      <c r="J21" s="447"/>
      <c r="K21" s="614"/>
      <c r="L21" s="1139"/>
      <c r="M21" s="1130"/>
      <c r="N21" s="1130"/>
      <c r="O21" s="1130"/>
      <c r="P21" s="3607"/>
      <c r="Q21" s="1798"/>
      <c r="R21" s="773"/>
      <c r="S21" s="774"/>
      <c r="T21" s="773"/>
      <c r="U21" s="774"/>
      <c r="V21" s="773"/>
      <c r="W21" s="774"/>
      <c r="X21" s="1801"/>
      <c r="Y21" s="3607"/>
      <c r="Z21" s="1802"/>
      <c r="AA21" s="1799">
        <v>1</v>
      </c>
      <c r="AB21" s="1799">
        <v>1</v>
      </c>
      <c r="AC21" s="1799">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607"/>
      <c r="Q22" s="1798" t="str">
        <f>B22</f>
        <v>楼层</v>
      </c>
      <c r="R22" s="773" t="s">
        <v>17</v>
      </c>
      <c r="S22" s="774">
        <f>F22</f>
        <v>100</v>
      </c>
      <c r="T22" s="773" t="s">
        <v>17</v>
      </c>
      <c r="U22" s="774">
        <f>H22</f>
        <v>100</v>
      </c>
      <c r="V22" s="773" t="s">
        <v>17</v>
      </c>
      <c r="W22" s="774">
        <f>J22</f>
        <v>100</v>
      </c>
      <c r="X22" s="1801"/>
      <c r="Y22" s="3607"/>
      <c r="Z22" s="1802" t="str">
        <f>Q22</f>
        <v>楼层</v>
      </c>
      <c r="AA22" s="1799">
        <f t="shared" si="3"/>
        <v>1</v>
      </c>
      <c r="AB22" s="1799">
        <f t="shared" si="4"/>
        <v>1</v>
      </c>
      <c r="AC22" s="179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607"/>
      <c r="Q23" s="1798">
        <f>B23</f>
        <v>111</v>
      </c>
      <c r="R23" s="773" t="s">
        <v>17</v>
      </c>
      <c r="S23" s="774">
        <f>F23</f>
        <v>100</v>
      </c>
      <c r="T23" s="773" t="s">
        <v>17</v>
      </c>
      <c r="U23" s="774">
        <f>H23</f>
        <v>100</v>
      </c>
      <c r="V23" s="773" t="s">
        <v>17</v>
      </c>
      <c r="W23" s="774">
        <f>J23</f>
        <v>100</v>
      </c>
      <c r="X23" s="1801"/>
      <c r="Y23" s="3607"/>
      <c r="Z23" s="1802">
        <f>Q23</f>
        <v>111</v>
      </c>
      <c r="AA23" s="1799">
        <f t="shared" si="3"/>
        <v>1</v>
      </c>
      <c r="AB23" s="1799">
        <f t="shared" si="4"/>
        <v>1</v>
      </c>
      <c r="AC23" s="179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607"/>
      <c r="Q24" s="1798">
        <f t="shared" ref="Q24:Q36" si="11">B24</f>
        <v>111</v>
      </c>
      <c r="R24" s="773" t="s">
        <v>17</v>
      </c>
      <c r="S24" s="774">
        <f>F24</f>
        <v>100</v>
      </c>
      <c r="T24" s="773" t="s">
        <v>17</v>
      </c>
      <c r="U24" s="774">
        <f>H24</f>
        <v>100</v>
      </c>
      <c r="V24" s="773" t="s">
        <v>17</v>
      </c>
      <c r="W24" s="774">
        <f>J24</f>
        <v>100</v>
      </c>
      <c r="X24" s="1801"/>
      <c r="Y24" s="3607"/>
      <c r="Z24" s="1802">
        <f>Q24</f>
        <v>111</v>
      </c>
      <c r="AA24" s="1799">
        <f t="shared" si="3"/>
        <v>1</v>
      </c>
      <c r="AB24" s="1799">
        <f t="shared" si="4"/>
        <v>1</v>
      </c>
      <c r="AC24" s="179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607"/>
      <c r="Q25" s="1783">
        <f t="shared" si="11"/>
        <v>111</v>
      </c>
      <c r="R25" s="769" t="s">
        <v>17</v>
      </c>
      <c r="S25" s="770">
        <f>F25</f>
        <v>100</v>
      </c>
      <c r="T25" s="769" t="s">
        <v>17</v>
      </c>
      <c r="U25" s="770">
        <f>H25</f>
        <v>100</v>
      </c>
      <c r="V25" s="769" t="s">
        <v>17</v>
      </c>
      <c r="W25" s="770">
        <f>J25</f>
        <v>100</v>
      </c>
      <c r="X25" s="771"/>
      <c r="Y25" s="3607"/>
      <c r="Z25" s="55">
        <f>Q25</f>
        <v>111</v>
      </c>
      <c r="AA25" s="1799">
        <f>D25/F25</f>
        <v>1</v>
      </c>
      <c r="AB25" s="1799">
        <f>D25/H25</f>
        <v>1</v>
      </c>
      <c r="AC25" s="1799">
        <f>D25/J25</f>
        <v>1</v>
      </c>
    </row>
    <row r="26" spans="1:29" ht="15">
      <c r="A26" s="651" t="s">
        <v>2562</v>
      </c>
      <c r="B26" s="69" t="s">
        <v>2711</v>
      </c>
      <c r="C26" s="268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687" t="s">
        <v>2564</v>
      </c>
      <c r="Q26" s="1798" t="str">
        <f t="shared" si="11"/>
        <v>配套类型</v>
      </c>
      <c r="R26" s="773" t="s">
        <v>17</v>
      </c>
      <c r="S26" s="774">
        <f t="shared" ref="S26:S36" si="12">F26</f>
        <v>100</v>
      </c>
      <c r="T26" s="773" t="s">
        <v>17</v>
      </c>
      <c r="U26" s="774">
        <f t="shared" ref="U26:U36" si="13">H26</f>
        <v>100</v>
      </c>
      <c r="V26" s="773" t="s">
        <v>17</v>
      </c>
      <c r="W26" s="774">
        <f t="shared" ref="W26:W36" si="14">J26</f>
        <v>100</v>
      </c>
      <c r="X26" s="1801"/>
      <c r="Y26" s="3611" t="s">
        <v>2564</v>
      </c>
      <c r="Z26" s="1802" t="str">
        <f t="shared" ref="Z26:Z36" si="15">Q26</f>
        <v>配套类型</v>
      </c>
      <c r="AA26" s="1799">
        <f t="shared" si="3"/>
        <v>1</v>
      </c>
      <c r="AB26" s="1799">
        <f t="shared" si="4"/>
        <v>1</v>
      </c>
      <c r="AC26" s="1799">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611"/>
      <c r="Q27" s="775" t="str">
        <f t="shared" si="11"/>
        <v>项目停车位配比</v>
      </c>
      <c r="R27" s="776" t="s">
        <v>17</v>
      </c>
      <c r="S27" s="777">
        <f t="shared" si="12"/>
        <v>100</v>
      </c>
      <c r="T27" s="776" t="s">
        <v>17</v>
      </c>
      <c r="U27" s="777">
        <f t="shared" si="13"/>
        <v>100</v>
      </c>
      <c r="V27" s="776" t="s">
        <v>17</v>
      </c>
      <c r="W27" s="777">
        <f t="shared" si="14"/>
        <v>100</v>
      </c>
      <c r="X27" s="778"/>
      <c r="Y27" s="3611"/>
      <c r="Z27" s="779" t="str">
        <f t="shared" si="15"/>
        <v>项目停车位配比</v>
      </c>
      <c r="AA27" s="1799">
        <f t="shared" si="3"/>
        <v>1</v>
      </c>
      <c r="AB27" s="1799">
        <f t="shared" si="4"/>
        <v>1</v>
      </c>
      <c r="AC27" s="1799">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611"/>
      <c r="Q28" s="1798" t="str">
        <f t="shared" si="11"/>
        <v>公共部分装修</v>
      </c>
      <c r="R28" s="773" t="s">
        <v>17</v>
      </c>
      <c r="S28" s="774">
        <f t="shared" si="12"/>
        <v>100</v>
      </c>
      <c r="T28" s="773" t="s">
        <v>17</v>
      </c>
      <c r="U28" s="774">
        <f t="shared" si="13"/>
        <v>100</v>
      </c>
      <c r="V28" s="773" t="s">
        <v>17</v>
      </c>
      <c r="W28" s="774">
        <f t="shared" si="14"/>
        <v>100</v>
      </c>
      <c r="X28" s="1801"/>
      <c r="Y28" s="3611"/>
      <c r="Z28" s="1802" t="str">
        <f t="shared" si="15"/>
        <v>公共部分装修</v>
      </c>
      <c r="AA28" s="1799">
        <f t="shared" si="3"/>
        <v>1</v>
      </c>
      <c r="AB28" s="1799">
        <f t="shared" si="4"/>
        <v>1</v>
      </c>
      <c r="AC28" s="1799">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611"/>
      <c r="Q29" s="1798" t="str">
        <f t="shared" si="11"/>
        <v>成新率</v>
      </c>
      <c r="R29" s="773" t="s">
        <v>17</v>
      </c>
      <c r="S29" s="774" t="e">
        <f t="shared" si="12"/>
        <v>#N/A</v>
      </c>
      <c r="T29" s="773" t="s">
        <v>17</v>
      </c>
      <c r="U29" s="774" t="e">
        <f t="shared" si="13"/>
        <v>#N/A</v>
      </c>
      <c r="V29" s="773" t="s">
        <v>17</v>
      </c>
      <c r="W29" s="774" t="e">
        <f t="shared" si="14"/>
        <v>#N/A</v>
      </c>
      <c r="X29" s="1801"/>
      <c r="Y29" s="3611"/>
      <c r="Z29" s="1802" t="str">
        <f t="shared" si="15"/>
        <v>成新率</v>
      </c>
      <c r="AA29" s="1799" t="e">
        <f t="shared" si="3"/>
        <v>#N/A</v>
      </c>
      <c r="AB29" s="1799" t="e">
        <f t="shared" si="4"/>
        <v>#N/A</v>
      </c>
      <c r="AC29" s="1799"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611"/>
      <c r="Q30" s="1798" t="str">
        <f t="shared" si="11"/>
        <v>物业等级</v>
      </c>
      <c r="R30" s="773" t="s">
        <v>17</v>
      </c>
      <c r="S30" s="774">
        <f t="shared" si="12"/>
        <v>100</v>
      </c>
      <c r="T30" s="773" t="s">
        <v>17</v>
      </c>
      <c r="U30" s="774">
        <f t="shared" si="13"/>
        <v>100</v>
      </c>
      <c r="V30" s="773" t="s">
        <v>17</v>
      </c>
      <c r="W30" s="774">
        <f t="shared" si="14"/>
        <v>100</v>
      </c>
      <c r="X30" s="1801"/>
      <c r="Y30" s="3611"/>
      <c r="Z30" s="1802" t="str">
        <f t="shared" si="15"/>
        <v>物业等级</v>
      </c>
      <c r="AA30" s="1799">
        <f t="shared" si="3"/>
        <v>1</v>
      </c>
      <c r="AB30" s="1799">
        <f t="shared" si="4"/>
        <v>1</v>
      </c>
      <c r="AC30" s="1799">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611"/>
      <c r="Q31" s="1783" t="str">
        <f t="shared" si="11"/>
        <v>停车位面积</v>
      </c>
      <c r="R31" s="769" t="s">
        <v>17</v>
      </c>
      <c r="S31" s="770" t="e">
        <f t="shared" si="12"/>
        <v>#N/A</v>
      </c>
      <c r="T31" s="769" t="s">
        <v>17</v>
      </c>
      <c r="U31" s="770" t="e">
        <f t="shared" si="13"/>
        <v>#N/A</v>
      </c>
      <c r="V31" s="769" t="s">
        <v>17</v>
      </c>
      <c r="W31" s="770" t="e">
        <f t="shared" si="14"/>
        <v>#N/A</v>
      </c>
      <c r="X31" s="771"/>
      <c r="Y31" s="3611"/>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611" t="s">
        <v>2564</v>
      </c>
      <c r="Q32" s="1798" t="str">
        <f t="shared" si="11"/>
        <v>车位类型</v>
      </c>
      <c r="R32" s="773" t="s">
        <v>17</v>
      </c>
      <c r="S32" s="774">
        <f t="shared" si="12"/>
        <v>100</v>
      </c>
      <c r="T32" s="773" t="s">
        <v>17</v>
      </c>
      <c r="U32" s="774">
        <f t="shared" si="13"/>
        <v>100</v>
      </c>
      <c r="V32" s="773" t="s">
        <v>17</v>
      </c>
      <c r="W32" s="774">
        <f t="shared" si="14"/>
        <v>100</v>
      </c>
      <c r="X32" s="1801"/>
      <c r="Y32" s="3611" t="s">
        <v>2564</v>
      </c>
      <c r="Z32" s="1802" t="str">
        <f t="shared" si="15"/>
        <v>车位类型</v>
      </c>
      <c r="AA32" s="1799">
        <f t="shared" si="3"/>
        <v>1</v>
      </c>
      <c r="AB32" s="1799">
        <f t="shared" si="4"/>
        <v>1</v>
      </c>
      <c r="AC32" s="1799">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611"/>
      <c r="Q33" s="1798" t="str">
        <f t="shared" si="11"/>
        <v>是否直接入户</v>
      </c>
      <c r="R33" s="773" t="s">
        <v>17</v>
      </c>
      <c r="S33" s="774">
        <f t="shared" si="12"/>
        <v>100</v>
      </c>
      <c r="T33" s="773" t="s">
        <v>17</v>
      </c>
      <c r="U33" s="774">
        <f t="shared" si="13"/>
        <v>100</v>
      </c>
      <c r="V33" s="773" t="s">
        <v>17</v>
      </c>
      <c r="W33" s="774">
        <f t="shared" si="14"/>
        <v>100</v>
      </c>
      <c r="X33" s="1801"/>
      <c r="Y33" s="3611"/>
      <c r="Z33" s="1802" t="str">
        <f t="shared" si="15"/>
        <v>是否直接入户</v>
      </c>
      <c r="AA33" s="1799">
        <f t="shared" si="3"/>
        <v>1</v>
      </c>
      <c r="AB33" s="1799">
        <f t="shared" si="4"/>
        <v>1</v>
      </c>
      <c r="AC33" s="179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611"/>
      <c r="Q34" s="1798">
        <f t="shared" si="11"/>
        <v>111</v>
      </c>
      <c r="R34" s="773" t="s">
        <v>17</v>
      </c>
      <c r="S34" s="774">
        <f t="shared" si="12"/>
        <v>100</v>
      </c>
      <c r="T34" s="773" t="s">
        <v>17</v>
      </c>
      <c r="U34" s="774">
        <f t="shared" si="13"/>
        <v>100</v>
      </c>
      <c r="V34" s="773" t="s">
        <v>17</v>
      </c>
      <c r="W34" s="774">
        <f t="shared" si="14"/>
        <v>100</v>
      </c>
      <c r="X34" s="1801"/>
      <c r="Y34" s="3611"/>
      <c r="Z34" s="1802">
        <f t="shared" si="15"/>
        <v>111</v>
      </c>
      <c r="AA34" s="1799">
        <f t="shared" si="3"/>
        <v>1</v>
      </c>
      <c r="AB34" s="1799">
        <f t="shared" si="4"/>
        <v>1</v>
      </c>
      <c r="AC34" s="179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611"/>
      <c r="Q35" s="775">
        <f t="shared" si="11"/>
        <v>111</v>
      </c>
      <c r="R35" s="776" t="s">
        <v>17</v>
      </c>
      <c r="S35" s="777">
        <f t="shared" si="12"/>
        <v>100</v>
      </c>
      <c r="T35" s="776" t="s">
        <v>17</v>
      </c>
      <c r="U35" s="777">
        <f t="shared" si="13"/>
        <v>100</v>
      </c>
      <c r="V35" s="776" t="s">
        <v>17</v>
      </c>
      <c r="W35" s="777">
        <f t="shared" si="14"/>
        <v>100</v>
      </c>
      <c r="X35" s="778"/>
      <c r="Y35" s="3611"/>
      <c r="Z35" s="779">
        <f t="shared" si="15"/>
        <v>111</v>
      </c>
      <c r="AA35" s="1799">
        <f t="shared" si="3"/>
        <v>1</v>
      </c>
      <c r="AB35" s="1799">
        <f t="shared" si="4"/>
        <v>1</v>
      </c>
      <c r="AC35" s="179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611"/>
      <c r="Q36" s="1798">
        <f t="shared" si="11"/>
        <v>111</v>
      </c>
      <c r="R36" s="773" t="s">
        <v>17</v>
      </c>
      <c r="S36" s="774">
        <f t="shared" si="12"/>
        <v>100</v>
      </c>
      <c r="T36" s="773" t="s">
        <v>17</v>
      </c>
      <c r="U36" s="774">
        <f t="shared" si="13"/>
        <v>100</v>
      </c>
      <c r="V36" s="773" t="s">
        <v>17</v>
      </c>
      <c r="W36" s="774">
        <f t="shared" si="14"/>
        <v>100</v>
      </c>
      <c r="X36" s="1801"/>
      <c r="Y36" s="3611"/>
      <c r="Z36" s="1802">
        <f t="shared" si="15"/>
        <v>111</v>
      </c>
      <c r="AA36" s="1799">
        <f t="shared" si="3"/>
        <v>1</v>
      </c>
      <c r="AB36" s="1799">
        <f t="shared" si="4"/>
        <v>1</v>
      </c>
      <c r="AC36" s="1799">
        <f t="shared" si="5"/>
        <v>1</v>
      </c>
    </row>
    <row r="37" spans="1:29" ht="15">
      <c r="A37" s="478" t="s">
        <v>2719</v>
      </c>
      <c r="B37" s="2683" t="s">
        <v>2720</v>
      </c>
      <c r="C37" s="1403" t="s">
        <v>1</v>
      </c>
      <c r="D37" s="1404"/>
      <c r="E37" s="1405"/>
      <c r="F37" s="1406"/>
      <c r="G37" s="1407"/>
      <c r="H37" s="1408"/>
      <c r="I37" s="1405"/>
      <c r="J37" s="1408"/>
      <c r="K37" s="618"/>
      <c r="L37" s="1142"/>
      <c r="M37" s="1143"/>
      <c r="N37" s="1130"/>
      <c r="O37" s="1143"/>
      <c r="P37" s="3613" t="str">
        <f>A37</f>
        <v>成交单价</v>
      </c>
      <c r="Q37" s="3613"/>
      <c r="R37" s="3614">
        <f>E37</f>
        <v>0</v>
      </c>
      <c r="S37" s="3614"/>
      <c r="T37" s="3614">
        <f>G37</f>
        <v>0</v>
      </c>
      <c r="U37" s="3614"/>
      <c r="V37" s="3614">
        <f>I37</f>
        <v>0</v>
      </c>
      <c r="W37" s="3614"/>
      <c r="X37" s="758"/>
      <c r="Y37" s="780"/>
      <c r="Z37" s="758"/>
      <c r="AA37" s="758"/>
      <c r="AB37" s="758"/>
      <c r="AC37" s="758"/>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9"/>
      <c r="L38" s="1142"/>
      <c r="M38" s="1143"/>
      <c r="N38" s="1143"/>
      <c r="O38" s="1143"/>
      <c r="P38" s="3613" t="str">
        <f>A38</f>
        <v>比较价值（元/平方米）</v>
      </c>
      <c r="Q38" s="3613"/>
      <c r="R38" s="3614" t="e">
        <f>IF(F1="售价",ROUND(PRODUCT(R37,AA7:AA36),0),ROUND(PRODUCT(R37,AA7:AA36),1))</f>
        <v>#DIV/0!</v>
      </c>
      <c r="S38" s="3614"/>
      <c r="T38" s="3614" t="e">
        <f>IF(F1="售价",ROUND(PRODUCT(T37,AB7:AB36),0),ROUND(PRODUCT(T37,AB7:AB36),1))</f>
        <v>#DIV/0!</v>
      </c>
      <c r="U38" s="3614"/>
      <c r="V38" s="3614" t="e">
        <f>IF(F1="售价",ROUND(PRODUCT(V37,AC7:AC36),0),ROUND(PRODUCT(V37,AC7:AC36),1))</f>
        <v>#DIV/0!</v>
      </c>
      <c r="W38" s="3614"/>
      <c r="X38" s="758"/>
      <c r="Y38" s="758"/>
      <c r="Z38" s="758"/>
      <c r="AA38" s="758"/>
      <c r="AB38" s="758"/>
      <c r="AC38" s="758"/>
    </row>
    <row r="39" spans="1:29" ht="15.75" thickBot="1">
      <c r="A39" s="491" t="s">
        <v>2722</v>
      </c>
      <c r="B39" s="492"/>
      <c r="C39" s="1413" t="e">
        <f>R39</f>
        <v>#DIV/0!</v>
      </c>
      <c r="D39" s="1413"/>
      <c r="E39" s="1413"/>
      <c r="F39" s="1413"/>
      <c r="G39" s="1413"/>
      <c r="H39" s="1413"/>
      <c r="I39" s="1413"/>
      <c r="J39" s="1413"/>
      <c r="K39" s="620"/>
      <c r="L39" s="1142"/>
      <c r="M39" s="1143"/>
      <c r="N39" s="1143"/>
      <c r="O39" s="1143"/>
      <c r="P39" s="3615" t="str">
        <f>A39</f>
        <v>估价对象XX用房的比较价值（楼面单价，元/平方米）</v>
      </c>
      <c r="Q39" s="3616"/>
      <c r="R39" s="3617" t="e">
        <f>IF(F1="售价",ROUND(AVERAGE(R38:V38),0),ROUND(AVERAGE(R38:V38),1))</f>
        <v>#DIV/0!</v>
      </c>
      <c r="S39" s="3617"/>
      <c r="T39" s="3617"/>
      <c r="U39" s="3617"/>
      <c r="V39" s="3617"/>
      <c r="W39" s="361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6"/>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6"/>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6"/>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6"/>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7"/>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7"/>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6"/>
      <c r="Q46" s="1143"/>
      <c r="R46" s="1143"/>
      <c r="S46" s="1143"/>
      <c r="T46" s="1143"/>
      <c r="U46" s="1143"/>
      <c r="V46" s="1143"/>
      <c r="W46" s="1143"/>
      <c r="X46" s="1143"/>
      <c r="Y46" s="1143"/>
      <c r="Z46" s="1143"/>
      <c r="AA46" s="1143"/>
      <c r="AB46" s="1143"/>
      <c r="AC46" s="1143"/>
    </row>
    <row r="47" spans="1:29" ht="21.75" thickBot="1">
      <c r="A47" s="1420" t="s">
        <v>2726</v>
      </c>
      <c r="B47" s="1143"/>
      <c r="C47" s="1158"/>
      <c r="D47" s="1158"/>
      <c r="E47" s="1158"/>
      <c r="F47" s="1421"/>
      <c r="G47" s="1421"/>
      <c r="H47" s="1158"/>
      <c r="I47" s="1158"/>
      <c r="J47" s="1158"/>
      <c r="K47" s="1159"/>
      <c r="L47" s="1160"/>
      <c r="M47" s="1158"/>
      <c r="N47" s="1158"/>
      <c r="O47" s="1158"/>
      <c r="P47" s="1418"/>
      <c r="Q47" s="1419"/>
      <c r="R47" s="1143"/>
      <c r="S47" s="1143"/>
      <c r="T47" s="1143"/>
      <c r="U47" s="1143"/>
      <c r="V47" s="1143"/>
      <c r="W47" s="1143"/>
      <c r="X47" s="1143"/>
      <c r="Y47" s="1143"/>
      <c r="Z47" s="1143"/>
      <c r="AA47" s="1143"/>
      <c r="AB47" s="1143"/>
      <c r="AC47" s="1143"/>
    </row>
    <row r="48" spans="1:29" s="507" customFormat="1" ht="15">
      <c r="A48" s="504" t="s">
        <v>2727</v>
      </c>
      <c r="B48" s="505"/>
      <c r="C48" s="1570" t="str">
        <f>YEAR(C7)&amp;"-"&amp;MONTH(C7)</f>
        <v>2020-6</v>
      </c>
      <c r="D48" s="1571">
        <f>EDATE(C48,-1)</f>
        <v>43952</v>
      </c>
      <c r="E48" s="1571">
        <f t="shared" ref="E48:O48" si="16">EDATE(D48,-1)</f>
        <v>43922</v>
      </c>
      <c r="F48" s="1571">
        <f t="shared" si="16"/>
        <v>43891</v>
      </c>
      <c r="G48" s="1571">
        <f t="shared" si="16"/>
        <v>43862</v>
      </c>
      <c r="H48" s="1571">
        <f t="shared" si="16"/>
        <v>43831</v>
      </c>
      <c r="I48" s="1571">
        <f t="shared" si="16"/>
        <v>43800</v>
      </c>
      <c r="J48" s="1571">
        <f t="shared" si="16"/>
        <v>43770</v>
      </c>
      <c r="K48" s="1571">
        <f t="shared" si="16"/>
        <v>43739</v>
      </c>
      <c r="L48" s="1571">
        <f t="shared" si="16"/>
        <v>43709</v>
      </c>
      <c r="M48" s="1571">
        <f t="shared" si="16"/>
        <v>43678</v>
      </c>
      <c r="N48" s="1571">
        <f t="shared" si="16"/>
        <v>43647</v>
      </c>
      <c r="O48" s="1571">
        <f t="shared" si="16"/>
        <v>43617</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2549</v>
      </c>
      <c r="B51" s="509"/>
      <c r="C51" s="521" t="s">
        <v>2651</v>
      </c>
      <c r="D51" s="522"/>
      <c r="E51" s="522"/>
      <c r="F51" s="522"/>
      <c r="G51" s="522"/>
      <c r="H51" s="522"/>
      <c r="I51" s="522"/>
      <c r="J51" s="522"/>
      <c r="K51" s="522"/>
      <c r="L51" s="523"/>
      <c r="M51" s="524"/>
      <c r="N51" s="1150"/>
      <c r="O51" s="1150"/>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50"/>
      <c r="O52" s="1150"/>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51"/>
      <c r="O53" s="1151"/>
      <c r="P53" s="1425"/>
      <c r="Q53" s="1419"/>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5"/>
      <c r="Q54" s="1419"/>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5"/>
      <c r="Q55" s="1419"/>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5"/>
      <c r="Q56" s="1419"/>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5"/>
      <c r="Q57" s="1419"/>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5"/>
      <c r="Q58" s="1419"/>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2"/>
      <c r="O60" s="1152"/>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3"/>
      <c r="O61" s="1153"/>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3"/>
      <c r="O62" s="1153"/>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1"/>
      <c r="Q63" s="1419"/>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5"/>
      <c r="Q64" s="1419"/>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5"/>
      <c r="Q65" s="1419"/>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5"/>
      <c r="Q66" s="1419"/>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78"/>
      <c r="N67" s="1152"/>
      <c r="O67" s="1152"/>
      <c r="P67" s="1425"/>
      <c r="Q67" s="1419"/>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5"/>
      <c r="Q68" s="1419"/>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5"/>
      <c r="Q69" s="1419"/>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5"/>
      <c r="Q70" s="1419"/>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5"/>
      <c r="Q71" s="1419"/>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5"/>
      <c r="Q72" s="1419"/>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52"/>
      <c r="O74" s="1152"/>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50"/>
      <c r="O75" s="1150"/>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52"/>
      <c r="O76" s="1152"/>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3"/>
      <c r="O77" s="1153"/>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3"/>
      <c r="O78" s="1153"/>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51"/>
      <c r="O79" s="1151"/>
      <c r="P79" s="1425"/>
      <c r="Q79" s="1419"/>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5"/>
      <c r="Q80" s="1419"/>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5"/>
      <c r="Q81" s="1419"/>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51"/>
      <c r="O83" s="1151"/>
      <c r="P83" s="1425"/>
      <c r="Q83" s="1419"/>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5"/>
      <c r="Q84" s="1419"/>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5"/>
      <c r="Q85" s="1419"/>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5"/>
      <c r="Q86" s="1419"/>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5"/>
      <c r="Q87" s="1419"/>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5"/>
      <c r="Q88" s="1419"/>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5"/>
      <c r="Q89" s="1419"/>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3"/>
      <c r="O91" s="1153"/>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3"/>
      <c r="O92" s="1153"/>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51"/>
      <c r="O93" s="1151"/>
      <c r="P93" s="1425"/>
      <c r="Q93" s="1419"/>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5"/>
      <c r="Q94" s="1419"/>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5"/>
      <c r="Q95" s="1419"/>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5"/>
      <c r="Q96" s="1419"/>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2"/>
      <c r="Q97" s="1433"/>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5"/>
      <c r="Q98" s="1419"/>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3"/>
      <c r="O100" s="1153"/>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1"/>
      <c r="O101" s="1151"/>
      <c r="P101" s="1425"/>
      <c r="Q101" s="1419"/>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5"/>
      <c r="Q102" s="1419"/>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87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875" style="402" customWidth="1"/>
    <col min="17" max="17" width="19.5" style="402" customWidth="1"/>
    <col min="18" max="22" width="6.125" style="402" customWidth="1"/>
    <col min="23" max="23" width="5.875" style="402" customWidth="1"/>
    <col min="24" max="24" width="4.125" style="402" customWidth="1"/>
    <col min="25" max="25" width="3.5" style="402" customWidth="1"/>
    <col min="26" max="26" width="19.8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2"/>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4"/>
      <c r="D2" s="1123" t="e">
        <f ca="1">SUMIF(INDIRECT("'"&amp;F2&amp;"'"&amp;"!A:A"),"承租人权益价值",INDIRECT("'"&amp;F2&amp;"'"&amp;"!c:c"))</f>
        <v>#REF!</v>
      </c>
      <c r="E2" s="2575" t="s">
        <v>2327</v>
      </c>
      <c r="F2" s="257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591" t="s">
        <v>2645</v>
      </c>
      <c r="D4" s="3592"/>
      <c r="E4" s="3593" t="s">
        <v>2646</v>
      </c>
      <c r="F4" s="3594"/>
      <c r="G4" s="3591" t="s">
        <v>2647</v>
      </c>
      <c r="H4" s="3592"/>
      <c r="I4" s="3591" t="s">
        <v>2648</v>
      </c>
      <c r="J4" s="3592"/>
      <c r="K4" s="609" t="s">
        <v>2649</v>
      </c>
      <c r="L4" s="1129"/>
      <c r="M4" s="1130"/>
      <c r="N4" s="1130"/>
      <c r="O4" s="1130"/>
      <c r="P4" s="3595" t="s">
        <v>2650</v>
      </c>
      <c r="Q4" s="3596"/>
      <c r="R4" s="3577" t="s">
        <v>2646</v>
      </c>
      <c r="S4" s="3578"/>
      <c r="T4" s="3577" t="s">
        <v>2647</v>
      </c>
      <c r="U4" s="3578"/>
      <c r="V4" s="3574" t="s">
        <v>2648</v>
      </c>
      <c r="W4" s="3574"/>
      <c r="X4" s="1801"/>
      <c r="Y4" s="3577" t="s">
        <v>2650</v>
      </c>
      <c r="Z4" s="3578"/>
      <c r="AA4" s="3571" t="s">
        <v>2646</v>
      </c>
      <c r="AB4" s="3572" t="s">
        <v>2647</v>
      </c>
      <c r="AC4" s="3571" t="s">
        <v>2648</v>
      </c>
    </row>
    <row r="5" spans="1:29" ht="15">
      <c r="A5" s="403"/>
      <c r="B5" s="404"/>
      <c r="C5" s="3583" t="s">
        <v>2541</v>
      </c>
      <c r="D5" s="3584"/>
      <c r="E5" s="3671" t="s">
        <v>2542</v>
      </c>
      <c r="F5" s="3582"/>
      <c r="G5" s="3583" t="s">
        <v>2543</v>
      </c>
      <c r="H5" s="3584"/>
      <c r="I5" s="3583" t="s">
        <v>2544</v>
      </c>
      <c r="J5" s="3584"/>
      <c r="K5" s="609"/>
      <c r="L5" s="1129"/>
      <c r="M5" s="1130"/>
      <c r="N5" s="1130"/>
      <c r="O5" s="1130"/>
      <c r="P5" s="3597"/>
      <c r="Q5" s="3598"/>
      <c r="R5" s="3579"/>
      <c r="S5" s="3580"/>
      <c r="T5" s="3579"/>
      <c r="U5" s="3580"/>
      <c r="V5" s="3574"/>
      <c r="W5" s="3574"/>
      <c r="X5" s="1801"/>
      <c r="Y5" s="3579"/>
      <c r="Z5" s="3580"/>
      <c r="AA5" s="3572"/>
      <c r="AB5" s="3572"/>
      <c r="AC5" s="3572"/>
    </row>
    <row r="6" spans="1:29" ht="15.75" thickBot="1">
      <c r="A6" s="405"/>
      <c r="B6" s="406"/>
      <c r="C6" s="3585" t="s">
        <v>2545</v>
      </c>
      <c r="D6" s="3586"/>
      <c r="E6" s="3588" t="s">
        <v>2545</v>
      </c>
      <c r="F6" s="3589"/>
      <c r="G6" s="3585" t="s">
        <v>2545</v>
      </c>
      <c r="H6" s="3586"/>
      <c r="I6" s="3585" t="s">
        <v>2545</v>
      </c>
      <c r="J6" s="3586"/>
      <c r="K6" s="609" t="s">
        <v>2546</v>
      </c>
      <c r="L6" s="1129"/>
      <c r="M6" s="1130"/>
      <c r="N6" s="1130"/>
      <c r="O6" s="1130"/>
      <c r="P6" s="3599"/>
      <c r="Q6" s="3600"/>
      <c r="R6" s="3579"/>
      <c r="S6" s="3580"/>
      <c r="T6" s="3601"/>
      <c r="U6" s="3602"/>
      <c r="V6" s="3574"/>
      <c r="W6" s="3574"/>
      <c r="X6" s="1801"/>
      <c r="Y6" s="3601"/>
      <c r="Z6" s="3602"/>
      <c r="AA6" s="3573"/>
      <c r="AB6" s="3573"/>
      <c r="AC6" s="3573"/>
    </row>
    <row r="7" spans="1:29" s="116" customFormat="1" ht="15.75" thickBot="1">
      <c r="A7" s="407" t="s">
        <v>2547</v>
      </c>
      <c r="B7" s="408"/>
      <c r="C7" s="409">
        <f>'数据-取费表'!B2</f>
        <v>44011</v>
      </c>
      <c r="D7" s="410">
        <v>100</v>
      </c>
      <c r="E7" s="411"/>
      <c r="F7" s="412">
        <f>SUMIF(46:46,YEAR(E7)&amp;"-"&amp;MONTH(E7),47:47)</f>
        <v>0</v>
      </c>
      <c r="G7" s="2684"/>
      <c r="H7" s="410">
        <f>SUMIF(46:46,YEAR(G7)&amp;"-"&amp;MONTH(G7),47:47)</f>
        <v>0</v>
      </c>
      <c r="I7" s="411"/>
      <c r="J7" s="410">
        <f>SUMIF(46:46,YEAR(I7)&amp;"-"&amp;MONTH(I7),47:47)</f>
        <v>0</v>
      </c>
      <c r="K7" s="610"/>
      <c r="L7" s="1131"/>
      <c r="M7" s="1132"/>
      <c r="N7" s="1132"/>
      <c r="O7" s="1132"/>
      <c r="P7" s="3575" t="s">
        <v>2548</v>
      </c>
      <c r="Q7" s="3603"/>
      <c r="R7" s="769" t="s">
        <v>17</v>
      </c>
      <c r="S7" s="770">
        <f t="shared" ref="S7:S14" si="0">F7</f>
        <v>0</v>
      </c>
      <c r="T7" s="769" t="s">
        <v>17</v>
      </c>
      <c r="U7" s="770">
        <f t="shared" ref="U7:U14" si="1">H7</f>
        <v>0</v>
      </c>
      <c r="V7" s="769" t="s">
        <v>17</v>
      </c>
      <c r="W7" s="770">
        <f t="shared" ref="W7:W14" si="2">J7</f>
        <v>0</v>
      </c>
      <c r="X7" s="771"/>
      <c r="Y7" s="3575" t="s">
        <v>2548</v>
      </c>
      <c r="Z7" s="3576"/>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575" t="s">
        <v>2551</v>
      </c>
      <c r="Q8" s="3576"/>
      <c r="R8" s="769" t="s">
        <v>17</v>
      </c>
      <c r="S8" s="770">
        <f t="shared" si="0"/>
        <v>0</v>
      </c>
      <c r="T8" s="769" t="s">
        <v>17</v>
      </c>
      <c r="U8" s="770">
        <f t="shared" si="1"/>
        <v>0</v>
      </c>
      <c r="V8" s="769" t="s">
        <v>17</v>
      </c>
      <c r="W8" s="770">
        <f t="shared" si="2"/>
        <v>0</v>
      </c>
      <c r="X8" s="771"/>
      <c r="Y8" s="3575" t="s">
        <v>2551</v>
      </c>
      <c r="Z8" s="3576"/>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613" t="s">
        <v>2554</v>
      </c>
      <c r="Q9" s="1783" t="str">
        <f t="shared" ref="Q9:Q14" si="6">B9</f>
        <v>用途</v>
      </c>
      <c r="R9" s="769" t="s">
        <v>17</v>
      </c>
      <c r="S9" s="770">
        <f t="shared" si="0"/>
        <v>100</v>
      </c>
      <c r="T9" s="769" t="s">
        <v>17</v>
      </c>
      <c r="U9" s="770">
        <f t="shared" si="1"/>
        <v>100</v>
      </c>
      <c r="V9" s="769" t="s">
        <v>17</v>
      </c>
      <c r="W9" s="770">
        <f t="shared" si="2"/>
        <v>100</v>
      </c>
      <c r="X9" s="771"/>
      <c r="Y9" s="3335"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613"/>
      <c r="Q10" s="1783" t="str">
        <f t="shared" si="6"/>
        <v>土地使用年限（年）</v>
      </c>
      <c r="R10" s="769" t="s">
        <v>17</v>
      </c>
      <c r="S10" s="770">
        <f t="shared" si="0"/>
        <v>100</v>
      </c>
      <c r="T10" s="769" t="s">
        <v>17</v>
      </c>
      <c r="U10" s="770">
        <f t="shared" si="1"/>
        <v>100</v>
      </c>
      <c r="V10" s="769" t="s">
        <v>17</v>
      </c>
      <c r="W10" s="770">
        <f t="shared" si="2"/>
        <v>100</v>
      </c>
      <c r="X10" s="771"/>
      <c r="Y10" s="3335"/>
      <c r="Z10" s="55" t="str">
        <f t="shared" si="7"/>
        <v>土地使用年限（年）</v>
      </c>
      <c r="AA10" s="772">
        <f t="shared" si="3"/>
        <v>1</v>
      </c>
      <c r="AB10" s="772">
        <f t="shared" si="4"/>
        <v>1</v>
      </c>
      <c r="AC10" s="772">
        <f t="shared" si="5"/>
        <v>1</v>
      </c>
    </row>
    <row r="11" spans="1:29" ht="15">
      <c r="A11" s="427"/>
      <c r="B11" s="258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613"/>
      <c r="Q11" s="1783">
        <f t="shared" si="6"/>
        <v>111</v>
      </c>
      <c r="R11" s="769" t="s">
        <v>17</v>
      </c>
      <c r="S11" s="770">
        <f t="shared" si="0"/>
        <v>100</v>
      </c>
      <c r="T11" s="769" t="s">
        <v>17</v>
      </c>
      <c r="U11" s="770">
        <f t="shared" si="1"/>
        <v>100</v>
      </c>
      <c r="V11" s="769" t="s">
        <v>17</v>
      </c>
      <c r="W11" s="770">
        <f t="shared" si="2"/>
        <v>100</v>
      </c>
      <c r="X11" s="771"/>
      <c r="Y11" s="3335"/>
      <c r="Z11" s="55">
        <f t="shared" si="7"/>
        <v>111</v>
      </c>
      <c r="AA11" s="772">
        <f t="shared" si="3"/>
        <v>1</v>
      </c>
      <c r="AB11" s="772">
        <f t="shared" si="4"/>
        <v>1</v>
      </c>
      <c r="AC11" s="772">
        <f t="shared" si="5"/>
        <v>1</v>
      </c>
    </row>
    <row r="12" spans="1:29" s="116" customFormat="1" ht="15">
      <c r="A12" s="430"/>
      <c r="B12" s="258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613"/>
      <c r="Q12" s="1783">
        <f t="shared" si="6"/>
        <v>111</v>
      </c>
      <c r="R12" s="769" t="s">
        <v>17</v>
      </c>
      <c r="S12" s="770">
        <f t="shared" si="0"/>
        <v>100</v>
      </c>
      <c r="T12" s="769" t="s">
        <v>17</v>
      </c>
      <c r="U12" s="770">
        <f t="shared" si="1"/>
        <v>100</v>
      </c>
      <c r="V12" s="769" t="s">
        <v>17</v>
      </c>
      <c r="W12" s="770">
        <f t="shared" si="2"/>
        <v>100</v>
      </c>
      <c r="X12" s="771"/>
      <c r="Y12" s="3335"/>
      <c r="Z12" s="55">
        <f t="shared" si="7"/>
        <v>111</v>
      </c>
      <c r="AA12" s="772">
        <f>D12/F12</f>
        <v>1</v>
      </c>
      <c r="AB12" s="772">
        <f>D12/H12</f>
        <v>1</v>
      </c>
      <c r="AC12" s="772">
        <f>D12/J12</f>
        <v>1</v>
      </c>
    </row>
    <row r="13" spans="1:29" ht="15.75" thickBot="1">
      <c r="A13" s="427"/>
      <c r="B13" s="2588">
        <v>111</v>
      </c>
      <c r="C13" s="433"/>
      <c r="D13" s="434">
        <v>100</v>
      </c>
      <c r="E13" s="468"/>
      <c r="F13" s="424">
        <f>SUMIF(59:59,E13,60:60)-SUMIF(59:59,C13,60:60)+100</f>
        <v>100</v>
      </c>
      <c r="G13" s="2685"/>
      <c r="H13" s="437">
        <f>SUMIF(59:59,G13,60:60)-SUMIF(59:59,C13,60:60)+100</f>
        <v>100</v>
      </c>
      <c r="I13" s="468"/>
      <c r="J13" s="434">
        <f>SUMIF(59:59,I13,60:60)-SUMIF(59:59,C13,60:60)+100</f>
        <v>100</v>
      </c>
      <c r="K13" s="612"/>
      <c r="L13" s="1139"/>
      <c r="M13" s="1130"/>
      <c r="N13" s="1130"/>
      <c r="O13" s="1138"/>
      <c r="P13" s="3613"/>
      <c r="Q13" s="1783">
        <f t="shared" si="6"/>
        <v>111</v>
      </c>
      <c r="R13" s="769" t="s">
        <v>17</v>
      </c>
      <c r="S13" s="770">
        <f t="shared" si="0"/>
        <v>100</v>
      </c>
      <c r="T13" s="769" t="s">
        <v>17</v>
      </c>
      <c r="U13" s="770">
        <f t="shared" si="1"/>
        <v>100</v>
      </c>
      <c r="V13" s="769" t="s">
        <v>17</v>
      </c>
      <c r="W13" s="770">
        <f t="shared" si="2"/>
        <v>100</v>
      </c>
      <c r="X13" s="771"/>
      <c r="Y13" s="3335"/>
      <c r="Z13" s="55">
        <f t="shared" si="7"/>
        <v>111</v>
      </c>
      <c r="AA13" s="772">
        <f t="shared" si="3"/>
        <v>1</v>
      </c>
      <c r="AB13" s="772">
        <f t="shared" si="4"/>
        <v>1</v>
      </c>
      <c r="AC13" s="772">
        <f t="shared" si="5"/>
        <v>1</v>
      </c>
    </row>
    <row r="14" spans="1:29" ht="85.5">
      <c r="A14" s="439" t="s">
        <v>2558</v>
      </c>
      <c r="B14" s="68" t="s">
        <v>2708</v>
      </c>
      <c r="C14" s="268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606" t="s">
        <v>2559</v>
      </c>
      <c r="Q14" s="1798" t="str">
        <f t="shared" si="6"/>
        <v>交通便捷度</v>
      </c>
      <c r="R14" s="773" t="s">
        <v>17</v>
      </c>
      <c r="S14" s="774">
        <f t="shared" si="0"/>
        <v>100</v>
      </c>
      <c r="T14" s="773" t="s">
        <v>17</v>
      </c>
      <c r="U14" s="774">
        <f t="shared" si="1"/>
        <v>100</v>
      </c>
      <c r="V14" s="773" t="s">
        <v>17</v>
      </c>
      <c r="W14" s="774">
        <f t="shared" si="2"/>
        <v>100</v>
      </c>
      <c r="X14" s="1801"/>
      <c r="Y14" s="3606" t="s">
        <v>2559</v>
      </c>
      <c r="Z14" s="1802" t="str">
        <f t="shared" si="7"/>
        <v>交通便捷度</v>
      </c>
      <c r="AA14" s="1799">
        <f t="shared" si="3"/>
        <v>1</v>
      </c>
      <c r="AB14" s="1799">
        <f t="shared" si="4"/>
        <v>1</v>
      </c>
      <c r="AC14" s="1799">
        <f t="shared" si="5"/>
        <v>1</v>
      </c>
    </row>
    <row r="15" spans="1:29" ht="15">
      <c r="A15" s="427"/>
      <c r="B15" s="445"/>
      <c r="C15" s="446"/>
      <c r="D15" s="447"/>
      <c r="E15" s="446"/>
      <c r="F15" s="448"/>
      <c r="G15" s="446"/>
      <c r="H15" s="449"/>
      <c r="I15" s="446"/>
      <c r="J15" s="447"/>
      <c r="K15" s="614"/>
      <c r="L15" s="1139"/>
      <c r="M15" s="1130"/>
      <c r="N15" s="1130"/>
      <c r="O15" s="1138"/>
      <c r="P15" s="3607"/>
      <c r="Q15" s="1798"/>
      <c r="R15" s="773"/>
      <c r="S15" s="774"/>
      <c r="T15" s="773"/>
      <c r="U15" s="774"/>
      <c r="V15" s="773"/>
      <c r="W15" s="774"/>
      <c r="X15" s="1801"/>
      <c r="Y15" s="3607"/>
      <c r="Z15" s="1802"/>
      <c r="AA15" s="1799">
        <v>1</v>
      </c>
      <c r="AB15" s="1799">
        <v>1</v>
      </c>
      <c r="AC15" s="1799">
        <v>1</v>
      </c>
    </row>
    <row r="16" spans="1:29" ht="42.75">
      <c r="A16" s="427"/>
      <c r="B16" s="450" t="s">
        <v>2687</v>
      </c>
      <c r="C16" s="259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607"/>
      <c r="Q16" s="1798" t="str">
        <f>B16</f>
        <v>公共配套设施</v>
      </c>
      <c r="R16" s="773" t="s">
        <v>17</v>
      </c>
      <c r="S16" s="774">
        <f>F16</f>
        <v>100</v>
      </c>
      <c r="T16" s="773" t="s">
        <v>17</v>
      </c>
      <c r="U16" s="774">
        <f>H16</f>
        <v>100</v>
      </c>
      <c r="V16" s="773" t="s">
        <v>17</v>
      </c>
      <c r="W16" s="774">
        <f>J16</f>
        <v>100</v>
      </c>
      <c r="X16" s="1801"/>
      <c r="Y16" s="3607"/>
      <c r="Z16" s="1802" t="str">
        <f>Q16</f>
        <v>公共配套设施</v>
      </c>
      <c r="AA16" s="1799">
        <f t="shared" si="3"/>
        <v>1</v>
      </c>
      <c r="AB16" s="1799">
        <f t="shared" si="4"/>
        <v>1</v>
      </c>
      <c r="AC16" s="1799">
        <f t="shared" si="5"/>
        <v>1</v>
      </c>
    </row>
    <row r="17" spans="1:29" ht="15">
      <c r="A17" s="427"/>
      <c r="B17" s="455"/>
      <c r="C17" s="2596"/>
      <c r="D17" s="447"/>
      <c r="E17" s="446"/>
      <c r="F17" s="448"/>
      <c r="G17" s="446"/>
      <c r="H17" s="447"/>
      <c r="I17" s="446"/>
      <c r="J17" s="447"/>
      <c r="K17" s="614"/>
      <c r="L17" s="1139"/>
      <c r="M17" s="1130"/>
      <c r="N17" s="1130"/>
      <c r="O17" s="1138"/>
      <c r="P17" s="3607"/>
      <c r="Q17" s="1798"/>
      <c r="R17" s="773"/>
      <c r="S17" s="774"/>
      <c r="T17" s="773"/>
      <c r="U17" s="774"/>
      <c r="V17" s="773"/>
      <c r="W17" s="774"/>
      <c r="X17" s="1801"/>
      <c r="Y17" s="3607"/>
      <c r="Z17" s="1802"/>
      <c r="AA17" s="1799">
        <v>1</v>
      </c>
      <c r="AB17" s="1799">
        <v>1</v>
      </c>
      <c r="AC17" s="1799">
        <v>1</v>
      </c>
    </row>
    <row r="18" spans="1:29" ht="28.5">
      <c r="A18" s="427"/>
      <c r="B18" s="1380" t="s">
        <v>2688</v>
      </c>
      <c r="C18" s="259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607"/>
      <c r="Q18" s="1798" t="str">
        <f>B18</f>
        <v>基础设施水平</v>
      </c>
      <c r="R18" s="773" t="s">
        <v>17</v>
      </c>
      <c r="S18" s="774">
        <f>F18</f>
        <v>100</v>
      </c>
      <c r="T18" s="773" t="s">
        <v>17</v>
      </c>
      <c r="U18" s="774">
        <f>H18</f>
        <v>100</v>
      </c>
      <c r="V18" s="773" t="s">
        <v>17</v>
      </c>
      <c r="W18" s="774">
        <f>J18</f>
        <v>100</v>
      </c>
      <c r="X18" s="1801"/>
      <c r="Y18" s="3607"/>
      <c r="Z18" s="1802" t="str">
        <f>Q18</f>
        <v>基础设施水平</v>
      </c>
      <c r="AA18" s="1799">
        <f t="shared" ref="AA18" si="8">D18/F18</f>
        <v>1</v>
      </c>
      <c r="AB18" s="1799">
        <f t="shared" ref="AB18" si="9">D18/H18</f>
        <v>1</v>
      </c>
      <c r="AC18" s="1799">
        <f t="shared" ref="AC18" si="10">D18/J18</f>
        <v>1</v>
      </c>
    </row>
    <row r="19" spans="1:29" ht="15">
      <c r="A19" s="427"/>
      <c r="B19" s="1380"/>
      <c r="C19" s="2596"/>
      <c r="D19" s="449"/>
      <c r="E19" s="2596"/>
      <c r="F19" s="452"/>
      <c r="G19" s="2596"/>
      <c r="H19" s="447"/>
      <c r="I19" s="446"/>
      <c r="J19" s="447"/>
      <c r="K19" s="1379"/>
      <c r="L19" s="1139"/>
      <c r="M19" s="1130"/>
      <c r="N19" s="1130"/>
      <c r="O19" s="1138"/>
      <c r="P19" s="3607"/>
      <c r="Q19" s="1798"/>
      <c r="R19" s="773"/>
      <c r="S19" s="774"/>
      <c r="T19" s="773"/>
      <c r="U19" s="774"/>
      <c r="V19" s="773"/>
      <c r="W19" s="774"/>
      <c r="X19" s="1801"/>
      <c r="Y19" s="3607"/>
      <c r="Z19" s="1802"/>
      <c r="AA19" s="1799">
        <v>1</v>
      </c>
      <c r="AB19" s="1799">
        <v>1</v>
      </c>
      <c r="AC19" s="1799">
        <v>1</v>
      </c>
    </row>
    <row r="20" spans="1:29" ht="57">
      <c r="A20" s="427"/>
      <c r="B20" s="450" t="s">
        <v>2709</v>
      </c>
      <c r="C20" s="259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607"/>
      <c r="Q20" s="1798" t="str">
        <f>B20</f>
        <v>自然及人文环境</v>
      </c>
      <c r="R20" s="773" t="s">
        <v>17</v>
      </c>
      <c r="S20" s="774">
        <f>F20</f>
        <v>100</v>
      </c>
      <c r="T20" s="773" t="s">
        <v>17</v>
      </c>
      <c r="U20" s="774">
        <f>H20</f>
        <v>100</v>
      </c>
      <c r="V20" s="773" t="s">
        <v>17</v>
      </c>
      <c r="W20" s="774">
        <f>J20</f>
        <v>100</v>
      </c>
      <c r="X20" s="1801"/>
      <c r="Y20" s="3607"/>
      <c r="Z20" s="1802" t="str">
        <f>Q20</f>
        <v>自然及人文环境</v>
      </c>
      <c r="AA20" s="1799">
        <f t="shared" si="3"/>
        <v>1</v>
      </c>
      <c r="AB20" s="1799">
        <f t="shared" si="4"/>
        <v>1</v>
      </c>
      <c r="AC20" s="1799">
        <f t="shared" si="5"/>
        <v>1</v>
      </c>
    </row>
    <row r="21" spans="1:29" ht="15">
      <c r="A21" s="427"/>
      <c r="B21" s="455"/>
      <c r="C21" s="446"/>
      <c r="D21" s="447"/>
      <c r="E21" s="446"/>
      <c r="F21" s="448"/>
      <c r="G21" s="446"/>
      <c r="H21" s="447"/>
      <c r="I21" s="446"/>
      <c r="J21" s="447"/>
      <c r="K21" s="614"/>
      <c r="L21" s="1139"/>
      <c r="M21" s="1130"/>
      <c r="N21" s="1130"/>
      <c r="O21" s="1138"/>
      <c r="P21" s="3607"/>
      <c r="Q21" s="1798"/>
      <c r="R21" s="773"/>
      <c r="S21" s="774"/>
      <c r="T21" s="773"/>
      <c r="U21" s="774"/>
      <c r="V21" s="773"/>
      <c r="W21" s="774"/>
      <c r="X21" s="1801"/>
      <c r="Y21" s="3607"/>
      <c r="Z21" s="1802"/>
      <c r="AA21" s="1799">
        <v>1</v>
      </c>
      <c r="AB21" s="1799">
        <v>1</v>
      </c>
      <c r="AC21" s="1799">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607"/>
      <c r="Q22" s="1798" t="str">
        <f>B22</f>
        <v>楼层</v>
      </c>
      <c r="R22" s="773" t="s">
        <v>17</v>
      </c>
      <c r="S22" s="774">
        <f>F22</f>
        <v>100</v>
      </c>
      <c r="T22" s="773" t="s">
        <v>17</v>
      </c>
      <c r="U22" s="774">
        <f>H22</f>
        <v>100</v>
      </c>
      <c r="V22" s="773" t="s">
        <v>17</v>
      </c>
      <c r="W22" s="774">
        <f>J22</f>
        <v>100</v>
      </c>
      <c r="X22" s="1801"/>
      <c r="Y22" s="3607"/>
      <c r="Z22" s="1802" t="str">
        <f>Q22</f>
        <v>楼层</v>
      </c>
      <c r="AA22" s="1799">
        <f t="shared" si="3"/>
        <v>1</v>
      </c>
      <c r="AB22" s="1799">
        <f t="shared" si="4"/>
        <v>1</v>
      </c>
      <c r="AC22" s="1799">
        <f t="shared" si="5"/>
        <v>1</v>
      </c>
    </row>
    <row r="23" spans="1:29" ht="15">
      <c r="A23" s="403"/>
      <c r="B23" s="258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607"/>
      <c r="Q23" s="1798">
        <f>B23</f>
        <v>111</v>
      </c>
      <c r="R23" s="773" t="s">
        <v>17</v>
      </c>
      <c r="S23" s="774">
        <f>F23</f>
        <v>100</v>
      </c>
      <c r="T23" s="773" t="s">
        <v>17</v>
      </c>
      <c r="U23" s="774">
        <f>H23</f>
        <v>100</v>
      </c>
      <c r="V23" s="773" t="s">
        <v>17</v>
      </c>
      <c r="W23" s="774">
        <f>J23</f>
        <v>100</v>
      </c>
      <c r="X23" s="1801"/>
      <c r="Y23" s="3607"/>
      <c r="Z23" s="1802">
        <f>Q23</f>
        <v>111</v>
      </c>
      <c r="AA23" s="1799">
        <f t="shared" si="3"/>
        <v>1</v>
      </c>
      <c r="AB23" s="1799">
        <f t="shared" si="4"/>
        <v>1</v>
      </c>
      <c r="AC23" s="1799">
        <f t="shared" si="5"/>
        <v>1</v>
      </c>
    </row>
    <row r="24" spans="1:29" ht="15">
      <c r="A24" s="427"/>
      <c r="B24" s="258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607"/>
      <c r="Q24" s="1798">
        <f t="shared" ref="Q24:Q34" si="11">B24</f>
        <v>111</v>
      </c>
      <c r="R24" s="773" t="s">
        <v>17</v>
      </c>
      <c r="S24" s="774">
        <f>F24</f>
        <v>100</v>
      </c>
      <c r="T24" s="773" t="s">
        <v>17</v>
      </c>
      <c r="U24" s="774">
        <f>H24</f>
        <v>100</v>
      </c>
      <c r="V24" s="773" t="s">
        <v>17</v>
      </c>
      <c r="W24" s="774">
        <f>J24</f>
        <v>100</v>
      </c>
      <c r="X24" s="1801"/>
      <c r="Y24" s="3607"/>
      <c r="Z24" s="1802">
        <f>Q24</f>
        <v>111</v>
      </c>
      <c r="AA24" s="1799">
        <f t="shared" si="3"/>
        <v>1</v>
      </c>
      <c r="AB24" s="1799">
        <f t="shared" si="4"/>
        <v>1</v>
      </c>
      <c r="AC24" s="1799">
        <f t="shared" si="5"/>
        <v>1</v>
      </c>
    </row>
    <row r="25" spans="1:29" s="116" customFormat="1" ht="15.75" thickBot="1">
      <c r="A25" s="430"/>
      <c r="B25" s="2588">
        <v>111</v>
      </c>
      <c r="C25" s="2686"/>
      <c r="D25" s="664">
        <v>100</v>
      </c>
      <c r="E25" s="2686"/>
      <c r="F25" s="665">
        <f>SUMIF(75:75,E25,76:76)-SUMIF(75:75,C25,76:76)+100</f>
        <v>100</v>
      </c>
      <c r="G25" s="2686"/>
      <c r="H25" s="664">
        <f>SUMIF(75:75,G25,76:76)-SUMIF(75:75,C25,76:76)+100</f>
        <v>100</v>
      </c>
      <c r="I25" s="2686"/>
      <c r="J25" s="664">
        <f>SUMIF(75:75,I25,76:76)-SUMIF(75:75,C25,76:76)+100</f>
        <v>100</v>
      </c>
      <c r="K25" s="612"/>
      <c r="L25" s="1131"/>
      <c r="M25" s="1132"/>
      <c r="N25" s="1132"/>
      <c r="O25" s="1133"/>
      <c r="P25" s="3607"/>
      <c r="Q25" s="1783">
        <f t="shared" si="11"/>
        <v>111</v>
      </c>
      <c r="R25" s="769" t="s">
        <v>17</v>
      </c>
      <c r="S25" s="770">
        <f>F25</f>
        <v>100</v>
      </c>
      <c r="T25" s="769" t="s">
        <v>17</v>
      </c>
      <c r="U25" s="770">
        <f>H25</f>
        <v>100</v>
      </c>
      <c r="V25" s="769" t="s">
        <v>17</v>
      </c>
      <c r="W25" s="770">
        <f>J25</f>
        <v>100</v>
      </c>
      <c r="X25" s="771"/>
      <c r="Y25" s="3607"/>
      <c r="Z25" s="55">
        <f>Q25</f>
        <v>111</v>
      </c>
      <c r="AA25" s="1799">
        <f>D25/F25</f>
        <v>1</v>
      </c>
      <c r="AB25" s="1799">
        <f>D25/H25</f>
        <v>1</v>
      </c>
      <c r="AC25" s="1799">
        <f>D25/J25</f>
        <v>1</v>
      </c>
    </row>
    <row r="26" spans="1:29" ht="15">
      <c r="A26" s="465" t="s">
        <v>2562</v>
      </c>
      <c r="B26" s="70" t="s">
        <v>2713</v>
      </c>
      <c r="C26" s="2667"/>
      <c r="D26" s="466">
        <v>100</v>
      </c>
      <c r="E26" s="2667"/>
      <c r="F26" s="666">
        <f>SUMIF(77:77,E26,78:78)-SUMIF(77:77,C26,78:78)+100</f>
        <v>100</v>
      </c>
      <c r="G26" s="2667"/>
      <c r="H26" s="466">
        <f>SUMIF(77:77,G26,78:78)-SUMIF(77:77,C26,78:78)+100</f>
        <v>100</v>
      </c>
      <c r="I26" s="2667"/>
      <c r="J26" s="466">
        <f>SUMIF(77:77,I26,78:78)-SUMIF(77:77,C26,78:78)+100</f>
        <v>100</v>
      </c>
      <c r="K26" s="611"/>
      <c r="L26" s="1139"/>
      <c r="M26" s="1130"/>
      <c r="N26" s="1130"/>
      <c r="O26" s="1138"/>
      <c r="P26" s="3687" t="s">
        <v>2564</v>
      </c>
      <c r="Q26" s="1798" t="str">
        <f t="shared" si="11"/>
        <v>公共部分装修</v>
      </c>
      <c r="R26" s="773" t="s">
        <v>17</v>
      </c>
      <c r="S26" s="774">
        <f t="shared" ref="S26:S34" si="12">F26</f>
        <v>100</v>
      </c>
      <c r="T26" s="773" t="s">
        <v>17</v>
      </c>
      <c r="U26" s="774">
        <f t="shared" ref="U26:U34" si="13">H26</f>
        <v>100</v>
      </c>
      <c r="V26" s="773" t="s">
        <v>17</v>
      </c>
      <c r="W26" s="774">
        <f t="shared" ref="W26:W34" si="14">J26</f>
        <v>100</v>
      </c>
      <c r="X26" s="1801"/>
      <c r="Y26" s="3611" t="s">
        <v>2564</v>
      </c>
      <c r="Z26" s="1802" t="str">
        <f t="shared" ref="Z26:Z34" si="15">Q26</f>
        <v>公共部分装修</v>
      </c>
      <c r="AA26" s="1799">
        <f t="shared" si="3"/>
        <v>1</v>
      </c>
      <c r="AB26" s="1799">
        <f t="shared" si="4"/>
        <v>1</v>
      </c>
      <c r="AC26" s="1799">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611"/>
      <c r="Q27" s="775" t="str">
        <f t="shared" si="11"/>
        <v>成新率</v>
      </c>
      <c r="R27" s="776" t="s">
        <v>17</v>
      </c>
      <c r="S27" s="777" t="e">
        <f t="shared" si="12"/>
        <v>#N/A</v>
      </c>
      <c r="T27" s="776" t="s">
        <v>17</v>
      </c>
      <c r="U27" s="777" t="e">
        <f t="shared" si="13"/>
        <v>#N/A</v>
      </c>
      <c r="V27" s="776" t="s">
        <v>17</v>
      </c>
      <c r="W27" s="777" t="e">
        <f t="shared" si="14"/>
        <v>#N/A</v>
      </c>
      <c r="X27" s="778"/>
      <c r="Y27" s="3611"/>
      <c r="Z27" s="779" t="str">
        <f t="shared" si="15"/>
        <v>成新率</v>
      </c>
      <c r="AA27" s="1799" t="e">
        <f t="shared" si="3"/>
        <v>#N/A</v>
      </c>
      <c r="AB27" s="1799" t="e">
        <f t="shared" si="4"/>
        <v>#N/A</v>
      </c>
      <c r="AC27" s="1799"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611"/>
      <c r="Q28" s="1798" t="str">
        <f t="shared" si="11"/>
        <v>物业等级</v>
      </c>
      <c r="R28" s="773" t="s">
        <v>17</v>
      </c>
      <c r="S28" s="774">
        <f t="shared" si="12"/>
        <v>100</v>
      </c>
      <c r="T28" s="773" t="s">
        <v>17</v>
      </c>
      <c r="U28" s="774">
        <f t="shared" si="13"/>
        <v>100</v>
      </c>
      <c r="V28" s="773" t="s">
        <v>17</v>
      </c>
      <c r="W28" s="774">
        <f t="shared" si="14"/>
        <v>100</v>
      </c>
      <c r="X28" s="1801"/>
      <c r="Y28" s="3611"/>
      <c r="Z28" s="1802" t="str">
        <f t="shared" si="15"/>
        <v>物业等级</v>
      </c>
      <c r="AA28" s="1799">
        <f t="shared" si="3"/>
        <v>1</v>
      </c>
      <c r="AB28" s="1799">
        <f t="shared" si="4"/>
        <v>1</v>
      </c>
      <c r="AC28" s="1799">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611"/>
      <c r="Q29" s="1798" t="str">
        <f t="shared" si="11"/>
        <v>有无电梯</v>
      </c>
      <c r="R29" s="773" t="s">
        <v>17</v>
      </c>
      <c r="S29" s="774">
        <f t="shared" si="12"/>
        <v>100</v>
      </c>
      <c r="T29" s="773" t="s">
        <v>17</v>
      </c>
      <c r="U29" s="774">
        <f t="shared" si="13"/>
        <v>100</v>
      </c>
      <c r="V29" s="773" t="s">
        <v>17</v>
      </c>
      <c r="W29" s="774">
        <f t="shared" si="14"/>
        <v>100</v>
      </c>
      <c r="X29" s="1801"/>
      <c r="Y29" s="3611"/>
      <c r="Z29" s="1802" t="str">
        <f t="shared" si="15"/>
        <v>有无电梯</v>
      </c>
      <c r="AA29" s="1799">
        <f t="shared" si="3"/>
        <v>1</v>
      </c>
      <c r="AB29" s="1799">
        <f t="shared" si="4"/>
        <v>1</v>
      </c>
      <c r="AC29" s="1799">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611"/>
      <c r="Q30" s="1798" t="str">
        <f t="shared" si="11"/>
        <v>建筑面积</v>
      </c>
      <c r="R30" s="773" t="s">
        <v>17</v>
      </c>
      <c r="S30" s="774" t="e">
        <f t="shared" si="12"/>
        <v>#N/A</v>
      </c>
      <c r="T30" s="773" t="s">
        <v>17</v>
      </c>
      <c r="U30" s="774" t="e">
        <f t="shared" si="13"/>
        <v>#N/A</v>
      </c>
      <c r="V30" s="773" t="s">
        <v>17</v>
      </c>
      <c r="W30" s="774" t="e">
        <f t="shared" si="14"/>
        <v>#N/A</v>
      </c>
      <c r="X30" s="1801"/>
      <c r="Y30" s="3611"/>
      <c r="Z30" s="1802" t="str">
        <f t="shared" si="15"/>
        <v>建筑面积</v>
      </c>
      <c r="AA30" s="1799" t="e">
        <f t="shared" si="3"/>
        <v>#N/A</v>
      </c>
      <c r="AB30" s="1799" t="e">
        <f t="shared" si="4"/>
        <v>#N/A</v>
      </c>
      <c r="AC30" s="1799"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611"/>
      <c r="Q31" s="1783" t="str">
        <f t="shared" si="11"/>
        <v>是否封闭</v>
      </c>
      <c r="R31" s="769" t="s">
        <v>17</v>
      </c>
      <c r="S31" s="770">
        <f t="shared" si="12"/>
        <v>100</v>
      </c>
      <c r="T31" s="769" t="s">
        <v>17</v>
      </c>
      <c r="U31" s="770">
        <f t="shared" si="13"/>
        <v>100</v>
      </c>
      <c r="V31" s="769" t="s">
        <v>17</v>
      </c>
      <c r="W31" s="770">
        <f t="shared" si="14"/>
        <v>100</v>
      </c>
      <c r="X31" s="771"/>
      <c r="Y31" s="3611"/>
      <c r="Z31" s="55" t="str">
        <f t="shared" si="15"/>
        <v>是否封闭</v>
      </c>
      <c r="AA31" s="772">
        <f t="shared" si="3"/>
        <v>1</v>
      </c>
      <c r="AB31" s="772">
        <f t="shared" si="4"/>
        <v>1</v>
      </c>
      <c r="AC31" s="772">
        <f t="shared" si="5"/>
        <v>1</v>
      </c>
    </row>
    <row r="32" spans="1:29" ht="15">
      <c r="A32" s="471"/>
      <c r="B32" s="258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611" t="s">
        <v>2564</v>
      </c>
      <c r="Q32" s="1798">
        <f t="shared" si="11"/>
        <v>111</v>
      </c>
      <c r="R32" s="773" t="s">
        <v>17</v>
      </c>
      <c r="S32" s="774">
        <f t="shared" si="12"/>
        <v>100</v>
      </c>
      <c r="T32" s="773" t="s">
        <v>17</v>
      </c>
      <c r="U32" s="774">
        <f t="shared" si="13"/>
        <v>100</v>
      </c>
      <c r="V32" s="773" t="s">
        <v>17</v>
      </c>
      <c r="W32" s="774">
        <f t="shared" si="14"/>
        <v>100</v>
      </c>
      <c r="X32" s="1801"/>
      <c r="Y32" s="3611" t="s">
        <v>2564</v>
      </c>
      <c r="Z32" s="1802">
        <f t="shared" si="15"/>
        <v>111</v>
      </c>
      <c r="AA32" s="1799">
        <f t="shared" si="3"/>
        <v>1</v>
      </c>
      <c r="AB32" s="1799">
        <f t="shared" si="4"/>
        <v>1</v>
      </c>
      <c r="AC32" s="1799">
        <f t="shared" si="5"/>
        <v>1</v>
      </c>
    </row>
    <row r="33" spans="1:29" ht="15">
      <c r="A33" s="471"/>
      <c r="B33" s="258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611"/>
      <c r="Q33" s="1798">
        <f t="shared" si="11"/>
        <v>111</v>
      </c>
      <c r="R33" s="773" t="s">
        <v>17</v>
      </c>
      <c r="S33" s="774">
        <f t="shared" si="12"/>
        <v>100</v>
      </c>
      <c r="T33" s="773" t="s">
        <v>17</v>
      </c>
      <c r="U33" s="774">
        <f t="shared" si="13"/>
        <v>100</v>
      </c>
      <c r="V33" s="773" t="s">
        <v>17</v>
      </c>
      <c r="W33" s="774">
        <f t="shared" si="14"/>
        <v>100</v>
      </c>
      <c r="X33" s="1801"/>
      <c r="Y33" s="3611"/>
      <c r="Z33" s="1802">
        <f t="shared" si="15"/>
        <v>111</v>
      </c>
      <c r="AA33" s="1799">
        <f t="shared" si="3"/>
        <v>1</v>
      </c>
      <c r="AB33" s="1799">
        <f t="shared" si="4"/>
        <v>1</v>
      </c>
      <c r="AC33" s="1799">
        <f t="shared" si="5"/>
        <v>1</v>
      </c>
    </row>
    <row r="34" spans="1:29" ht="15.75" thickBot="1">
      <c r="A34" s="477"/>
      <c r="B34" s="2590">
        <v>111</v>
      </c>
      <c r="C34" s="436"/>
      <c r="D34" s="437">
        <v>100</v>
      </c>
      <c r="E34" s="2685"/>
      <c r="F34" s="438">
        <f>SUMIF(95:95,E34,96:96)-SUMIF(95:95,C34,96:96)+100</f>
        <v>100</v>
      </c>
      <c r="G34" s="2685"/>
      <c r="H34" s="437">
        <f>SUMIF(95:95,G34,96:96)-SUMIF(95:95,C34,96:96)+100</f>
        <v>100</v>
      </c>
      <c r="I34" s="2685"/>
      <c r="J34" s="437">
        <f>SUMIF(95:95,I34,96:96)-SUMIF(95:95,C34,96:96)+100</f>
        <v>100</v>
      </c>
      <c r="K34" s="612"/>
      <c r="L34" s="1139"/>
      <c r="M34" s="1130"/>
      <c r="N34" s="1130"/>
      <c r="O34" s="1138"/>
      <c r="P34" s="3611"/>
      <c r="Q34" s="1798">
        <f t="shared" si="11"/>
        <v>111</v>
      </c>
      <c r="R34" s="773" t="s">
        <v>17</v>
      </c>
      <c r="S34" s="774">
        <f t="shared" si="12"/>
        <v>100</v>
      </c>
      <c r="T34" s="773" t="s">
        <v>17</v>
      </c>
      <c r="U34" s="774">
        <f t="shared" si="13"/>
        <v>100</v>
      </c>
      <c r="V34" s="773" t="s">
        <v>17</v>
      </c>
      <c r="W34" s="774">
        <f t="shared" si="14"/>
        <v>100</v>
      </c>
      <c r="X34" s="1801"/>
      <c r="Y34" s="3611"/>
      <c r="Z34" s="1802">
        <f t="shared" si="15"/>
        <v>111</v>
      </c>
      <c r="AA34" s="1799">
        <f t="shared" si="3"/>
        <v>1</v>
      </c>
      <c r="AB34" s="1799">
        <f t="shared" si="4"/>
        <v>1</v>
      </c>
      <c r="AC34" s="1799">
        <f t="shared" si="5"/>
        <v>1</v>
      </c>
    </row>
    <row r="35" spans="1:29" ht="15">
      <c r="A35" s="478" t="s">
        <v>2576</v>
      </c>
      <c r="B35" s="479"/>
      <c r="C35" s="1403" t="s">
        <v>1</v>
      </c>
      <c r="D35" s="1404"/>
      <c r="E35" s="1405"/>
      <c r="F35" s="1406"/>
      <c r="G35" s="1407"/>
      <c r="H35" s="1408"/>
      <c r="I35" s="1405"/>
      <c r="J35" s="1408"/>
      <c r="K35" s="782"/>
      <c r="L35" s="1142"/>
      <c r="M35" s="1143"/>
      <c r="N35" s="1130"/>
      <c r="O35" s="1143"/>
      <c r="P35" s="3613" t="str">
        <f>A35</f>
        <v>成交单价（元/平方米）</v>
      </c>
      <c r="Q35" s="3613"/>
      <c r="R35" s="3614">
        <f>E35</f>
        <v>0</v>
      </c>
      <c r="S35" s="3614"/>
      <c r="T35" s="3614">
        <f>G35</f>
        <v>0</v>
      </c>
      <c r="U35" s="3614"/>
      <c r="V35" s="3614">
        <f>I35</f>
        <v>0</v>
      </c>
      <c r="W35" s="3614"/>
      <c r="X35" s="758"/>
      <c r="Y35" s="780"/>
      <c r="Z35" s="758"/>
      <c r="AA35" s="758"/>
      <c r="AB35" s="758"/>
      <c r="AC35" s="758"/>
    </row>
    <row r="36" spans="1:29" ht="15.75" thickBot="1">
      <c r="A36" s="485" t="s">
        <v>2668</v>
      </c>
      <c r="B36" s="486"/>
      <c r="C36" s="1409" t="e">
        <f>R37</f>
        <v>#DIV/0!</v>
      </c>
      <c r="D36" s="1410"/>
      <c r="E36" s="1411" t="e">
        <f>R36</f>
        <v>#DIV/0!</v>
      </c>
      <c r="F36" s="1411"/>
      <c r="G36" s="1409" t="e">
        <f>T36</f>
        <v>#DIV/0!</v>
      </c>
      <c r="H36" s="1410"/>
      <c r="I36" s="1411" t="e">
        <f>V36</f>
        <v>#DIV/0!</v>
      </c>
      <c r="J36" s="1410"/>
      <c r="K36" s="783"/>
      <c r="L36" s="1142"/>
      <c r="M36" s="1143"/>
      <c r="N36" s="1130"/>
      <c r="O36" s="1143"/>
      <c r="P36" s="3613" t="str">
        <f>A36</f>
        <v>比较价值（元/平方米）</v>
      </c>
      <c r="Q36" s="3613"/>
      <c r="R36" s="3614" t="e">
        <f>IF(F1="售价",ROUND(PRODUCT(R35,AA7:AA34),0),ROUND(PRODUCT(R35,AA7:AA34),1))</f>
        <v>#DIV/0!</v>
      </c>
      <c r="S36" s="3614"/>
      <c r="T36" s="3614" t="e">
        <f>IF(F1="售价",ROUND(PRODUCT(T35,AB7:AB34),0),ROUND(PRODUCT(T35,AB7:AB34),1))</f>
        <v>#DIV/0!</v>
      </c>
      <c r="U36" s="3614"/>
      <c r="V36" s="3614" t="e">
        <f>IF(F1="售价",ROUND(PRODUCT(V35,AC7:AC34),0),ROUND(PRODUCT(V35,AC7:AC34),1))</f>
        <v>#DIV/0!</v>
      </c>
      <c r="W36" s="3614"/>
      <c r="X36" s="758"/>
      <c r="Y36" s="758"/>
      <c r="Z36" s="758"/>
      <c r="AA36" s="758"/>
      <c r="AB36" s="758"/>
      <c r="AC36" s="758"/>
    </row>
    <row r="37" spans="1:29" ht="15.75" thickBot="1">
      <c r="A37" s="491" t="s">
        <v>2669</v>
      </c>
      <c r="B37" s="492"/>
      <c r="C37" s="1413" t="e">
        <f>R37</f>
        <v>#DIV/0!</v>
      </c>
      <c r="D37" s="1413"/>
      <c r="E37" s="1413"/>
      <c r="F37" s="1413"/>
      <c r="G37" s="1413"/>
      <c r="H37" s="1413"/>
      <c r="I37" s="1413"/>
      <c r="J37" s="1413"/>
      <c r="K37" s="784"/>
      <c r="L37" s="1142"/>
      <c r="M37" s="1143"/>
      <c r="N37" s="1143"/>
      <c r="O37" s="1143"/>
      <c r="P37" s="3615" t="str">
        <f>A37</f>
        <v>估价对象XX用房的比较价值（楼面单价，元/平方米）</v>
      </c>
      <c r="Q37" s="3616"/>
      <c r="R37" s="3617" t="e">
        <f>IF(F1="售价",ROUND(AVERAGE(R36:V36),0),ROUND(AVERAGE(R36:V36),1))</f>
        <v>#DIV/0!</v>
      </c>
      <c r="S37" s="3617"/>
      <c r="T37" s="3617"/>
      <c r="U37" s="3617"/>
      <c r="V37" s="3617"/>
      <c r="W37" s="361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0" t="str">
        <f>YEAR(C7)&amp;"-"&amp;MONTH(C7)</f>
        <v>2020-6</v>
      </c>
      <c r="D46" s="1571">
        <f>EDATE(C46,-1)</f>
        <v>43952</v>
      </c>
      <c r="E46" s="1571">
        <f t="shared" ref="E46:O46" si="16">EDATE(D46,-1)</f>
        <v>43922</v>
      </c>
      <c r="F46" s="1571">
        <f t="shared" si="16"/>
        <v>43891</v>
      </c>
      <c r="G46" s="1571">
        <f t="shared" si="16"/>
        <v>43862</v>
      </c>
      <c r="H46" s="1571">
        <f t="shared" si="16"/>
        <v>43831</v>
      </c>
      <c r="I46" s="1571">
        <f t="shared" si="16"/>
        <v>43800</v>
      </c>
      <c r="J46" s="1571">
        <f t="shared" si="16"/>
        <v>43770</v>
      </c>
      <c r="K46" s="1571">
        <f t="shared" si="16"/>
        <v>43739</v>
      </c>
      <c r="L46" s="1571">
        <f t="shared" si="16"/>
        <v>43709</v>
      </c>
      <c r="M46" s="1571">
        <f t="shared" si="16"/>
        <v>43678</v>
      </c>
      <c r="N46" s="1571">
        <f t="shared" si="16"/>
        <v>43647</v>
      </c>
      <c r="O46" s="1571">
        <f t="shared" si="16"/>
        <v>43617</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78"/>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87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875" style="402" customWidth="1"/>
    <col min="17" max="17" width="19.5" style="402" customWidth="1"/>
    <col min="18" max="22" width="6.125" style="402" customWidth="1"/>
    <col min="23" max="23" width="5.875" style="402" customWidth="1"/>
    <col min="24" max="24" width="4.125" style="402" customWidth="1"/>
    <col min="25" max="25" width="3.5" style="402" customWidth="1"/>
    <col min="26" max="26" width="19.8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79"/>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591" t="s">
        <v>2645</v>
      </c>
      <c r="D4" s="3592"/>
      <c r="E4" s="3593" t="s">
        <v>2646</v>
      </c>
      <c r="F4" s="3594"/>
      <c r="G4" s="3591" t="s">
        <v>2647</v>
      </c>
      <c r="H4" s="3592"/>
      <c r="I4" s="3591" t="s">
        <v>2648</v>
      </c>
      <c r="J4" s="3592"/>
      <c r="K4" s="609" t="s">
        <v>2649</v>
      </c>
      <c r="L4" s="1129"/>
      <c r="M4" s="1130"/>
      <c r="N4" s="1130"/>
      <c r="O4" s="1130"/>
      <c r="P4" s="3595" t="s">
        <v>2650</v>
      </c>
      <c r="Q4" s="3596"/>
      <c r="R4" s="3577" t="s">
        <v>2646</v>
      </c>
      <c r="S4" s="3578"/>
      <c r="T4" s="3577" t="s">
        <v>2647</v>
      </c>
      <c r="U4" s="3578"/>
      <c r="V4" s="3574" t="s">
        <v>2648</v>
      </c>
      <c r="W4" s="3574"/>
      <c r="X4" s="1801"/>
      <c r="Y4" s="3577" t="s">
        <v>2650</v>
      </c>
      <c r="Z4" s="3578"/>
      <c r="AA4" s="3571" t="s">
        <v>2646</v>
      </c>
      <c r="AB4" s="3572" t="s">
        <v>2647</v>
      </c>
      <c r="AC4" s="3571" t="s">
        <v>2648</v>
      </c>
    </row>
    <row r="5" spans="1:30" ht="15">
      <c r="A5" s="403"/>
      <c r="B5" s="404"/>
      <c r="C5" s="3583" t="s">
        <v>2541</v>
      </c>
      <c r="D5" s="3584"/>
      <c r="E5" s="3671" t="s">
        <v>2542</v>
      </c>
      <c r="F5" s="3582"/>
      <c r="G5" s="3583" t="s">
        <v>2543</v>
      </c>
      <c r="H5" s="3584"/>
      <c r="I5" s="3583" t="s">
        <v>2544</v>
      </c>
      <c r="J5" s="3584"/>
      <c r="K5" s="609"/>
      <c r="L5" s="1129"/>
      <c r="M5" s="1130"/>
      <c r="N5" s="1130"/>
      <c r="O5" s="1130"/>
      <c r="P5" s="3597"/>
      <c r="Q5" s="3598"/>
      <c r="R5" s="3579"/>
      <c r="S5" s="3580"/>
      <c r="T5" s="3579"/>
      <c r="U5" s="3580"/>
      <c r="V5" s="3574"/>
      <c r="W5" s="3574"/>
      <c r="X5" s="1801"/>
      <c r="Y5" s="3579"/>
      <c r="Z5" s="3580"/>
      <c r="AA5" s="3572"/>
      <c r="AB5" s="3572"/>
      <c r="AC5" s="3572"/>
    </row>
    <row r="6" spans="1:30" ht="15.75" thickBot="1">
      <c r="A6" s="405"/>
      <c r="B6" s="406"/>
      <c r="C6" s="3585" t="s">
        <v>2545</v>
      </c>
      <c r="D6" s="3586"/>
      <c r="E6" s="3588" t="s">
        <v>2545</v>
      </c>
      <c r="F6" s="3589"/>
      <c r="G6" s="3585" t="s">
        <v>2545</v>
      </c>
      <c r="H6" s="3586"/>
      <c r="I6" s="3585" t="s">
        <v>2545</v>
      </c>
      <c r="J6" s="3586"/>
      <c r="K6" s="609" t="s">
        <v>2546</v>
      </c>
      <c r="L6" s="1129"/>
      <c r="M6" s="1130"/>
      <c r="N6" s="1130"/>
      <c r="O6" s="1130"/>
      <c r="P6" s="3599"/>
      <c r="Q6" s="3600"/>
      <c r="R6" s="3579"/>
      <c r="S6" s="3580"/>
      <c r="T6" s="3601"/>
      <c r="U6" s="3602"/>
      <c r="V6" s="3574"/>
      <c r="W6" s="3574"/>
      <c r="X6" s="1801"/>
      <c r="Y6" s="3601"/>
      <c r="Z6" s="3602"/>
      <c r="AA6" s="3573"/>
      <c r="AB6" s="3573"/>
      <c r="AC6" s="3573"/>
    </row>
    <row r="7" spans="1:30" s="116" customFormat="1" ht="15.75" thickBot="1">
      <c r="A7" s="407" t="s">
        <v>2547</v>
      </c>
      <c r="B7" s="408"/>
      <c r="C7" s="409">
        <f>'数据-取费表'!B2</f>
        <v>44011</v>
      </c>
      <c r="D7" s="410">
        <v>100</v>
      </c>
      <c r="E7" s="411">
        <v>42309</v>
      </c>
      <c r="F7" s="412">
        <f>SUMIF(70:70,YEAR(E7)&amp;"-"&amp;INT((MONTH(E7)+2)/3),71:71)</f>
        <v>0</v>
      </c>
      <c r="G7" s="2684">
        <v>42309</v>
      </c>
      <c r="H7" s="410">
        <f>SUMIF(70:70,YEAR(G7)&amp;"-"&amp;INT((MONTH(G7)+2)/3),71:71)</f>
        <v>0</v>
      </c>
      <c r="I7" s="2684">
        <v>42036</v>
      </c>
      <c r="J7" s="410">
        <f>SUMIF(70:70,YEAR(I7)&amp;"-"&amp;INT((MONTH(I7)+2)/3),71:71)</f>
        <v>0</v>
      </c>
      <c r="K7" s="610"/>
      <c r="L7" s="1131"/>
      <c r="M7" s="1132"/>
      <c r="N7" s="1132"/>
      <c r="O7" s="1132"/>
      <c r="P7" s="3575" t="s">
        <v>2548</v>
      </c>
      <c r="Q7" s="3603"/>
      <c r="R7" s="769" t="s">
        <v>17</v>
      </c>
      <c r="S7" s="770">
        <f t="shared" ref="S7:S15" si="0">F7</f>
        <v>0</v>
      </c>
      <c r="T7" s="769" t="s">
        <v>17</v>
      </c>
      <c r="U7" s="770">
        <f t="shared" ref="U7:U15" si="1">H7</f>
        <v>0</v>
      </c>
      <c r="V7" s="769" t="s">
        <v>17</v>
      </c>
      <c r="W7" s="770">
        <f t="shared" ref="W7:W15" si="2">J7</f>
        <v>0</v>
      </c>
      <c r="X7" s="771"/>
      <c r="Y7" s="3575" t="s">
        <v>2548</v>
      </c>
      <c r="Z7" s="3576"/>
      <c r="AA7" s="772" t="e">
        <f>D7/F7</f>
        <v>#DIV/0!</v>
      </c>
      <c r="AB7" s="772" t="e">
        <f>D7/H7</f>
        <v>#DIV/0!</v>
      </c>
      <c r="AC7" s="772"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575" t="s">
        <v>2551</v>
      </c>
      <c r="Q8" s="3576"/>
      <c r="R8" s="769" t="s">
        <v>17</v>
      </c>
      <c r="S8" s="770">
        <f t="shared" si="0"/>
        <v>0</v>
      </c>
      <c r="T8" s="769" t="s">
        <v>17</v>
      </c>
      <c r="U8" s="770">
        <f t="shared" si="1"/>
        <v>0</v>
      </c>
      <c r="V8" s="769" t="s">
        <v>17</v>
      </c>
      <c r="W8" s="770">
        <f t="shared" si="2"/>
        <v>0</v>
      </c>
      <c r="X8" s="771"/>
      <c r="Y8" s="3575" t="s">
        <v>2551</v>
      </c>
      <c r="Z8" s="3576"/>
      <c r="AA8" s="772" t="e">
        <f t="shared" ref="AA8:AA45" si="3">D8/F8</f>
        <v>#DIV/0!</v>
      </c>
      <c r="AB8" s="772" t="e">
        <f t="shared" ref="AB8:AB45" si="4">D8/H8</f>
        <v>#DIV/0!</v>
      </c>
      <c r="AC8" s="772" t="e">
        <f t="shared" ref="AC8:AC45" si="5">D8/J8</f>
        <v>#DIV/0!</v>
      </c>
    </row>
    <row r="9" spans="1:30" s="116" customFormat="1">
      <c r="A9" s="414" t="s">
        <v>2552</v>
      </c>
      <c r="B9" s="70" t="s">
        <v>2553</v>
      </c>
      <c r="C9" s="2687"/>
      <c r="D9" s="134">
        <v>100</v>
      </c>
      <c r="E9" s="2687"/>
      <c r="F9" s="134">
        <f>SUMIF(75:75,E9,76:76)-SUMIF(75:75,C9,76:76)+100</f>
        <v>100</v>
      </c>
      <c r="G9" s="2687"/>
      <c r="H9" s="134">
        <f>SUMIF(75:75,G9,76:76)-SUMIF(75:75,C9,76:76)+100</f>
        <v>100</v>
      </c>
      <c r="I9" s="2687"/>
      <c r="J9" s="134">
        <f>SUMIF(75:75,I9,76:76)-SUMIF(75:75,C9,76:76)+100</f>
        <v>100</v>
      </c>
      <c r="K9" s="610"/>
      <c r="L9" s="1131"/>
      <c r="M9" s="1132"/>
      <c r="N9" s="1132"/>
      <c r="O9" s="1133"/>
      <c r="P9" s="3613" t="s">
        <v>2554</v>
      </c>
      <c r="Q9" s="1783" t="str">
        <f t="shared" ref="Q9:Q15" si="6">B9</f>
        <v>用途</v>
      </c>
      <c r="R9" s="769" t="s">
        <v>17</v>
      </c>
      <c r="S9" s="770">
        <f t="shared" si="0"/>
        <v>100</v>
      </c>
      <c r="T9" s="769" t="s">
        <v>17</v>
      </c>
      <c r="U9" s="770">
        <f t="shared" si="1"/>
        <v>100</v>
      </c>
      <c r="V9" s="769" t="s">
        <v>17</v>
      </c>
      <c r="W9" s="770">
        <f t="shared" si="2"/>
        <v>100</v>
      </c>
      <c r="X9" s="771"/>
      <c r="Y9" s="3335"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100</v>
      </c>
      <c r="G10" s="462"/>
      <c r="H10" s="135">
        <f>ROUND(100/'数据-取费表'!G16,0)</f>
        <v>100</v>
      </c>
      <c r="I10" s="462"/>
      <c r="J10" s="135">
        <f>ROUND(100/'数据-取费表'!G16,0)</f>
        <v>100</v>
      </c>
      <c r="K10" s="671"/>
      <c r="L10" s="1134"/>
      <c r="M10" s="1135"/>
      <c r="N10" s="1135"/>
      <c r="O10" s="1136"/>
      <c r="P10" s="3613"/>
      <c r="Q10" s="1783" t="str">
        <f t="shared" si="6"/>
        <v>土地使用年限（年）</v>
      </c>
      <c r="R10" s="769" t="s">
        <v>17</v>
      </c>
      <c r="S10" s="770">
        <f t="shared" si="0"/>
        <v>100</v>
      </c>
      <c r="T10" s="769" t="s">
        <v>17</v>
      </c>
      <c r="U10" s="770">
        <f t="shared" si="1"/>
        <v>100</v>
      </c>
      <c r="V10" s="769" t="s">
        <v>17</v>
      </c>
      <c r="W10" s="770">
        <f t="shared" si="2"/>
        <v>100</v>
      </c>
      <c r="X10" s="771"/>
      <c r="Y10" s="3335"/>
      <c r="Z10" s="55" t="str">
        <f t="shared" si="7"/>
        <v>土地使用年限（年）</v>
      </c>
      <c r="AA10" s="772">
        <f t="shared" si="3"/>
        <v>1</v>
      </c>
      <c r="AB10" s="772">
        <f t="shared" si="4"/>
        <v>1</v>
      </c>
      <c r="AC10" s="772">
        <f t="shared" si="5"/>
        <v>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613"/>
      <c r="Q11" s="1783" t="str">
        <f t="shared" si="6"/>
        <v>容积率</v>
      </c>
      <c r="R11" s="769" t="s">
        <v>17</v>
      </c>
      <c r="S11" s="770" t="e">
        <f t="shared" si="0"/>
        <v>#N/A</v>
      </c>
      <c r="T11" s="769" t="s">
        <v>17</v>
      </c>
      <c r="U11" s="770" t="e">
        <f t="shared" si="1"/>
        <v>#N/A</v>
      </c>
      <c r="V11" s="769" t="s">
        <v>17</v>
      </c>
      <c r="W11" s="770" t="e">
        <f t="shared" si="2"/>
        <v>#N/A</v>
      </c>
      <c r="X11" s="771"/>
      <c r="Y11" s="3335"/>
      <c r="Z11" s="55" t="str">
        <f t="shared" si="7"/>
        <v>容积率</v>
      </c>
      <c r="AA11" s="772" t="e">
        <f t="shared" si="3"/>
        <v>#N/A</v>
      </c>
      <c r="AB11" s="772" t="e">
        <f t="shared" si="4"/>
        <v>#N/A</v>
      </c>
      <c r="AC11" s="772" t="e">
        <f t="shared" si="5"/>
        <v>#N/A</v>
      </c>
    </row>
    <row r="12" spans="1:30" s="116" customFormat="1" ht="15">
      <c r="A12" s="430"/>
      <c r="B12" s="2588"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613"/>
      <c r="Q12" s="1783" t="str">
        <f t="shared" si="6"/>
        <v>配建</v>
      </c>
      <c r="R12" s="769" t="s">
        <v>17</v>
      </c>
      <c r="S12" s="770">
        <f t="shared" si="0"/>
        <v>100</v>
      </c>
      <c r="T12" s="769" t="s">
        <v>17</v>
      </c>
      <c r="U12" s="770">
        <f t="shared" si="1"/>
        <v>100</v>
      </c>
      <c r="V12" s="769" t="s">
        <v>17</v>
      </c>
      <c r="W12" s="770">
        <f t="shared" si="2"/>
        <v>100</v>
      </c>
      <c r="X12" s="771"/>
      <c r="Y12" s="3335"/>
      <c r="Z12" s="55" t="str">
        <f t="shared" si="7"/>
        <v>配建</v>
      </c>
      <c r="AA12" s="772">
        <f>D12/F12</f>
        <v>1</v>
      </c>
      <c r="AB12" s="772">
        <f>D12/H12</f>
        <v>1</v>
      </c>
      <c r="AC12" s="772">
        <f>D12/J12</f>
        <v>1</v>
      </c>
    </row>
    <row r="13" spans="1:30" ht="15">
      <c r="A13" s="427"/>
      <c r="B13" s="2588">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613"/>
      <c r="Q13" s="1783">
        <f t="shared" si="6"/>
        <v>111</v>
      </c>
      <c r="R13" s="769" t="s">
        <v>17</v>
      </c>
      <c r="S13" s="770">
        <f t="shared" si="0"/>
        <v>100</v>
      </c>
      <c r="T13" s="769" t="s">
        <v>17</v>
      </c>
      <c r="U13" s="770">
        <f t="shared" si="1"/>
        <v>100</v>
      </c>
      <c r="V13" s="769" t="s">
        <v>17</v>
      </c>
      <c r="W13" s="770">
        <f t="shared" si="2"/>
        <v>100</v>
      </c>
      <c r="X13" s="771"/>
      <c r="Y13" s="3335"/>
      <c r="Z13" s="55">
        <f t="shared" si="7"/>
        <v>111</v>
      </c>
      <c r="AA13" s="772">
        <f>D13/F13</f>
        <v>1</v>
      </c>
      <c r="AB13" s="772">
        <f>D13/H13</f>
        <v>1</v>
      </c>
      <c r="AC13" s="772">
        <f>D13/J13</f>
        <v>1</v>
      </c>
    </row>
    <row r="14" spans="1:30" ht="15.75" thickBot="1">
      <c r="A14" s="435"/>
      <c r="B14" s="2590">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613"/>
      <c r="Q14" s="1783">
        <f t="shared" si="6"/>
        <v>111</v>
      </c>
      <c r="R14" s="769" t="s">
        <v>17</v>
      </c>
      <c r="S14" s="770">
        <f t="shared" si="0"/>
        <v>100</v>
      </c>
      <c r="T14" s="769" t="s">
        <v>17</v>
      </c>
      <c r="U14" s="770">
        <f t="shared" si="1"/>
        <v>100</v>
      </c>
      <c r="V14" s="769" t="s">
        <v>17</v>
      </c>
      <c r="W14" s="770">
        <f t="shared" si="2"/>
        <v>100</v>
      </c>
      <c r="X14" s="771"/>
      <c r="Y14" s="3335"/>
      <c r="Z14" s="55">
        <f t="shared" si="7"/>
        <v>111</v>
      </c>
      <c r="AA14" s="772">
        <f>D14/F14</f>
        <v>1</v>
      </c>
      <c r="AB14" s="772">
        <f>D14/H14</f>
        <v>1</v>
      </c>
      <c r="AC14" s="772">
        <f>D14/J14</f>
        <v>1</v>
      </c>
    </row>
    <row r="15" spans="1:30" ht="99.75">
      <c r="A15" s="439" t="s">
        <v>2558</v>
      </c>
      <c r="B15" s="68" t="s">
        <v>2083</v>
      </c>
      <c r="C15" s="259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606" t="s">
        <v>2559</v>
      </c>
      <c r="Q15" s="1798" t="str">
        <f t="shared" si="6"/>
        <v>居住社区成熟度</v>
      </c>
      <c r="R15" s="773" t="s">
        <v>17</v>
      </c>
      <c r="S15" s="774">
        <f t="shared" si="0"/>
        <v>100</v>
      </c>
      <c r="T15" s="773" t="s">
        <v>17</v>
      </c>
      <c r="U15" s="774">
        <f t="shared" si="1"/>
        <v>100</v>
      </c>
      <c r="V15" s="773" t="s">
        <v>17</v>
      </c>
      <c r="W15" s="774">
        <f t="shared" si="2"/>
        <v>100</v>
      </c>
      <c r="X15" s="1801"/>
      <c r="Y15" s="3606" t="s">
        <v>2559</v>
      </c>
      <c r="Z15" s="1802" t="str">
        <f t="shared" si="7"/>
        <v>居住社区成熟度</v>
      </c>
      <c r="AA15" s="1799">
        <f t="shared" si="3"/>
        <v>1</v>
      </c>
      <c r="AB15" s="1799">
        <f t="shared" si="4"/>
        <v>1</v>
      </c>
      <c r="AC15" s="1799">
        <f t="shared" si="5"/>
        <v>1</v>
      </c>
    </row>
    <row r="16" spans="1:30" ht="15">
      <c r="A16" s="427"/>
      <c r="B16" s="445"/>
      <c r="C16" s="446"/>
      <c r="D16" s="447"/>
      <c r="E16" s="2593"/>
      <c r="F16" s="447"/>
      <c r="G16" s="2593"/>
      <c r="H16" s="449"/>
      <c r="I16" s="2592"/>
      <c r="J16" s="447"/>
      <c r="K16" s="671"/>
      <c r="L16" s="1139"/>
      <c r="M16" s="1130"/>
      <c r="N16" s="1130"/>
      <c r="O16" s="1138"/>
      <c r="P16" s="3607"/>
      <c r="Q16" s="1798"/>
      <c r="R16" s="773"/>
      <c r="S16" s="774"/>
      <c r="T16" s="773"/>
      <c r="U16" s="774"/>
      <c r="V16" s="773"/>
      <c r="W16" s="774"/>
      <c r="X16" s="1801"/>
      <c r="Y16" s="3607"/>
      <c r="Z16" s="1802"/>
      <c r="AA16" s="1799">
        <v>1</v>
      </c>
      <c r="AB16" s="1799">
        <v>1</v>
      </c>
      <c r="AC16" s="1799">
        <v>1</v>
      </c>
    </row>
    <row r="17" spans="1:29" ht="71.25">
      <c r="A17" s="427"/>
      <c r="B17" s="450" t="s">
        <v>2652</v>
      </c>
      <c r="C17" s="265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607"/>
      <c r="Q17" s="1798" t="str">
        <f>B17</f>
        <v>商业繁华度</v>
      </c>
      <c r="R17" s="773" t="s">
        <v>17</v>
      </c>
      <c r="S17" s="774">
        <f>F17</f>
        <v>100</v>
      </c>
      <c r="T17" s="773" t="s">
        <v>17</v>
      </c>
      <c r="U17" s="774">
        <f>H17</f>
        <v>100</v>
      </c>
      <c r="V17" s="773" t="s">
        <v>17</v>
      </c>
      <c r="W17" s="774">
        <f>J17</f>
        <v>100</v>
      </c>
      <c r="X17" s="1801"/>
      <c r="Y17" s="3607"/>
      <c r="Z17" s="1802" t="str">
        <f>Q17</f>
        <v>商业繁华度</v>
      </c>
      <c r="AA17" s="1799">
        <f t="shared" si="3"/>
        <v>1</v>
      </c>
      <c r="AB17" s="1799">
        <f t="shared" si="4"/>
        <v>1</v>
      </c>
      <c r="AC17" s="1799">
        <f t="shared" si="5"/>
        <v>1</v>
      </c>
    </row>
    <row r="18" spans="1:29" ht="15">
      <c r="A18" s="427"/>
      <c r="B18" s="455"/>
      <c r="C18" s="2596"/>
      <c r="D18" s="449"/>
      <c r="E18" s="2598"/>
      <c r="F18" s="449"/>
      <c r="G18" s="2598"/>
      <c r="H18" s="447"/>
      <c r="I18" s="2597"/>
      <c r="J18" s="447"/>
      <c r="K18" s="671"/>
      <c r="L18" s="1139"/>
      <c r="M18" s="1130"/>
      <c r="N18" s="1130"/>
      <c r="O18" s="1138"/>
      <c r="P18" s="3607"/>
      <c r="Q18" s="1798"/>
      <c r="R18" s="773"/>
      <c r="S18" s="774"/>
      <c r="T18" s="773"/>
      <c r="U18" s="774"/>
      <c r="V18" s="773"/>
      <c r="W18" s="774"/>
      <c r="X18" s="1801"/>
      <c r="Y18" s="3607"/>
      <c r="Z18" s="1802"/>
      <c r="AA18" s="1799">
        <v>1</v>
      </c>
      <c r="AB18" s="1799">
        <v>1</v>
      </c>
      <c r="AC18" s="1799">
        <v>1</v>
      </c>
    </row>
    <row r="19" spans="1:29" ht="71.25">
      <c r="A19" s="427"/>
      <c r="B19" s="450" t="s">
        <v>2686</v>
      </c>
      <c r="C19" s="265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607"/>
      <c r="Q19" s="1798" t="str">
        <f>B19</f>
        <v>办公集聚程度</v>
      </c>
      <c r="R19" s="773" t="s">
        <v>17</v>
      </c>
      <c r="S19" s="774">
        <f>F19</f>
        <v>100</v>
      </c>
      <c r="T19" s="773" t="s">
        <v>17</v>
      </c>
      <c r="U19" s="774">
        <f>H19</f>
        <v>100</v>
      </c>
      <c r="V19" s="773" t="s">
        <v>17</v>
      </c>
      <c r="W19" s="774">
        <f>J19</f>
        <v>100</v>
      </c>
      <c r="X19" s="1801"/>
      <c r="Y19" s="3607"/>
      <c r="Z19" s="1802" t="str">
        <f>Q19</f>
        <v>办公集聚程度</v>
      </c>
      <c r="AA19" s="1799">
        <f t="shared" si="3"/>
        <v>1</v>
      </c>
      <c r="AB19" s="1799">
        <f t="shared" si="4"/>
        <v>1</v>
      </c>
      <c r="AC19" s="1799">
        <f t="shared" si="5"/>
        <v>1</v>
      </c>
    </row>
    <row r="20" spans="1:29" ht="15">
      <c r="A20" s="427"/>
      <c r="B20" s="455"/>
      <c r="C20" s="446"/>
      <c r="D20" s="447"/>
      <c r="E20" s="2593"/>
      <c r="F20" s="447"/>
      <c r="G20" s="2593"/>
      <c r="H20" s="447"/>
      <c r="I20" s="2592"/>
      <c r="J20" s="447"/>
      <c r="K20" s="671"/>
      <c r="L20" s="1139"/>
      <c r="M20" s="1130"/>
      <c r="N20" s="1130"/>
      <c r="O20" s="1138"/>
      <c r="P20" s="3607"/>
      <c r="Q20" s="1798"/>
      <c r="R20" s="773"/>
      <c r="S20" s="774"/>
      <c r="T20" s="773"/>
      <c r="U20" s="774"/>
      <c r="V20" s="773"/>
      <c r="W20" s="774"/>
      <c r="X20" s="1801"/>
      <c r="Y20" s="3607"/>
      <c r="Z20" s="1802"/>
      <c r="AA20" s="1799">
        <v>1</v>
      </c>
      <c r="AB20" s="1799">
        <v>1</v>
      </c>
      <c r="AC20" s="1799">
        <v>1</v>
      </c>
    </row>
    <row r="21" spans="1:29" ht="85.5">
      <c r="A21" s="427"/>
      <c r="B21" s="450" t="s">
        <v>2708</v>
      </c>
      <c r="C21" s="259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607"/>
      <c r="Q21" s="1798" t="str">
        <f>B21</f>
        <v>交通便捷度</v>
      </c>
      <c r="R21" s="773" t="s">
        <v>17</v>
      </c>
      <c r="S21" s="774">
        <f>F21</f>
        <v>100</v>
      </c>
      <c r="T21" s="773" t="s">
        <v>17</v>
      </c>
      <c r="U21" s="774">
        <f>H21</f>
        <v>100</v>
      </c>
      <c r="V21" s="773" t="s">
        <v>17</v>
      </c>
      <c r="W21" s="774">
        <f>J21</f>
        <v>100</v>
      </c>
      <c r="X21" s="1801"/>
      <c r="Y21" s="3607"/>
      <c r="Z21" s="1802" t="str">
        <f>Q21</f>
        <v>交通便捷度</v>
      </c>
      <c r="AA21" s="1799">
        <f t="shared" si="3"/>
        <v>1</v>
      </c>
      <c r="AB21" s="1799">
        <f t="shared" si="4"/>
        <v>1</v>
      </c>
      <c r="AC21" s="1799">
        <f t="shared" si="5"/>
        <v>1</v>
      </c>
    </row>
    <row r="22" spans="1:29" ht="15">
      <c r="A22" s="427"/>
      <c r="B22" s="1380"/>
      <c r="C22" s="446"/>
      <c r="D22" s="449"/>
      <c r="E22" s="2593"/>
      <c r="F22" s="447"/>
      <c r="G22" s="2593"/>
      <c r="H22" s="447"/>
      <c r="I22" s="2592"/>
      <c r="J22" s="447"/>
      <c r="K22" s="671"/>
      <c r="L22" s="1139"/>
      <c r="M22" s="1130"/>
      <c r="N22" s="1130"/>
      <c r="O22" s="1138"/>
      <c r="P22" s="3607"/>
      <c r="Q22" s="1798"/>
      <c r="R22" s="773"/>
      <c r="S22" s="774"/>
      <c r="T22" s="773"/>
      <c r="U22" s="774"/>
      <c r="V22" s="773"/>
      <c r="W22" s="774"/>
      <c r="X22" s="1801"/>
      <c r="Y22" s="3607"/>
      <c r="Z22" s="1802"/>
      <c r="AA22" s="1799">
        <v>1</v>
      </c>
      <c r="AB22" s="1799">
        <v>1</v>
      </c>
      <c r="AC22" s="1799">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607"/>
      <c r="Q23" s="1798" t="str">
        <f t="shared" ref="Q23:Q37" si="8">B23</f>
        <v>区域土地利用方向</v>
      </c>
      <c r="R23" s="773" t="s">
        <v>17</v>
      </c>
      <c r="S23" s="774">
        <f>F23</f>
        <v>100</v>
      </c>
      <c r="T23" s="773" t="s">
        <v>17</v>
      </c>
      <c r="U23" s="774">
        <f>H23</f>
        <v>100</v>
      </c>
      <c r="V23" s="773" t="s">
        <v>17</v>
      </c>
      <c r="W23" s="774">
        <f>J23</f>
        <v>100</v>
      </c>
      <c r="X23" s="1801"/>
      <c r="Y23" s="3607"/>
      <c r="Z23" s="1802" t="str">
        <f>Q23</f>
        <v>区域土地利用方向</v>
      </c>
      <c r="AA23" s="1799">
        <f t="shared" si="3"/>
        <v>1</v>
      </c>
      <c r="AB23" s="1799">
        <f t="shared" si="4"/>
        <v>1</v>
      </c>
      <c r="AC23" s="1799">
        <f t="shared" si="5"/>
        <v>1</v>
      </c>
    </row>
    <row r="24" spans="1:29" ht="15">
      <c r="A24" s="403"/>
      <c r="B24" s="455"/>
      <c r="C24" s="615"/>
      <c r="D24" s="447"/>
      <c r="E24" s="2593"/>
      <c r="F24" s="447"/>
      <c r="G24" s="2592"/>
      <c r="H24" s="447"/>
      <c r="I24" s="2592"/>
      <c r="J24" s="447"/>
      <c r="K24" s="811"/>
      <c r="L24" s="1139"/>
      <c r="M24" s="1130"/>
      <c r="N24" s="1130"/>
      <c r="O24" s="1138"/>
      <c r="P24" s="3607"/>
      <c r="Q24" s="1798"/>
      <c r="R24" s="773"/>
      <c r="S24" s="774"/>
      <c r="T24" s="773"/>
      <c r="U24" s="774"/>
      <c r="V24" s="773"/>
      <c r="W24" s="774"/>
      <c r="X24" s="1801"/>
      <c r="Y24" s="3607"/>
      <c r="Z24" s="1802"/>
      <c r="AA24" s="1799"/>
      <c r="AB24" s="1799"/>
      <c r="AC24" s="1799"/>
    </row>
    <row r="25" spans="1:29" ht="57">
      <c r="A25" s="403"/>
      <c r="B25" s="1380" t="s">
        <v>2748</v>
      </c>
      <c r="C25" s="265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607"/>
      <c r="Q25" s="1798" t="str">
        <f t="shared" si="8"/>
        <v>自然及人文环境状况</v>
      </c>
      <c r="R25" s="773" t="s">
        <v>17</v>
      </c>
      <c r="S25" s="774">
        <f>F25</f>
        <v>100</v>
      </c>
      <c r="T25" s="773" t="s">
        <v>17</v>
      </c>
      <c r="U25" s="774">
        <f>H25</f>
        <v>100</v>
      </c>
      <c r="V25" s="773" t="s">
        <v>17</v>
      </c>
      <c r="W25" s="774">
        <f>J25</f>
        <v>100</v>
      </c>
      <c r="X25" s="1801"/>
      <c r="Y25" s="3607"/>
      <c r="Z25" s="1802" t="str">
        <f>Q25</f>
        <v>自然及人文环境状况</v>
      </c>
      <c r="AA25" s="1799">
        <f t="shared" si="3"/>
        <v>1</v>
      </c>
      <c r="AB25" s="1799">
        <f t="shared" si="4"/>
        <v>1</v>
      </c>
      <c r="AC25" s="1799">
        <f t="shared" si="5"/>
        <v>1</v>
      </c>
    </row>
    <row r="26" spans="1:29" ht="15">
      <c r="A26" s="403"/>
      <c r="B26" s="455"/>
      <c r="C26" s="446"/>
      <c r="D26" s="447"/>
      <c r="E26" s="2599"/>
      <c r="F26" s="447"/>
      <c r="G26" s="2599"/>
      <c r="H26" s="447"/>
      <c r="I26" s="446"/>
      <c r="J26" s="447"/>
      <c r="K26" s="671"/>
      <c r="L26" s="1139"/>
      <c r="M26" s="1130"/>
      <c r="N26" s="1130"/>
      <c r="O26" s="1138"/>
      <c r="P26" s="3607"/>
      <c r="Q26" s="1798"/>
      <c r="R26" s="773"/>
      <c r="S26" s="774"/>
      <c r="T26" s="773"/>
      <c r="U26" s="774"/>
      <c r="V26" s="773"/>
      <c r="W26" s="774"/>
      <c r="X26" s="1801"/>
      <c r="Y26" s="3607"/>
      <c r="Z26" s="1802"/>
      <c r="AA26" s="1799">
        <v>1</v>
      </c>
      <c r="AB26" s="1799">
        <v>1</v>
      </c>
      <c r="AC26" s="1799">
        <v>1</v>
      </c>
    </row>
    <row r="27" spans="1:29" s="116" customFormat="1" ht="42.75">
      <c r="A27" s="648"/>
      <c r="B27" s="1380" t="s">
        <v>2653</v>
      </c>
      <c r="C27" s="259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607"/>
      <c r="Q27" s="1783" t="str">
        <f t="shared" si="8"/>
        <v>公共配套设施</v>
      </c>
      <c r="R27" s="769" t="s">
        <v>17</v>
      </c>
      <c r="S27" s="770">
        <f>F27</f>
        <v>100</v>
      </c>
      <c r="T27" s="769" t="s">
        <v>17</v>
      </c>
      <c r="U27" s="770">
        <f>H27</f>
        <v>100</v>
      </c>
      <c r="V27" s="769" t="s">
        <v>17</v>
      </c>
      <c r="W27" s="770">
        <f>J27</f>
        <v>100</v>
      </c>
      <c r="X27" s="771"/>
      <c r="Y27" s="3607"/>
      <c r="Z27" s="55" t="str">
        <f>Q27</f>
        <v>公共配套设施</v>
      </c>
      <c r="AA27" s="1799">
        <f>D27/F27</f>
        <v>1</v>
      </c>
      <c r="AB27" s="1799">
        <f>D27/H27</f>
        <v>1</v>
      </c>
      <c r="AC27" s="1799">
        <f>D27/J27</f>
        <v>1</v>
      </c>
    </row>
    <row r="28" spans="1:29" s="116" customFormat="1" ht="15">
      <c r="A28" s="648"/>
      <c r="B28" s="455"/>
      <c r="C28" s="2688"/>
      <c r="D28" s="447"/>
      <c r="E28" s="2599"/>
      <c r="F28" s="447"/>
      <c r="G28" s="2599"/>
      <c r="H28" s="447"/>
      <c r="I28" s="446"/>
      <c r="J28" s="447"/>
      <c r="K28" s="671"/>
      <c r="L28" s="1131"/>
      <c r="M28" s="1132"/>
      <c r="N28" s="1132"/>
      <c r="O28" s="1133"/>
      <c r="P28" s="3607"/>
      <c r="Q28" s="1783"/>
      <c r="R28" s="769"/>
      <c r="S28" s="770"/>
      <c r="T28" s="769"/>
      <c r="U28" s="770"/>
      <c r="V28" s="769"/>
      <c r="W28" s="770"/>
      <c r="X28" s="771"/>
      <c r="Y28" s="3607"/>
      <c r="Z28" s="55"/>
      <c r="AA28" s="1799">
        <v>1</v>
      </c>
      <c r="AB28" s="1799">
        <v>1</v>
      </c>
      <c r="AC28" s="1799">
        <v>1</v>
      </c>
    </row>
    <row r="29" spans="1:29" s="116" customFormat="1" ht="28.5">
      <c r="A29" s="648"/>
      <c r="B29" s="1380" t="s">
        <v>2654</v>
      </c>
      <c r="C29" s="259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607"/>
      <c r="Q29" s="1783" t="str">
        <f t="shared" ref="Q29" si="9">B29</f>
        <v>基础设施水平</v>
      </c>
      <c r="R29" s="769" t="s">
        <v>17</v>
      </c>
      <c r="S29" s="770">
        <f>F29</f>
        <v>100</v>
      </c>
      <c r="T29" s="769" t="s">
        <v>17</v>
      </c>
      <c r="U29" s="770">
        <f>H29</f>
        <v>100</v>
      </c>
      <c r="V29" s="769" t="s">
        <v>17</v>
      </c>
      <c r="W29" s="770">
        <f>J29</f>
        <v>100</v>
      </c>
      <c r="X29" s="771"/>
      <c r="Y29" s="3607"/>
      <c r="Z29" s="55" t="str">
        <f>Q29</f>
        <v>基础设施水平</v>
      </c>
      <c r="AA29" s="1799">
        <f>D29/F29</f>
        <v>1</v>
      </c>
      <c r="AB29" s="1799">
        <f>D29/H29</f>
        <v>1</v>
      </c>
      <c r="AC29" s="1799">
        <f>D29/J29</f>
        <v>1</v>
      </c>
    </row>
    <row r="30" spans="1:29" s="116" customFormat="1" ht="15">
      <c r="A30" s="648"/>
      <c r="B30" s="455"/>
      <c r="C30" s="2688"/>
      <c r="D30" s="447"/>
      <c r="E30" s="2689"/>
      <c r="F30" s="447"/>
      <c r="G30" s="2689"/>
      <c r="H30" s="447"/>
      <c r="I30" s="2689"/>
      <c r="J30" s="447"/>
      <c r="K30" s="671"/>
      <c r="L30" s="1131"/>
      <c r="M30" s="1132"/>
      <c r="N30" s="1132"/>
      <c r="O30" s="1133"/>
      <c r="P30" s="3607"/>
      <c r="Q30" s="1783"/>
      <c r="R30" s="769"/>
      <c r="S30" s="770"/>
      <c r="T30" s="769"/>
      <c r="U30" s="770"/>
      <c r="V30" s="769"/>
      <c r="W30" s="770"/>
      <c r="X30" s="771"/>
      <c r="Y30" s="3607"/>
      <c r="Z30" s="55"/>
      <c r="AA30" s="1799">
        <v>1</v>
      </c>
      <c r="AB30" s="1799">
        <v>1</v>
      </c>
      <c r="AC30" s="1799">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607"/>
      <c r="Q31" s="1798" t="str">
        <f t="shared" si="8"/>
        <v>临街状况</v>
      </c>
      <c r="R31" s="773" t="s">
        <v>17</v>
      </c>
      <c r="S31" s="774">
        <f t="shared" ref="S31:S45" si="10">F31</f>
        <v>100</v>
      </c>
      <c r="T31" s="773" t="s">
        <v>17</v>
      </c>
      <c r="U31" s="774">
        <f t="shared" ref="U31:U45" si="11">H31</f>
        <v>100</v>
      </c>
      <c r="V31" s="773" t="s">
        <v>17</v>
      </c>
      <c r="W31" s="774">
        <f t="shared" ref="W31:W45" si="12">J31</f>
        <v>100</v>
      </c>
      <c r="X31" s="1801"/>
      <c r="Y31" s="3607"/>
      <c r="Z31" s="1802" t="str">
        <f t="shared" ref="Z31:Z45" si="13">Q31</f>
        <v>临街状况</v>
      </c>
      <c r="AA31" s="1799">
        <f t="shared" si="3"/>
        <v>1</v>
      </c>
      <c r="AB31" s="1799">
        <f t="shared" si="4"/>
        <v>1</v>
      </c>
      <c r="AC31" s="1799">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607"/>
      <c r="Q32" s="1798" t="str">
        <f t="shared" si="8"/>
        <v>毗邻道路的类型与等级</v>
      </c>
      <c r="R32" s="773" t="s">
        <v>17</v>
      </c>
      <c r="S32" s="774">
        <f t="shared" si="10"/>
        <v>100</v>
      </c>
      <c r="T32" s="773" t="s">
        <v>17</v>
      </c>
      <c r="U32" s="774">
        <f t="shared" si="11"/>
        <v>100</v>
      </c>
      <c r="V32" s="773" t="s">
        <v>17</v>
      </c>
      <c r="W32" s="774">
        <f t="shared" si="12"/>
        <v>100</v>
      </c>
      <c r="X32" s="1801"/>
      <c r="Y32" s="3607"/>
      <c r="Z32" s="1802" t="str">
        <f t="shared" si="13"/>
        <v>毗邻道路的类型与等级</v>
      </c>
      <c r="AA32" s="1799">
        <f t="shared" si="3"/>
        <v>1</v>
      </c>
      <c r="AB32" s="1799">
        <f t="shared" si="4"/>
        <v>1</v>
      </c>
      <c r="AC32" s="1799">
        <f t="shared" si="5"/>
        <v>1</v>
      </c>
    </row>
    <row r="33" spans="1:29" ht="15">
      <c r="A33" s="427"/>
      <c r="B33" s="455"/>
      <c r="C33" s="446"/>
      <c r="D33" s="447"/>
      <c r="E33" s="2599"/>
      <c r="F33" s="447"/>
      <c r="G33" s="2599"/>
      <c r="H33" s="447"/>
      <c r="I33" s="446"/>
      <c r="J33" s="447"/>
      <c r="K33" s="612"/>
      <c r="L33" s="1139"/>
      <c r="M33" s="1130"/>
      <c r="N33" s="1130"/>
      <c r="O33" s="1138"/>
      <c r="P33" s="3607"/>
      <c r="Q33" s="1798"/>
      <c r="R33" s="773"/>
      <c r="S33" s="774"/>
      <c r="T33" s="773"/>
      <c r="U33" s="774"/>
      <c r="V33" s="773"/>
      <c r="W33" s="774"/>
      <c r="X33" s="1801"/>
      <c r="Y33" s="3607"/>
      <c r="Z33" s="1802"/>
      <c r="AA33" s="1799">
        <v>1</v>
      </c>
      <c r="AB33" s="1799">
        <v>1</v>
      </c>
      <c r="AC33" s="1799">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607"/>
      <c r="Q34" s="1798" t="str">
        <f t="shared" si="8"/>
        <v>土地级别</v>
      </c>
      <c r="R34" s="773" t="s">
        <v>17</v>
      </c>
      <c r="S34" s="774">
        <f t="shared" si="10"/>
        <v>100</v>
      </c>
      <c r="T34" s="773" t="s">
        <v>17</v>
      </c>
      <c r="U34" s="774">
        <f t="shared" si="11"/>
        <v>100</v>
      </c>
      <c r="V34" s="773" t="s">
        <v>17</v>
      </c>
      <c r="W34" s="774">
        <f t="shared" si="12"/>
        <v>100</v>
      </c>
      <c r="X34" s="1801"/>
      <c r="Y34" s="3607"/>
      <c r="Z34" s="1802" t="str">
        <f t="shared" si="13"/>
        <v>土地级别</v>
      </c>
      <c r="AA34" s="1799">
        <f t="shared" si="3"/>
        <v>1</v>
      </c>
      <c r="AB34" s="1799">
        <f t="shared" si="4"/>
        <v>1</v>
      </c>
      <c r="AC34" s="1799">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607"/>
      <c r="Q35" s="1798">
        <f t="shared" si="8"/>
        <v>111</v>
      </c>
      <c r="R35" s="773" t="s">
        <v>17</v>
      </c>
      <c r="S35" s="774">
        <f t="shared" si="10"/>
        <v>100</v>
      </c>
      <c r="T35" s="773" t="s">
        <v>17</v>
      </c>
      <c r="U35" s="774">
        <f t="shared" si="11"/>
        <v>100</v>
      </c>
      <c r="V35" s="773" t="s">
        <v>17</v>
      </c>
      <c r="W35" s="774">
        <f t="shared" si="12"/>
        <v>100</v>
      </c>
      <c r="X35" s="1801"/>
      <c r="Y35" s="3607"/>
      <c r="Z35" s="1802">
        <f t="shared" si="13"/>
        <v>111</v>
      </c>
      <c r="AA35" s="1799">
        <f t="shared" si="3"/>
        <v>1</v>
      </c>
      <c r="AB35" s="1799">
        <f t="shared" si="4"/>
        <v>1</v>
      </c>
      <c r="AC35" s="1799">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687" t="s">
        <v>2564</v>
      </c>
      <c r="Q36" s="1798">
        <f t="shared" si="8"/>
        <v>111</v>
      </c>
      <c r="R36" s="773" t="s">
        <v>17</v>
      </c>
      <c r="S36" s="774">
        <f t="shared" si="10"/>
        <v>100</v>
      </c>
      <c r="T36" s="773" t="s">
        <v>17</v>
      </c>
      <c r="U36" s="774">
        <f t="shared" si="11"/>
        <v>100</v>
      </c>
      <c r="V36" s="773" t="s">
        <v>17</v>
      </c>
      <c r="W36" s="774">
        <f t="shared" si="12"/>
        <v>100</v>
      </c>
      <c r="X36" s="1801"/>
      <c r="Y36" s="3611" t="s">
        <v>2564</v>
      </c>
      <c r="Z36" s="1802">
        <f t="shared" si="13"/>
        <v>111</v>
      </c>
      <c r="AA36" s="1799">
        <f t="shared" si="3"/>
        <v>1</v>
      </c>
      <c r="AB36" s="1799">
        <f t="shared" si="4"/>
        <v>1</v>
      </c>
      <c r="AC36" s="1799">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611"/>
      <c r="Q37" s="1798">
        <f t="shared" si="8"/>
        <v>111</v>
      </c>
      <c r="R37" s="776" t="s">
        <v>17</v>
      </c>
      <c r="S37" s="777">
        <f t="shared" si="10"/>
        <v>100</v>
      </c>
      <c r="T37" s="776" t="s">
        <v>17</v>
      </c>
      <c r="U37" s="777">
        <f t="shared" si="11"/>
        <v>100</v>
      </c>
      <c r="V37" s="776" t="s">
        <v>17</v>
      </c>
      <c r="W37" s="777">
        <f t="shared" si="12"/>
        <v>100</v>
      </c>
      <c r="X37" s="778"/>
      <c r="Y37" s="3611"/>
      <c r="Z37" s="779">
        <f t="shared" si="13"/>
        <v>111</v>
      </c>
      <c r="AA37" s="1799">
        <f t="shared" si="3"/>
        <v>1</v>
      </c>
      <c r="AB37" s="1799">
        <f t="shared" si="4"/>
        <v>1</v>
      </c>
      <c r="AC37" s="1799">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611"/>
      <c r="Q38" s="1798" t="str">
        <f>B38</f>
        <v>宗地面积</v>
      </c>
      <c r="R38" s="773" t="s">
        <v>17</v>
      </c>
      <c r="S38" s="774" t="e">
        <f t="shared" si="10"/>
        <v>#N/A</v>
      </c>
      <c r="T38" s="773" t="s">
        <v>17</v>
      </c>
      <c r="U38" s="774" t="e">
        <f t="shared" si="11"/>
        <v>#N/A</v>
      </c>
      <c r="V38" s="773" t="s">
        <v>17</v>
      </c>
      <c r="W38" s="774" t="e">
        <f t="shared" si="12"/>
        <v>#N/A</v>
      </c>
      <c r="X38" s="1801"/>
      <c r="Y38" s="3611"/>
      <c r="Z38" s="1802" t="str">
        <f t="shared" si="13"/>
        <v>宗地面积</v>
      </c>
      <c r="AA38" s="1799" t="e">
        <f t="shared" si="3"/>
        <v>#N/A</v>
      </c>
      <c r="AB38" s="1799" t="e">
        <f t="shared" si="4"/>
        <v>#N/A</v>
      </c>
      <c r="AC38" s="1799" t="e">
        <f t="shared" si="5"/>
        <v>#N/A</v>
      </c>
    </row>
    <row r="39" spans="1:29" ht="15">
      <c r="A39" s="471"/>
      <c r="B39" s="421" t="s">
        <v>2751</v>
      </c>
      <c r="C39" s="2601"/>
      <c r="D39" s="434">
        <v>100</v>
      </c>
      <c r="E39" s="2601"/>
      <c r="F39" s="434">
        <f>SUMIF(119:119,E39,120:120)-SUMIF(119:119,C39,120:120)+100</f>
        <v>100</v>
      </c>
      <c r="G39" s="2601"/>
      <c r="H39" s="434">
        <f>SUMIF(119:119,G39,120:120)-SUMIF(119:119,C39,120:120)+100</f>
        <v>100</v>
      </c>
      <c r="I39" s="2601"/>
      <c r="J39" s="434">
        <f>SUMIF(119:119,I39,120:120)-SUMIF(119:119,C39,120:120)+100</f>
        <v>100</v>
      </c>
      <c r="K39" s="611"/>
      <c r="L39" s="1139"/>
      <c r="M39" s="1130"/>
      <c r="N39" s="1130"/>
      <c r="O39" s="1138"/>
      <c r="P39" s="3611"/>
      <c r="Q39" s="1798" t="str">
        <f t="shared" ref="Q39:Q45" si="14">B39</f>
        <v>宗地形状</v>
      </c>
      <c r="R39" s="773" t="s">
        <v>17</v>
      </c>
      <c r="S39" s="774">
        <f t="shared" si="10"/>
        <v>100</v>
      </c>
      <c r="T39" s="773" t="s">
        <v>17</v>
      </c>
      <c r="U39" s="774">
        <f t="shared" si="11"/>
        <v>100</v>
      </c>
      <c r="V39" s="773" t="s">
        <v>17</v>
      </c>
      <c r="W39" s="774">
        <f t="shared" si="12"/>
        <v>100</v>
      </c>
      <c r="X39" s="1801"/>
      <c r="Y39" s="3611"/>
      <c r="Z39" s="1802" t="str">
        <f t="shared" si="13"/>
        <v>宗地形状</v>
      </c>
      <c r="AA39" s="1799">
        <f t="shared" si="3"/>
        <v>1</v>
      </c>
      <c r="AB39" s="1799">
        <f t="shared" si="4"/>
        <v>1</v>
      </c>
      <c r="AC39" s="1799">
        <f t="shared" si="5"/>
        <v>1</v>
      </c>
    </row>
    <row r="40" spans="1:29" ht="15">
      <c r="A40" s="471"/>
      <c r="B40" s="421" t="s">
        <v>2752</v>
      </c>
      <c r="C40" s="2601"/>
      <c r="D40" s="434">
        <v>100</v>
      </c>
      <c r="E40" s="2601"/>
      <c r="F40" s="434">
        <f>SUMIF(121:121,E40,122:122)-SUMIF(121:121,C40,122:122)+100</f>
        <v>100</v>
      </c>
      <c r="G40" s="2601"/>
      <c r="H40" s="434">
        <f>SUMIF(121:121,G40,122:122)-SUMIF(121:121,C40,122:122)+100</f>
        <v>100</v>
      </c>
      <c r="I40" s="2601"/>
      <c r="J40" s="434">
        <f>SUMIF(121:121,I40,122:122)-SUMIF(121:121,C40,122:122)+100</f>
        <v>100</v>
      </c>
      <c r="K40" s="611"/>
      <c r="L40" s="1139"/>
      <c r="M40" s="1130"/>
      <c r="N40" s="1130"/>
      <c r="O40" s="1138"/>
      <c r="P40" s="3611"/>
      <c r="Q40" s="1798" t="str">
        <f t="shared" si="14"/>
        <v>临街宽度及深度</v>
      </c>
      <c r="R40" s="773" t="s">
        <v>17</v>
      </c>
      <c r="S40" s="774">
        <f t="shared" si="10"/>
        <v>100</v>
      </c>
      <c r="T40" s="773" t="s">
        <v>17</v>
      </c>
      <c r="U40" s="774">
        <f t="shared" si="11"/>
        <v>100</v>
      </c>
      <c r="V40" s="773" t="s">
        <v>17</v>
      </c>
      <c r="W40" s="774">
        <f t="shared" si="12"/>
        <v>100</v>
      </c>
      <c r="X40" s="1801"/>
      <c r="Y40" s="3611"/>
      <c r="Z40" s="1802" t="str">
        <f t="shared" si="13"/>
        <v>临街宽度及深度</v>
      </c>
      <c r="AA40" s="1799">
        <f t="shared" si="3"/>
        <v>1</v>
      </c>
      <c r="AB40" s="1799">
        <f t="shared" si="4"/>
        <v>1</v>
      </c>
      <c r="AC40" s="1799">
        <f t="shared" si="5"/>
        <v>1</v>
      </c>
    </row>
    <row r="41" spans="1:29" s="116" customFormat="1" ht="15">
      <c r="A41" s="472"/>
      <c r="B41" s="421" t="s">
        <v>2753</v>
      </c>
      <c r="C41" s="2690"/>
      <c r="D41" s="135">
        <v>100</v>
      </c>
      <c r="E41" s="2690"/>
      <c r="F41" s="434">
        <f>SUMIF(123:123,E41,124:124)-SUMIF(123:123,C41,124:124)+100</f>
        <v>100</v>
      </c>
      <c r="G41" s="2690"/>
      <c r="H41" s="434">
        <f>SUMIF(123:123,G41,124:124)-SUMIF(123:123,C41,124:124)+100</f>
        <v>100</v>
      </c>
      <c r="I41" s="2690"/>
      <c r="J41" s="434">
        <f>SUMIF(123:123,I41,124:124)-SUMIF(123:123,C41,124:124)+100</f>
        <v>100</v>
      </c>
      <c r="K41" s="611"/>
      <c r="L41" s="1131"/>
      <c r="M41" s="1132"/>
      <c r="N41" s="1132"/>
      <c r="O41" s="1133"/>
      <c r="P41" s="3611"/>
      <c r="Q41" s="1798" t="str">
        <f t="shared" si="14"/>
        <v>宗地开发程度</v>
      </c>
      <c r="R41" s="769" t="s">
        <v>17</v>
      </c>
      <c r="S41" s="770">
        <f t="shared" si="10"/>
        <v>100</v>
      </c>
      <c r="T41" s="769" t="s">
        <v>17</v>
      </c>
      <c r="U41" s="770">
        <f t="shared" si="11"/>
        <v>100</v>
      </c>
      <c r="V41" s="769" t="s">
        <v>17</v>
      </c>
      <c r="W41" s="770">
        <f t="shared" si="12"/>
        <v>100</v>
      </c>
      <c r="X41" s="771"/>
      <c r="Y41" s="3611"/>
      <c r="Z41" s="55" t="str">
        <f t="shared" si="13"/>
        <v>宗地开发程度</v>
      </c>
      <c r="AA41" s="772">
        <f t="shared" si="3"/>
        <v>1</v>
      </c>
      <c r="AB41" s="772">
        <f t="shared" si="4"/>
        <v>1</v>
      </c>
      <c r="AC41" s="772">
        <f t="shared" si="5"/>
        <v>1</v>
      </c>
    </row>
    <row r="42" spans="1:29" ht="15">
      <c r="A42" s="471"/>
      <c r="B42" s="421" t="s">
        <v>2754</v>
      </c>
      <c r="C42" s="2601"/>
      <c r="D42" s="434">
        <v>100</v>
      </c>
      <c r="E42" s="2601"/>
      <c r="F42" s="434">
        <f>SUMIF(125:125,E42,126:126)-SUMIF(125:125,C42,126:126)+100</f>
        <v>100</v>
      </c>
      <c r="G42" s="2601"/>
      <c r="H42" s="434">
        <f>SUMIF(125:125,G42,126:126)-SUMIF(125:125,C42,126:126)+100</f>
        <v>100</v>
      </c>
      <c r="I42" s="2601"/>
      <c r="J42" s="434">
        <f>SUMIF(125:125,I42,126:126)-SUMIF(125:125,C42,126:126)+100</f>
        <v>100</v>
      </c>
      <c r="K42" s="611"/>
      <c r="L42" s="1139"/>
      <c r="M42" s="1130"/>
      <c r="N42" s="1130"/>
      <c r="O42" s="1138"/>
      <c r="P42" s="3611" t="s">
        <v>2564</v>
      </c>
      <c r="Q42" s="1798" t="str">
        <f t="shared" si="14"/>
        <v>工程地质条件</v>
      </c>
      <c r="R42" s="773" t="s">
        <v>17</v>
      </c>
      <c r="S42" s="774">
        <f t="shared" si="10"/>
        <v>100</v>
      </c>
      <c r="T42" s="773" t="s">
        <v>17</v>
      </c>
      <c r="U42" s="774">
        <f t="shared" si="11"/>
        <v>100</v>
      </c>
      <c r="V42" s="773" t="s">
        <v>17</v>
      </c>
      <c r="W42" s="774">
        <f t="shared" si="12"/>
        <v>100</v>
      </c>
      <c r="X42" s="1801"/>
      <c r="Y42" s="3611" t="s">
        <v>2564</v>
      </c>
      <c r="Z42" s="1802" t="str">
        <f t="shared" si="13"/>
        <v>工程地质条件</v>
      </c>
      <c r="AA42" s="1799">
        <f t="shared" si="3"/>
        <v>1</v>
      </c>
      <c r="AB42" s="1799">
        <f t="shared" si="4"/>
        <v>1</v>
      </c>
      <c r="AC42" s="1799">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611"/>
      <c r="Q43" s="1798">
        <f t="shared" si="14"/>
        <v>111</v>
      </c>
      <c r="R43" s="773" t="s">
        <v>17</v>
      </c>
      <c r="S43" s="774">
        <f t="shared" si="10"/>
        <v>100</v>
      </c>
      <c r="T43" s="773" t="s">
        <v>17</v>
      </c>
      <c r="U43" s="774">
        <f t="shared" si="11"/>
        <v>100</v>
      </c>
      <c r="V43" s="773" t="s">
        <v>17</v>
      </c>
      <c r="W43" s="774">
        <f t="shared" si="12"/>
        <v>100</v>
      </c>
      <c r="X43" s="1801"/>
      <c r="Y43" s="3611"/>
      <c r="Z43" s="1802">
        <f t="shared" si="13"/>
        <v>111</v>
      </c>
      <c r="AA43" s="1799">
        <f t="shared" si="3"/>
        <v>1</v>
      </c>
      <c r="AB43" s="1799">
        <f t="shared" si="4"/>
        <v>1</v>
      </c>
      <c r="AC43" s="1799">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611"/>
      <c r="Q44" s="1798">
        <f t="shared" si="14"/>
        <v>111</v>
      </c>
      <c r="R44" s="773" t="s">
        <v>17</v>
      </c>
      <c r="S44" s="774">
        <f t="shared" si="10"/>
        <v>100</v>
      </c>
      <c r="T44" s="773" t="s">
        <v>17</v>
      </c>
      <c r="U44" s="774">
        <f t="shared" si="11"/>
        <v>100</v>
      </c>
      <c r="V44" s="773" t="s">
        <v>17</v>
      </c>
      <c r="W44" s="774">
        <f t="shared" si="12"/>
        <v>100</v>
      </c>
      <c r="X44" s="1801"/>
      <c r="Y44" s="3611"/>
      <c r="Z44" s="1802">
        <f t="shared" si="13"/>
        <v>111</v>
      </c>
      <c r="AA44" s="1799">
        <f t="shared" si="3"/>
        <v>1</v>
      </c>
      <c r="AB44" s="1799">
        <f t="shared" si="4"/>
        <v>1</v>
      </c>
      <c r="AC44" s="1799">
        <f t="shared" si="5"/>
        <v>1</v>
      </c>
    </row>
    <row r="45" spans="1:29" s="470" customFormat="1" ht="15.75" thickBot="1">
      <c r="A45" s="467"/>
      <c r="B45" s="1383">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611"/>
      <c r="Q45" s="1798">
        <f t="shared" si="14"/>
        <v>111</v>
      </c>
      <c r="R45" s="776" t="s">
        <v>17</v>
      </c>
      <c r="S45" s="777">
        <f t="shared" si="10"/>
        <v>100</v>
      </c>
      <c r="T45" s="776" t="s">
        <v>17</v>
      </c>
      <c r="U45" s="777">
        <f t="shared" si="11"/>
        <v>100</v>
      </c>
      <c r="V45" s="776" t="s">
        <v>17</v>
      </c>
      <c r="W45" s="777">
        <f t="shared" si="12"/>
        <v>100</v>
      </c>
      <c r="X45" s="778"/>
      <c r="Y45" s="3611"/>
      <c r="Z45" s="779">
        <f t="shared" si="13"/>
        <v>111</v>
      </c>
      <c r="AA45" s="1799">
        <f t="shared" si="3"/>
        <v>1</v>
      </c>
      <c r="AB45" s="1799">
        <f t="shared" si="4"/>
        <v>1</v>
      </c>
      <c r="AC45" s="1799">
        <f t="shared" si="5"/>
        <v>1</v>
      </c>
    </row>
    <row r="46" spans="1:29" ht="15">
      <c r="A46" s="478" t="s">
        <v>2719</v>
      </c>
      <c r="B46" s="2692" t="s">
        <v>2755</v>
      </c>
      <c r="C46" s="681" t="s">
        <v>1</v>
      </c>
      <c r="D46" s="480"/>
      <c r="E46" s="481"/>
      <c r="F46" s="482"/>
      <c r="G46" s="483"/>
      <c r="H46" s="484"/>
      <c r="I46" s="481"/>
      <c r="J46" s="484"/>
      <c r="K46" s="782"/>
      <c r="L46" s="1142"/>
      <c r="M46" s="1143"/>
      <c r="N46" s="1130"/>
      <c r="O46" s="1143"/>
      <c r="P46" s="3613" t="str">
        <f>A46</f>
        <v>成交单价</v>
      </c>
      <c r="Q46" s="3613"/>
      <c r="R46" s="3574">
        <f>E46</f>
        <v>0</v>
      </c>
      <c r="S46" s="3574"/>
      <c r="T46" s="3574">
        <f>G46</f>
        <v>0</v>
      </c>
      <c r="U46" s="3574"/>
      <c r="V46" s="3574">
        <f>I46</f>
        <v>0</v>
      </c>
      <c r="W46" s="3574"/>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613" t="str">
        <f>A47</f>
        <v>比较价值（元/平方米）</v>
      </c>
      <c r="Q47" s="3613"/>
      <c r="R47" s="3688" t="e">
        <f>ROUND(PRODUCT(R46,AA7:AA45),0)</f>
        <v>#DIV/0!</v>
      </c>
      <c r="S47" s="3688"/>
      <c r="T47" s="3688" t="e">
        <f>ROUND(PRODUCT(T46,AB7:AB45),0)</f>
        <v>#DIV/0!</v>
      </c>
      <c r="U47" s="3688"/>
      <c r="V47" s="3688" t="e">
        <f>ROUND(PRODUCT(V46,AC7:AC45),0)</f>
        <v>#DIV/0!</v>
      </c>
      <c r="W47" s="3688"/>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615" t="str">
        <f>A48</f>
        <v>估价对象XX用房的比较价值（楼面单价，元/平方米）</v>
      </c>
      <c r="Q48" s="3616"/>
      <c r="R48" s="3689" t="e">
        <f>ROUND(AVERAGE(R47:V47),0)</f>
        <v>#DIV/0!</v>
      </c>
      <c r="S48" s="3689"/>
      <c r="T48" s="3689"/>
      <c r="U48" s="3689"/>
      <c r="V48" s="3689"/>
      <c r="W48" s="368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693" t="s">
        <v>2759</v>
      </c>
      <c r="D55" s="2694" t="s">
        <v>2760</v>
      </c>
      <c r="E55" s="685" t="s">
        <v>2761</v>
      </c>
      <c r="F55" s="1106" t="s">
        <v>2762</v>
      </c>
      <c r="G55" s="3591" t="s">
        <v>2763</v>
      </c>
      <c r="H55" s="3690"/>
      <c r="I55" s="143" t="s">
        <v>2764</v>
      </c>
      <c r="J55" s="2695">
        <f>项目基本情况!F35</f>
        <v>0</v>
      </c>
      <c r="K55" s="2696" t="s">
        <v>2765</v>
      </c>
      <c r="L55" s="1105"/>
      <c r="M55" s="1143"/>
      <c r="N55" s="1143"/>
      <c r="O55" s="1143"/>
    </row>
    <row r="56" spans="1:15" s="691" customFormat="1">
      <c r="A56" s="687" t="s">
        <v>2766</v>
      </c>
      <c r="B56" s="688" t="e">
        <f>C48</f>
        <v>#DIV/0!</v>
      </c>
      <c r="C56" s="689">
        <v>1</v>
      </c>
      <c r="D56" s="1162">
        <v>1</v>
      </c>
      <c r="E56" s="689">
        <f>'数据-汇总表'!E8+'数据-汇总表'!E9</f>
        <v>31258.720000000001</v>
      </c>
      <c r="F56" s="1102" t="e">
        <f t="shared" ref="F56:F65" si="15">ROUND(B56*E56/10000,0)</f>
        <v>#DIV/0!</v>
      </c>
      <c r="G56" s="3590"/>
      <c r="H56" s="3613"/>
      <c r="I56" s="1107">
        <v>1</v>
      </c>
      <c r="J56" s="1110">
        <v>1</v>
      </c>
      <c r="K56" s="1144"/>
      <c r="L56" s="940"/>
      <c r="M56" s="940"/>
      <c r="N56" s="940"/>
      <c r="O56" s="940"/>
    </row>
    <row r="57" spans="1:15" s="691" customFormat="1">
      <c r="A57" s="692" t="s">
        <v>2767</v>
      </c>
      <c r="B57" s="261" t="e">
        <f>ROUND($C$48*C57*D57,0)</f>
        <v>#DIV/0!</v>
      </c>
      <c r="C57" s="199">
        <f t="shared" ref="C57:C65" si="16">IF($C$55="北京市系数",I57,J57)</f>
        <v>0.7</v>
      </c>
      <c r="D57" s="1163">
        <v>0.25</v>
      </c>
      <c r="E57" s="693"/>
      <c r="F57" s="1102" t="e">
        <f t="shared" si="15"/>
        <v>#DIV/0!</v>
      </c>
      <c r="G57" s="3691" t="s">
        <v>2768</v>
      </c>
      <c r="H57" s="1103" t="str">
        <f>项目基本情况!B37</f>
        <v>六级</v>
      </c>
      <c r="I57" s="1107">
        <f>SUMIF(修正!A45:A56,H57,修正!B45:B56)</f>
        <v>0.7</v>
      </c>
      <c r="J57" s="1111"/>
      <c r="K57" s="1143"/>
      <c r="L57" s="940"/>
      <c r="M57" s="940"/>
      <c r="N57" s="940"/>
      <c r="O57" s="940"/>
    </row>
    <row r="58" spans="1:15" s="691" customFormat="1">
      <c r="A58" s="692" t="s">
        <v>2769</v>
      </c>
      <c r="B58" s="261" t="e">
        <f t="shared" ref="B58:B65" si="17">ROUND($C$48*C58*D58,0)</f>
        <v>#DIV/0!</v>
      </c>
      <c r="C58" s="199">
        <f t="shared" si="16"/>
        <v>0.4</v>
      </c>
      <c r="D58" s="1163">
        <v>0.25</v>
      </c>
      <c r="E58" s="693"/>
      <c r="F58" s="1102" t="e">
        <f t="shared" si="15"/>
        <v>#DIV/0!</v>
      </c>
      <c r="G58" s="3691"/>
      <c r="H58" s="1103" t="str">
        <f>项目基本情况!B37</f>
        <v>六级</v>
      </c>
      <c r="I58" s="1107">
        <f>SUMIF(修正!A45:A56,H58,修正!C45:C56)</f>
        <v>0.4</v>
      </c>
      <c r="J58" s="1111"/>
      <c r="K58" s="1144"/>
      <c r="L58" s="940"/>
      <c r="M58" s="940"/>
      <c r="N58" s="940"/>
      <c r="O58" s="940"/>
    </row>
    <row r="59" spans="1:15" s="691" customFormat="1">
      <c r="A59" s="692" t="s">
        <v>2770</v>
      </c>
      <c r="B59" s="261" t="e">
        <f t="shared" si="17"/>
        <v>#DIV/0!</v>
      </c>
      <c r="C59" s="199">
        <f t="shared" si="16"/>
        <v>0.28000000000000003</v>
      </c>
      <c r="D59" s="1163">
        <v>0.25</v>
      </c>
      <c r="E59" s="693"/>
      <c r="F59" s="1102" t="e">
        <f t="shared" si="15"/>
        <v>#DIV/0!</v>
      </c>
      <c r="G59" s="3691"/>
      <c r="H59" s="1103" t="str">
        <f>项目基本情况!B37</f>
        <v>六级</v>
      </c>
      <c r="I59" s="1107">
        <f>SUMIF(修正!A45:A56,H59,修正!D45:D56)</f>
        <v>0.28000000000000003</v>
      </c>
      <c r="J59" s="1111"/>
      <c r="K59" s="1143"/>
      <c r="L59" s="940"/>
      <c r="M59" s="940"/>
      <c r="N59" s="940"/>
      <c r="O59" s="940"/>
    </row>
    <row r="60" spans="1:15" s="691" customFormat="1">
      <c r="A60" s="692" t="s">
        <v>2771</v>
      </c>
      <c r="B60" s="261" t="e">
        <f t="shared" si="17"/>
        <v>#DIV/0!</v>
      </c>
      <c r="C60" s="199">
        <f t="shared" si="16"/>
        <v>0.25</v>
      </c>
      <c r="D60" s="1163">
        <v>0.25</v>
      </c>
      <c r="E60" s="693"/>
      <c r="F60" s="1102" t="e">
        <f t="shared" si="15"/>
        <v>#DIV/0!</v>
      </c>
      <c r="G60" s="3691"/>
      <c r="H60" s="1103" t="str">
        <f>项目基本情况!B37</f>
        <v>六级</v>
      </c>
      <c r="I60" s="1107">
        <f>SUMIF(修正!A45:A56,H60,修正!E45:E56)</f>
        <v>0.25</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697"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0.2</v>
      </c>
      <c r="D64" s="1163">
        <v>0.25</v>
      </c>
      <c r="E64" s="260">
        <f>'数据-汇总表'!E14</f>
        <v>0</v>
      </c>
      <c r="F64" s="1102" t="e">
        <f t="shared" si="15"/>
        <v>#DIV/0!</v>
      </c>
      <c r="G64" s="2697" t="s">
        <v>2768</v>
      </c>
      <c r="H64" s="1103" t="str">
        <f>项目基本情况!B37</f>
        <v>六级</v>
      </c>
      <c r="I64" s="1107">
        <f>SUMIF(修正!A45:A56,H64,修正!H45:H56)</f>
        <v>0.2</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698"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31258.720000000001</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699" t="s">
        <v>2781</v>
      </c>
      <c r="B70" s="1355"/>
      <c r="C70" s="1568" t="str">
        <f>YEAR(C68)&amp;"-"&amp;ROUNDUP(MONTH(C68)/3,0)</f>
        <v>2020-2</v>
      </c>
      <c r="D70" s="1568" t="str">
        <f>YEAR(D68)&amp;"-"&amp;ROUNDUP(MONTH(D68)/3,0)</f>
        <v>2020-1</v>
      </c>
      <c r="E70" s="1568" t="str">
        <f t="shared" ref="E70:O70" si="19">YEAR(E68)&amp;"-"&amp;ROUNDUP(MONTH(E68)/3,0)</f>
        <v>2019-4</v>
      </c>
      <c r="F70" s="1568" t="str">
        <f t="shared" si="19"/>
        <v>2019-3</v>
      </c>
      <c r="G70" s="1568" t="str">
        <f t="shared" si="19"/>
        <v>2019-2</v>
      </c>
      <c r="H70" s="1568" t="str">
        <f t="shared" si="19"/>
        <v>2019-1</v>
      </c>
      <c r="I70" s="1568" t="str">
        <f t="shared" si="19"/>
        <v>2018-4</v>
      </c>
      <c r="J70" s="1568" t="str">
        <f t="shared" si="19"/>
        <v>2018-3</v>
      </c>
      <c r="K70" s="1568" t="str">
        <f t="shared" si="19"/>
        <v>2018-2</v>
      </c>
      <c r="L70" s="1568" t="str">
        <f t="shared" si="19"/>
        <v>2018-1</v>
      </c>
      <c r="M70" s="1568" t="str">
        <f t="shared" si="19"/>
        <v>2017-4</v>
      </c>
      <c r="N70" s="1568" t="str">
        <f t="shared" si="19"/>
        <v>2017-3</v>
      </c>
      <c r="O70" s="1568" t="str">
        <f t="shared" si="19"/>
        <v>2017-2</v>
      </c>
      <c r="P70" s="506"/>
    </row>
    <row r="71" spans="1:17" s="116" customFormat="1" ht="30" customHeight="1">
      <c r="A71" s="2700" t="s">
        <v>2782</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3"/>
      <c r="N71" s="594"/>
      <c r="O71" s="1564"/>
      <c r="P71" s="503"/>
    </row>
    <row r="72" spans="1:17" s="116" customFormat="1" ht="15.75" thickBot="1">
      <c r="A72" s="514" t="s">
        <v>2584</v>
      </c>
      <c r="B72" s="515"/>
      <c r="C72" s="516"/>
      <c r="D72" s="517"/>
      <c r="E72" s="517"/>
      <c r="F72" s="517"/>
      <c r="G72" s="517"/>
      <c r="H72" s="517"/>
      <c r="I72" s="517"/>
      <c r="J72" s="517"/>
      <c r="K72" s="517"/>
      <c r="L72" s="517"/>
      <c r="M72" s="518"/>
      <c r="N72" s="517"/>
      <c r="O72" s="1161"/>
      <c r="P72" s="503"/>
      <c r="Q72" s="503"/>
    </row>
    <row r="73" spans="1:17" s="116" customFormat="1" ht="15">
      <c r="A73" s="520" t="s">
        <v>2549</v>
      </c>
      <c r="B73" s="509"/>
      <c r="C73" s="521" t="s">
        <v>2651</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1"/>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87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875" style="402" customWidth="1"/>
    <col min="17" max="17" width="19.5" style="402" customWidth="1"/>
    <col min="18" max="22" width="6.125" style="402" customWidth="1"/>
    <col min="23" max="23" width="5.875" style="402" customWidth="1"/>
    <col min="24" max="24" width="4.125" style="402" customWidth="1"/>
    <col min="25" max="25" width="3.5" style="402" customWidth="1"/>
    <col min="26" max="26" width="19.8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591" t="s">
        <v>2645</v>
      </c>
      <c r="D4" s="3592"/>
      <c r="E4" s="3593" t="s">
        <v>2646</v>
      </c>
      <c r="F4" s="3594"/>
      <c r="G4" s="3591" t="s">
        <v>2647</v>
      </c>
      <c r="H4" s="3592"/>
      <c r="I4" s="3591" t="s">
        <v>2648</v>
      </c>
      <c r="J4" s="3592"/>
      <c r="K4" s="609" t="s">
        <v>2649</v>
      </c>
      <c r="L4" s="1129"/>
      <c r="M4" s="1130"/>
      <c r="N4" s="1130"/>
      <c r="O4" s="1130"/>
      <c r="P4" s="3595" t="s">
        <v>2650</v>
      </c>
      <c r="Q4" s="3596"/>
      <c r="R4" s="3577" t="s">
        <v>2646</v>
      </c>
      <c r="S4" s="3578"/>
      <c r="T4" s="3577" t="s">
        <v>2647</v>
      </c>
      <c r="U4" s="3578"/>
      <c r="V4" s="3574" t="s">
        <v>2648</v>
      </c>
      <c r="W4" s="3574"/>
      <c r="X4" s="1801"/>
      <c r="Y4" s="3577" t="s">
        <v>2650</v>
      </c>
      <c r="Z4" s="3578"/>
      <c r="AA4" s="3571" t="s">
        <v>2646</v>
      </c>
      <c r="AB4" s="3572" t="s">
        <v>2647</v>
      </c>
      <c r="AC4" s="3571" t="s">
        <v>2648</v>
      </c>
    </row>
    <row r="5" spans="1:29" ht="15">
      <c r="A5" s="403"/>
      <c r="B5" s="404"/>
      <c r="C5" s="3583" t="s">
        <v>2541</v>
      </c>
      <c r="D5" s="3584"/>
      <c r="E5" s="3671" t="s">
        <v>2542</v>
      </c>
      <c r="F5" s="3582"/>
      <c r="G5" s="3583" t="s">
        <v>2543</v>
      </c>
      <c r="H5" s="3584"/>
      <c r="I5" s="3583" t="s">
        <v>2544</v>
      </c>
      <c r="J5" s="3584"/>
      <c r="K5" s="609"/>
      <c r="L5" s="1129"/>
      <c r="M5" s="1130"/>
      <c r="N5" s="1130"/>
      <c r="O5" s="1130"/>
      <c r="P5" s="3597"/>
      <c r="Q5" s="3598"/>
      <c r="R5" s="3579"/>
      <c r="S5" s="3580"/>
      <c r="T5" s="3579"/>
      <c r="U5" s="3580"/>
      <c r="V5" s="3574"/>
      <c r="W5" s="3574"/>
      <c r="X5" s="1801"/>
      <c r="Y5" s="3579"/>
      <c r="Z5" s="3580"/>
      <c r="AA5" s="3572"/>
      <c r="AB5" s="3572"/>
      <c r="AC5" s="3572"/>
    </row>
    <row r="6" spans="1:29" ht="15.75" thickBot="1">
      <c r="A6" s="405"/>
      <c r="B6" s="406"/>
      <c r="C6" s="3692" t="s">
        <v>2796</v>
      </c>
      <c r="D6" s="3693"/>
      <c r="E6" s="3694" t="s">
        <v>2796</v>
      </c>
      <c r="F6" s="3695"/>
      <c r="G6" s="3692" t="s">
        <v>2796</v>
      </c>
      <c r="H6" s="3693"/>
      <c r="I6" s="3692" t="s">
        <v>2796</v>
      </c>
      <c r="J6" s="3693"/>
      <c r="K6" s="609" t="s">
        <v>2546</v>
      </c>
      <c r="L6" s="1129"/>
      <c r="M6" s="1130"/>
      <c r="N6" s="1130"/>
      <c r="O6" s="1130"/>
      <c r="P6" s="3599"/>
      <c r="Q6" s="3600"/>
      <c r="R6" s="3579"/>
      <c r="S6" s="3580"/>
      <c r="T6" s="3601"/>
      <c r="U6" s="3602"/>
      <c r="V6" s="3574"/>
      <c r="W6" s="3574"/>
      <c r="X6" s="1801"/>
      <c r="Y6" s="3601"/>
      <c r="Z6" s="3602"/>
      <c r="AA6" s="3573"/>
      <c r="AB6" s="3573"/>
      <c r="AC6" s="3573"/>
    </row>
    <row r="7" spans="1:29" s="116" customFormat="1" ht="15.75" thickBot="1">
      <c r="A7" s="407" t="s">
        <v>2547</v>
      </c>
      <c r="B7" s="408"/>
      <c r="C7" s="409">
        <f>'数据-取费表'!B2</f>
        <v>44011</v>
      </c>
      <c r="D7" s="410">
        <v>100</v>
      </c>
      <c r="E7" s="411"/>
      <c r="F7" s="412">
        <f>SUMIF(65:65,YEAR(E7)&amp;"-"&amp;INT((MONTH(E7)+2)/3),66:66)</f>
        <v>0</v>
      </c>
      <c r="G7" s="2684"/>
      <c r="H7" s="410">
        <f>SUMIF(65:65,YEAR(G7)&amp;"-"&amp;INT((MONTH(G7)+2)/3),66:66)</f>
        <v>0</v>
      </c>
      <c r="I7" s="2684"/>
      <c r="J7" s="410">
        <f>SUMIF(65:65,YEAR(I7)&amp;"-"&amp;INT((MONTH(I7)+2)/3),66:66)</f>
        <v>0</v>
      </c>
      <c r="K7" s="610"/>
      <c r="L7" s="1131"/>
      <c r="M7" s="1132"/>
      <c r="N7" s="1132"/>
      <c r="O7" s="1132"/>
      <c r="P7" s="3575" t="s">
        <v>2548</v>
      </c>
      <c r="Q7" s="3603"/>
      <c r="R7" s="769" t="s">
        <v>17</v>
      </c>
      <c r="S7" s="770">
        <f t="shared" ref="S7:S15" si="0">F7</f>
        <v>0</v>
      </c>
      <c r="T7" s="769" t="s">
        <v>17</v>
      </c>
      <c r="U7" s="770">
        <f t="shared" ref="U7:U15" si="1">H7</f>
        <v>0</v>
      </c>
      <c r="V7" s="769" t="s">
        <v>17</v>
      </c>
      <c r="W7" s="770">
        <f t="shared" ref="W7:W15" si="2">J7</f>
        <v>0</v>
      </c>
      <c r="X7" s="771"/>
      <c r="Y7" s="3575" t="s">
        <v>2548</v>
      </c>
      <c r="Z7" s="3576"/>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575" t="s">
        <v>2551</v>
      </c>
      <c r="Q8" s="3576"/>
      <c r="R8" s="769" t="s">
        <v>17</v>
      </c>
      <c r="S8" s="770">
        <f t="shared" si="0"/>
        <v>0</v>
      </c>
      <c r="T8" s="769" t="s">
        <v>17</v>
      </c>
      <c r="U8" s="770">
        <f t="shared" si="1"/>
        <v>0</v>
      </c>
      <c r="V8" s="769" t="s">
        <v>17</v>
      </c>
      <c r="W8" s="770">
        <f t="shared" si="2"/>
        <v>0</v>
      </c>
      <c r="X8" s="771"/>
      <c r="Y8" s="3575" t="s">
        <v>2551</v>
      </c>
      <c r="Z8" s="3576"/>
      <c r="AA8" s="772" t="e">
        <f t="shared" ref="AA8:AA40" si="3">D8/F8</f>
        <v>#DIV/0!</v>
      </c>
      <c r="AB8" s="772" t="e">
        <f t="shared" ref="AB8:AB40" si="4">D8/H8</f>
        <v>#DIV/0!</v>
      </c>
      <c r="AC8" s="772" t="e">
        <f t="shared" ref="AC8:AC40" si="5">D8/J8</f>
        <v>#DIV/0!</v>
      </c>
    </row>
    <row r="9" spans="1:29" s="116" customFormat="1">
      <c r="A9" s="414" t="s">
        <v>2552</v>
      </c>
      <c r="B9" s="70" t="s">
        <v>2553</v>
      </c>
      <c r="C9" s="2687"/>
      <c r="D9" s="134">
        <v>100</v>
      </c>
      <c r="E9" s="2687"/>
      <c r="F9" s="134">
        <f>SUMIF(70:70,E9,71:71)-SUMIF(70:70,C9,71:71)+100</f>
        <v>100</v>
      </c>
      <c r="G9" s="2687"/>
      <c r="H9" s="134">
        <f>SUMIF(70:70,G9,71:71)-SUMIF(70:70,C9,71:71)+100</f>
        <v>100</v>
      </c>
      <c r="I9" s="2687"/>
      <c r="J9" s="134">
        <f>SUMIF(70:70,I9,71:71)-SUMIF(70:70,C9,71:71)+100</f>
        <v>100</v>
      </c>
      <c r="K9" s="610"/>
      <c r="L9" s="1131"/>
      <c r="M9" s="1132"/>
      <c r="N9" s="1132"/>
      <c r="O9" s="1133"/>
      <c r="P9" s="3613" t="s">
        <v>2554</v>
      </c>
      <c r="Q9" s="1783" t="str">
        <f t="shared" ref="Q9:Q15" si="6">B9</f>
        <v>用途</v>
      </c>
      <c r="R9" s="769" t="s">
        <v>17</v>
      </c>
      <c r="S9" s="770">
        <f t="shared" si="0"/>
        <v>100</v>
      </c>
      <c r="T9" s="769" t="s">
        <v>17</v>
      </c>
      <c r="U9" s="770">
        <f t="shared" si="1"/>
        <v>100</v>
      </c>
      <c r="V9" s="769" t="s">
        <v>17</v>
      </c>
      <c r="W9" s="770">
        <f t="shared" si="2"/>
        <v>100</v>
      </c>
      <c r="X9" s="771"/>
      <c r="Y9" s="3335"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100</v>
      </c>
      <c r="G10" s="431"/>
      <c r="H10" s="135">
        <f>ROUND(100/'数据-取费表'!G16,0)</f>
        <v>100</v>
      </c>
      <c r="I10" s="431"/>
      <c r="J10" s="135">
        <f>ROUND(100/'数据-取费表'!G16,0)</f>
        <v>100</v>
      </c>
      <c r="K10" s="671"/>
      <c r="L10" s="1134"/>
      <c r="M10" s="1135"/>
      <c r="N10" s="1135"/>
      <c r="O10" s="1136"/>
      <c r="P10" s="3613"/>
      <c r="Q10" s="1783" t="str">
        <f t="shared" si="6"/>
        <v>土地使用年限（年）</v>
      </c>
      <c r="R10" s="769" t="s">
        <v>17</v>
      </c>
      <c r="S10" s="770">
        <f t="shared" si="0"/>
        <v>100</v>
      </c>
      <c r="T10" s="769" t="s">
        <v>17</v>
      </c>
      <c r="U10" s="770">
        <f t="shared" si="1"/>
        <v>100</v>
      </c>
      <c r="V10" s="769" t="s">
        <v>17</v>
      </c>
      <c r="W10" s="770">
        <f t="shared" si="2"/>
        <v>100</v>
      </c>
      <c r="X10" s="771"/>
      <c r="Y10" s="3335"/>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613"/>
      <c r="Q11" s="1783" t="str">
        <f t="shared" si="6"/>
        <v>容积率</v>
      </c>
      <c r="R11" s="769" t="s">
        <v>17</v>
      </c>
      <c r="S11" s="770" t="e">
        <f t="shared" si="0"/>
        <v>#N/A</v>
      </c>
      <c r="T11" s="769" t="s">
        <v>17</v>
      </c>
      <c r="U11" s="770" t="e">
        <f t="shared" si="1"/>
        <v>#N/A</v>
      </c>
      <c r="V11" s="769" t="s">
        <v>17</v>
      </c>
      <c r="W11" s="770" t="e">
        <f t="shared" si="2"/>
        <v>#N/A</v>
      </c>
      <c r="X11" s="771"/>
      <c r="Y11" s="3335"/>
      <c r="Z11" s="55" t="str">
        <f t="shared" si="7"/>
        <v>容积率</v>
      </c>
      <c r="AA11" s="772" t="e">
        <f t="shared" si="3"/>
        <v>#N/A</v>
      </c>
      <c r="AB11" s="772" t="e">
        <f t="shared" si="4"/>
        <v>#N/A</v>
      </c>
      <c r="AC11" s="772" t="e">
        <f t="shared" si="5"/>
        <v>#N/A</v>
      </c>
    </row>
    <row r="12" spans="1:29" s="116" customFormat="1" ht="15">
      <c r="A12" s="430"/>
      <c r="B12" s="258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613"/>
      <c r="Q12" s="1783">
        <f t="shared" si="6"/>
        <v>111</v>
      </c>
      <c r="R12" s="769" t="s">
        <v>17</v>
      </c>
      <c r="S12" s="770">
        <f t="shared" si="0"/>
        <v>100</v>
      </c>
      <c r="T12" s="769" t="s">
        <v>17</v>
      </c>
      <c r="U12" s="770">
        <f t="shared" si="1"/>
        <v>100</v>
      </c>
      <c r="V12" s="769" t="s">
        <v>17</v>
      </c>
      <c r="W12" s="770">
        <f t="shared" si="2"/>
        <v>100</v>
      </c>
      <c r="X12" s="771"/>
      <c r="Y12" s="3335"/>
      <c r="Z12" s="55">
        <f t="shared" si="7"/>
        <v>111</v>
      </c>
      <c r="AA12" s="772">
        <f>D12/F12</f>
        <v>1</v>
      </c>
      <c r="AB12" s="772">
        <f>D12/H12</f>
        <v>1</v>
      </c>
      <c r="AC12" s="772">
        <f>D12/J12</f>
        <v>1</v>
      </c>
    </row>
    <row r="13" spans="1:29" ht="15">
      <c r="A13" s="427"/>
      <c r="B13" s="258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613"/>
      <c r="Q13" s="1783">
        <f t="shared" si="6"/>
        <v>111</v>
      </c>
      <c r="R13" s="769" t="s">
        <v>17</v>
      </c>
      <c r="S13" s="770">
        <f t="shared" si="0"/>
        <v>100</v>
      </c>
      <c r="T13" s="769" t="s">
        <v>17</v>
      </c>
      <c r="U13" s="770">
        <f t="shared" si="1"/>
        <v>100</v>
      </c>
      <c r="V13" s="769" t="s">
        <v>17</v>
      </c>
      <c r="W13" s="770">
        <f t="shared" si="2"/>
        <v>100</v>
      </c>
      <c r="X13" s="771"/>
      <c r="Y13" s="3335"/>
      <c r="Z13" s="55">
        <f t="shared" si="7"/>
        <v>111</v>
      </c>
      <c r="AA13" s="772">
        <f t="shared" si="3"/>
        <v>1</v>
      </c>
      <c r="AB13" s="772">
        <f t="shared" si="4"/>
        <v>1</v>
      </c>
      <c r="AC13" s="772">
        <f t="shared" si="5"/>
        <v>1</v>
      </c>
    </row>
    <row r="14" spans="1:29" ht="15.75" thickBot="1">
      <c r="A14" s="435"/>
      <c r="B14" s="259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613"/>
      <c r="Q14" s="1783">
        <f t="shared" si="6"/>
        <v>111</v>
      </c>
      <c r="R14" s="769" t="s">
        <v>17</v>
      </c>
      <c r="S14" s="770">
        <f t="shared" si="0"/>
        <v>100</v>
      </c>
      <c r="T14" s="769" t="s">
        <v>17</v>
      </c>
      <c r="U14" s="770">
        <f t="shared" si="1"/>
        <v>100</v>
      </c>
      <c r="V14" s="769" t="s">
        <v>17</v>
      </c>
      <c r="W14" s="770">
        <f t="shared" si="2"/>
        <v>100</v>
      </c>
      <c r="X14" s="771"/>
      <c r="Y14" s="3335"/>
      <c r="Z14" s="55">
        <f t="shared" si="7"/>
        <v>111</v>
      </c>
      <c r="AA14" s="772">
        <f t="shared" si="3"/>
        <v>1</v>
      </c>
      <c r="AB14" s="772">
        <f t="shared" si="4"/>
        <v>1</v>
      </c>
      <c r="AC14" s="772">
        <f t="shared" si="5"/>
        <v>1</v>
      </c>
    </row>
    <row r="15" spans="1:29" ht="57">
      <c r="A15" s="439" t="s">
        <v>2558</v>
      </c>
      <c r="B15" s="628" t="s">
        <v>2797</v>
      </c>
      <c r="C15" s="268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606" t="s">
        <v>2559</v>
      </c>
      <c r="Q15" s="1798" t="str">
        <f t="shared" si="6"/>
        <v>产业集聚程度</v>
      </c>
      <c r="R15" s="773" t="s">
        <v>17</v>
      </c>
      <c r="S15" s="774">
        <f t="shared" si="0"/>
        <v>100</v>
      </c>
      <c r="T15" s="773" t="s">
        <v>17</v>
      </c>
      <c r="U15" s="774">
        <f t="shared" si="1"/>
        <v>100</v>
      </c>
      <c r="V15" s="773" t="s">
        <v>17</v>
      </c>
      <c r="W15" s="774">
        <f t="shared" si="2"/>
        <v>100</v>
      </c>
      <c r="X15" s="1801"/>
      <c r="Y15" s="3606" t="s">
        <v>2559</v>
      </c>
      <c r="Z15" s="1802" t="str">
        <f t="shared" si="7"/>
        <v>产业集聚程度</v>
      </c>
      <c r="AA15" s="1799">
        <f t="shared" si="3"/>
        <v>1</v>
      </c>
      <c r="AB15" s="1799">
        <f t="shared" si="4"/>
        <v>1</v>
      </c>
      <c r="AC15" s="1799">
        <f t="shared" si="5"/>
        <v>1</v>
      </c>
    </row>
    <row r="16" spans="1:29" ht="15">
      <c r="A16" s="427"/>
      <c r="B16" s="629"/>
      <c r="C16" s="446"/>
      <c r="D16" s="447"/>
      <c r="E16" s="2599"/>
      <c r="F16" s="447"/>
      <c r="G16" s="2599"/>
      <c r="H16" s="449"/>
      <c r="I16" s="2599"/>
      <c r="J16" s="447"/>
      <c r="K16" s="671"/>
      <c r="L16" s="1139"/>
      <c r="M16" s="1130"/>
      <c r="N16" s="1130"/>
      <c r="O16" s="1138"/>
      <c r="P16" s="3607"/>
      <c r="Q16" s="1798"/>
      <c r="R16" s="773"/>
      <c r="S16" s="774"/>
      <c r="T16" s="773"/>
      <c r="U16" s="774"/>
      <c r="V16" s="773"/>
      <c r="W16" s="774"/>
      <c r="X16" s="1801"/>
      <c r="Y16" s="3607"/>
      <c r="Z16" s="1802"/>
      <c r="AA16" s="1799">
        <v>1</v>
      </c>
      <c r="AB16" s="1799">
        <v>1</v>
      </c>
      <c r="AC16" s="1799">
        <v>1</v>
      </c>
    </row>
    <row r="17" spans="1:29" ht="85.5">
      <c r="A17" s="427"/>
      <c r="B17" s="630" t="s">
        <v>2708</v>
      </c>
      <c r="C17" s="259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607"/>
      <c r="Q17" s="1798" t="str">
        <f>B17</f>
        <v>交通便捷度</v>
      </c>
      <c r="R17" s="773" t="s">
        <v>17</v>
      </c>
      <c r="S17" s="774">
        <f>F17</f>
        <v>100</v>
      </c>
      <c r="T17" s="773" t="s">
        <v>17</v>
      </c>
      <c r="U17" s="774">
        <f>H17</f>
        <v>100</v>
      </c>
      <c r="V17" s="773" t="s">
        <v>17</v>
      </c>
      <c r="W17" s="774">
        <f>J17</f>
        <v>100</v>
      </c>
      <c r="X17" s="1801"/>
      <c r="Y17" s="3607"/>
      <c r="Z17" s="1802" t="str">
        <f>Q17</f>
        <v>交通便捷度</v>
      </c>
      <c r="AA17" s="1799">
        <f t="shared" si="3"/>
        <v>1</v>
      </c>
      <c r="AB17" s="1799">
        <f t="shared" si="4"/>
        <v>1</v>
      </c>
      <c r="AC17" s="1799">
        <f t="shared" si="5"/>
        <v>1</v>
      </c>
    </row>
    <row r="18" spans="1:29" ht="15">
      <c r="A18" s="427"/>
      <c r="B18" s="631"/>
      <c r="C18" s="446"/>
      <c r="D18" s="447"/>
      <c r="E18" s="2593"/>
      <c r="F18" s="447"/>
      <c r="G18" s="2593"/>
      <c r="H18" s="447"/>
      <c r="I18" s="2592"/>
      <c r="J18" s="447"/>
      <c r="K18" s="671"/>
      <c r="L18" s="1139"/>
      <c r="M18" s="1130"/>
      <c r="N18" s="1130"/>
      <c r="O18" s="1138"/>
      <c r="P18" s="3607"/>
      <c r="Q18" s="1798"/>
      <c r="R18" s="773"/>
      <c r="S18" s="774"/>
      <c r="T18" s="773"/>
      <c r="U18" s="774"/>
      <c r="V18" s="773"/>
      <c r="W18" s="774"/>
      <c r="X18" s="1801"/>
      <c r="Y18" s="3607"/>
      <c r="Z18" s="1802"/>
      <c r="AA18" s="1799">
        <v>1</v>
      </c>
      <c r="AB18" s="1799">
        <v>1</v>
      </c>
      <c r="AC18" s="1799">
        <v>1</v>
      </c>
    </row>
    <row r="19" spans="1:29" ht="15">
      <c r="A19" s="427"/>
      <c r="B19" s="630" t="s">
        <v>2747</v>
      </c>
      <c r="C19" s="259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607"/>
      <c r="Q19" s="1798" t="str">
        <f t="shared" ref="Q19:Q33" si="8">B19</f>
        <v>区域土地利用方向</v>
      </c>
      <c r="R19" s="773" t="s">
        <v>17</v>
      </c>
      <c r="S19" s="774">
        <f>F19</f>
        <v>100</v>
      </c>
      <c r="T19" s="773" t="s">
        <v>17</v>
      </c>
      <c r="U19" s="774">
        <f>H19</f>
        <v>100</v>
      </c>
      <c r="V19" s="773" t="s">
        <v>17</v>
      </c>
      <c r="W19" s="774">
        <f>J19</f>
        <v>100</v>
      </c>
      <c r="X19" s="1801"/>
      <c r="Y19" s="3607"/>
      <c r="Z19" s="1802" t="str">
        <f>Q19</f>
        <v>区域土地利用方向</v>
      </c>
      <c r="AA19" s="1799">
        <f t="shared" si="3"/>
        <v>1</v>
      </c>
      <c r="AB19" s="1799">
        <f t="shared" si="4"/>
        <v>1</v>
      </c>
      <c r="AC19" s="1799">
        <f t="shared" si="5"/>
        <v>1</v>
      </c>
    </row>
    <row r="20" spans="1:29" ht="15">
      <c r="A20" s="403"/>
      <c r="B20" s="631"/>
      <c r="C20" s="446"/>
      <c r="D20" s="447"/>
      <c r="E20" s="2593"/>
      <c r="F20" s="447"/>
      <c r="G20" s="2593"/>
      <c r="H20" s="447"/>
      <c r="I20" s="2593"/>
      <c r="J20" s="447"/>
      <c r="K20" s="811"/>
      <c r="L20" s="1139"/>
      <c r="M20" s="1130"/>
      <c r="N20" s="1130"/>
      <c r="O20" s="1138"/>
      <c r="P20" s="3607"/>
      <c r="Q20" s="1798"/>
      <c r="R20" s="773"/>
      <c r="S20" s="774"/>
      <c r="T20" s="773"/>
      <c r="U20" s="774"/>
      <c r="V20" s="773"/>
      <c r="W20" s="774"/>
      <c r="X20" s="1801"/>
      <c r="Y20" s="3607"/>
      <c r="Z20" s="1802"/>
      <c r="AA20" s="1799"/>
      <c r="AB20" s="1799"/>
      <c r="AC20" s="1799"/>
    </row>
    <row r="21" spans="1:29" ht="71.25">
      <c r="A21" s="403"/>
      <c r="B21" s="630" t="s">
        <v>2798</v>
      </c>
      <c r="C21" s="259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607"/>
      <c r="Q21" s="1798" t="str">
        <f t="shared" si="8"/>
        <v>环境状况</v>
      </c>
      <c r="R21" s="773" t="s">
        <v>17</v>
      </c>
      <c r="S21" s="774">
        <f>F21</f>
        <v>100</v>
      </c>
      <c r="T21" s="773" t="s">
        <v>17</v>
      </c>
      <c r="U21" s="774">
        <f>H21</f>
        <v>100</v>
      </c>
      <c r="V21" s="773" t="s">
        <v>17</v>
      </c>
      <c r="W21" s="774">
        <f>J21</f>
        <v>100</v>
      </c>
      <c r="X21" s="1801"/>
      <c r="Y21" s="3607"/>
      <c r="Z21" s="1802" t="str">
        <f>Q21</f>
        <v>环境状况</v>
      </c>
      <c r="AA21" s="1799">
        <f t="shared" si="3"/>
        <v>1</v>
      </c>
      <c r="AB21" s="1799">
        <f t="shared" si="4"/>
        <v>1</v>
      </c>
      <c r="AC21" s="1799">
        <f t="shared" si="5"/>
        <v>1</v>
      </c>
    </row>
    <row r="22" spans="1:29" ht="15">
      <c r="A22" s="403"/>
      <c r="B22" s="631"/>
      <c r="C22" s="446"/>
      <c r="D22" s="447"/>
      <c r="E22" s="2599"/>
      <c r="F22" s="447"/>
      <c r="G22" s="2599"/>
      <c r="H22" s="447"/>
      <c r="I22" s="446"/>
      <c r="J22" s="447"/>
      <c r="K22" s="671"/>
      <c r="L22" s="1139"/>
      <c r="M22" s="1130"/>
      <c r="N22" s="1130"/>
      <c r="O22" s="1138"/>
      <c r="P22" s="3607"/>
      <c r="Q22" s="1798"/>
      <c r="R22" s="773"/>
      <c r="S22" s="774"/>
      <c r="T22" s="773"/>
      <c r="U22" s="774"/>
      <c r="V22" s="773"/>
      <c r="W22" s="774"/>
      <c r="X22" s="1801"/>
      <c r="Y22" s="3607"/>
      <c r="Z22" s="1802"/>
      <c r="AA22" s="1799">
        <v>1</v>
      </c>
      <c r="AB22" s="1799">
        <v>1</v>
      </c>
      <c r="AC22" s="1799">
        <v>1</v>
      </c>
    </row>
    <row r="23" spans="1:29" s="116" customFormat="1" ht="42.75">
      <c r="A23" s="648"/>
      <c r="B23" s="632" t="s">
        <v>2653</v>
      </c>
      <c r="C23" s="259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607"/>
      <c r="Q23" s="1783" t="str">
        <f t="shared" si="8"/>
        <v>公共配套设施</v>
      </c>
      <c r="R23" s="769" t="s">
        <v>17</v>
      </c>
      <c r="S23" s="770">
        <f>F23</f>
        <v>100</v>
      </c>
      <c r="T23" s="769" t="s">
        <v>17</v>
      </c>
      <c r="U23" s="770">
        <f>H23</f>
        <v>100</v>
      </c>
      <c r="V23" s="769" t="s">
        <v>17</v>
      </c>
      <c r="W23" s="770">
        <f>J23</f>
        <v>100</v>
      </c>
      <c r="X23" s="771"/>
      <c r="Y23" s="3607"/>
      <c r="Z23" s="55" t="str">
        <f>Q23</f>
        <v>公共配套设施</v>
      </c>
      <c r="AA23" s="1799">
        <f>D23/F23</f>
        <v>1</v>
      </c>
      <c r="AB23" s="1799">
        <f>D23/H23</f>
        <v>1</v>
      </c>
      <c r="AC23" s="1799">
        <f>D23/J23</f>
        <v>1</v>
      </c>
    </row>
    <row r="24" spans="1:29" s="116" customFormat="1" ht="15">
      <c r="A24" s="648"/>
      <c r="B24" s="631"/>
      <c r="C24" s="2688"/>
      <c r="D24" s="447"/>
      <c r="E24" s="2599"/>
      <c r="F24" s="447"/>
      <c r="G24" s="2599"/>
      <c r="H24" s="447"/>
      <c r="I24" s="446"/>
      <c r="J24" s="447"/>
      <c r="K24" s="671"/>
      <c r="L24" s="1131"/>
      <c r="M24" s="1132"/>
      <c r="N24" s="1132"/>
      <c r="O24" s="1133"/>
      <c r="P24" s="3607"/>
      <c r="Q24" s="1783"/>
      <c r="R24" s="769"/>
      <c r="S24" s="770"/>
      <c r="T24" s="769"/>
      <c r="U24" s="770"/>
      <c r="V24" s="769"/>
      <c r="W24" s="770"/>
      <c r="X24" s="771"/>
      <c r="Y24" s="3607"/>
      <c r="Z24" s="55"/>
      <c r="AA24" s="772">
        <v>1</v>
      </c>
      <c r="AB24" s="772">
        <v>1</v>
      </c>
      <c r="AC24" s="772">
        <v>1</v>
      </c>
    </row>
    <row r="25" spans="1:29" s="116" customFormat="1" ht="28.5">
      <c r="A25" s="648"/>
      <c r="B25" s="632" t="s">
        <v>2654</v>
      </c>
      <c r="C25" s="259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607"/>
      <c r="Q25" s="1783" t="str">
        <f t="shared" ref="Q25" si="9">B25</f>
        <v>基础设施水平</v>
      </c>
      <c r="R25" s="769" t="s">
        <v>17</v>
      </c>
      <c r="S25" s="770">
        <f>F25</f>
        <v>100</v>
      </c>
      <c r="T25" s="769" t="s">
        <v>17</v>
      </c>
      <c r="U25" s="770">
        <f>H25</f>
        <v>100</v>
      </c>
      <c r="V25" s="769" t="s">
        <v>17</v>
      </c>
      <c r="W25" s="770">
        <f>J25</f>
        <v>100</v>
      </c>
      <c r="X25" s="771"/>
      <c r="Y25" s="3607"/>
      <c r="Z25" s="55" t="str">
        <f>Q25</f>
        <v>基础设施水平</v>
      </c>
      <c r="AA25" s="1799">
        <f>D25/F25</f>
        <v>1</v>
      </c>
      <c r="AB25" s="1799">
        <f>D25/H25</f>
        <v>1</v>
      </c>
      <c r="AC25" s="1799">
        <f>D25/J25</f>
        <v>1</v>
      </c>
    </row>
    <row r="26" spans="1:29" s="116" customFormat="1" ht="15">
      <c r="A26" s="648"/>
      <c r="B26" s="631"/>
      <c r="C26" s="2688"/>
      <c r="D26" s="447"/>
      <c r="E26" s="2689"/>
      <c r="F26" s="447"/>
      <c r="G26" s="2689"/>
      <c r="H26" s="447"/>
      <c r="I26" s="2689"/>
      <c r="J26" s="447"/>
      <c r="K26" s="671"/>
      <c r="L26" s="1131"/>
      <c r="M26" s="1132"/>
      <c r="N26" s="1132"/>
      <c r="O26" s="1133"/>
      <c r="P26" s="3607"/>
      <c r="Q26" s="1783"/>
      <c r="R26" s="769"/>
      <c r="S26" s="770"/>
      <c r="T26" s="769"/>
      <c r="U26" s="770"/>
      <c r="V26" s="769"/>
      <c r="W26" s="770"/>
      <c r="X26" s="771"/>
      <c r="Y26" s="3607"/>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607"/>
      <c r="Q27" s="1798" t="str">
        <f t="shared" si="8"/>
        <v>临街状况</v>
      </c>
      <c r="R27" s="773" t="s">
        <v>17</v>
      </c>
      <c r="S27" s="774">
        <f t="shared" ref="S27:S40" si="10">F27</f>
        <v>100</v>
      </c>
      <c r="T27" s="773" t="s">
        <v>17</v>
      </c>
      <c r="U27" s="774">
        <f t="shared" ref="U27:U40" si="11">H27</f>
        <v>100</v>
      </c>
      <c r="V27" s="773" t="s">
        <v>17</v>
      </c>
      <c r="W27" s="774">
        <f t="shared" ref="W27:W40" si="12">J27</f>
        <v>100</v>
      </c>
      <c r="X27" s="1801"/>
      <c r="Y27" s="3607"/>
      <c r="Z27" s="1802" t="str">
        <f t="shared" ref="Z27:Z40" si="13">Q27</f>
        <v>临街状况</v>
      </c>
      <c r="AA27" s="1799">
        <f t="shared" si="3"/>
        <v>1</v>
      </c>
      <c r="AB27" s="1799">
        <f t="shared" si="4"/>
        <v>1</v>
      </c>
      <c r="AC27" s="1799">
        <f t="shared" si="5"/>
        <v>1</v>
      </c>
    </row>
    <row r="28" spans="1:29" ht="27">
      <c r="A28" s="427"/>
      <c r="B28" s="632" t="s">
        <v>2690</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607"/>
      <c r="Q28" s="1798" t="str">
        <f t="shared" si="8"/>
        <v>毗邻道路的类型与等级</v>
      </c>
      <c r="R28" s="773" t="s">
        <v>17</v>
      </c>
      <c r="S28" s="774">
        <f t="shared" si="10"/>
        <v>100</v>
      </c>
      <c r="T28" s="773" t="s">
        <v>17</v>
      </c>
      <c r="U28" s="774">
        <f t="shared" si="11"/>
        <v>100</v>
      </c>
      <c r="V28" s="773" t="s">
        <v>17</v>
      </c>
      <c r="W28" s="774">
        <f t="shared" si="12"/>
        <v>100</v>
      </c>
      <c r="X28" s="1801"/>
      <c r="Y28" s="3607"/>
      <c r="Z28" s="1802" t="str">
        <f t="shared" si="13"/>
        <v>毗邻道路的类型与等级</v>
      </c>
      <c r="AA28" s="1799">
        <f t="shared" si="3"/>
        <v>1</v>
      </c>
      <c r="AB28" s="1799">
        <f t="shared" si="4"/>
        <v>1</v>
      </c>
      <c r="AC28" s="1799">
        <f t="shared" si="5"/>
        <v>1</v>
      </c>
    </row>
    <row r="29" spans="1:29" ht="15">
      <c r="A29" s="427"/>
      <c r="B29" s="631"/>
      <c r="C29" s="446"/>
      <c r="D29" s="447"/>
      <c r="E29" s="2599"/>
      <c r="F29" s="447"/>
      <c r="G29" s="2599"/>
      <c r="H29" s="447"/>
      <c r="I29" s="2599"/>
      <c r="J29" s="447"/>
      <c r="K29" s="612"/>
      <c r="L29" s="1139"/>
      <c r="M29" s="1130"/>
      <c r="N29" s="1130"/>
      <c r="O29" s="1138"/>
      <c r="P29" s="3607"/>
      <c r="Q29" s="1798"/>
      <c r="R29" s="773"/>
      <c r="S29" s="774"/>
      <c r="T29" s="773"/>
      <c r="U29" s="774"/>
      <c r="V29" s="773"/>
      <c r="W29" s="774"/>
      <c r="X29" s="1801"/>
      <c r="Y29" s="3607"/>
      <c r="Z29" s="1802"/>
      <c r="AA29" s="1799">
        <v>1</v>
      </c>
      <c r="AB29" s="1799">
        <v>1</v>
      </c>
      <c r="AC29" s="1799">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607"/>
      <c r="Q30" s="1798" t="str">
        <f t="shared" si="8"/>
        <v>土地级别</v>
      </c>
      <c r="R30" s="773" t="s">
        <v>17</v>
      </c>
      <c r="S30" s="774">
        <f t="shared" si="10"/>
        <v>100</v>
      </c>
      <c r="T30" s="773" t="s">
        <v>17</v>
      </c>
      <c r="U30" s="774">
        <f t="shared" si="11"/>
        <v>100</v>
      </c>
      <c r="V30" s="773" t="s">
        <v>17</v>
      </c>
      <c r="W30" s="774">
        <f t="shared" si="12"/>
        <v>100</v>
      </c>
      <c r="X30" s="1801"/>
      <c r="Y30" s="3607"/>
      <c r="Z30" s="1802" t="str">
        <f t="shared" si="13"/>
        <v>土地级别</v>
      </c>
      <c r="AA30" s="1799">
        <f t="shared" si="3"/>
        <v>1</v>
      </c>
      <c r="AB30" s="1799">
        <f t="shared" si="4"/>
        <v>1</v>
      </c>
      <c r="AC30" s="1799">
        <f t="shared" si="5"/>
        <v>1</v>
      </c>
    </row>
    <row r="31" spans="1:29" ht="15">
      <c r="A31" s="403"/>
      <c r="B31" s="266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607"/>
      <c r="Q31" s="1798">
        <f t="shared" si="8"/>
        <v>111</v>
      </c>
      <c r="R31" s="773" t="s">
        <v>17</v>
      </c>
      <c r="S31" s="774">
        <f t="shared" si="10"/>
        <v>100</v>
      </c>
      <c r="T31" s="773" t="s">
        <v>17</v>
      </c>
      <c r="U31" s="774">
        <f t="shared" si="11"/>
        <v>100</v>
      </c>
      <c r="V31" s="773" t="s">
        <v>17</v>
      </c>
      <c r="W31" s="774">
        <f t="shared" si="12"/>
        <v>100</v>
      </c>
      <c r="X31" s="1801"/>
      <c r="Y31" s="3607"/>
      <c r="Z31" s="1802">
        <f t="shared" si="13"/>
        <v>111</v>
      </c>
      <c r="AA31" s="1799">
        <f t="shared" si="3"/>
        <v>1</v>
      </c>
      <c r="AB31" s="1799">
        <f t="shared" si="4"/>
        <v>1</v>
      </c>
      <c r="AC31" s="1799">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687" t="s">
        <v>2564</v>
      </c>
      <c r="Q32" s="1798">
        <f t="shared" si="8"/>
        <v>111</v>
      </c>
      <c r="R32" s="773" t="s">
        <v>17</v>
      </c>
      <c r="S32" s="774">
        <f t="shared" si="10"/>
        <v>100</v>
      </c>
      <c r="T32" s="773" t="s">
        <v>17</v>
      </c>
      <c r="U32" s="774">
        <f t="shared" si="11"/>
        <v>100</v>
      </c>
      <c r="V32" s="773" t="s">
        <v>17</v>
      </c>
      <c r="W32" s="774">
        <f t="shared" si="12"/>
        <v>100</v>
      </c>
      <c r="X32" s="1801"/>
      <c r="Y32" s="3611" t="s">
        <v>2564</v>
      </c>
      <c r="Z32" s="1802">
        <f t="shared" si="13"/>
        <v>111</v>
      </c>
      <c r="AA32" s="1799">
        <f t="shared" si="3"/>
        <v>1</v>
      </c>
      <c r="AB32" s="1799">
        <f t="shared" si="4"/>
        <v>1</v>
      </c>
      <c r="AC32" s="1799">
        <f t="shared" si="5"/>
        <v>1</v>
      </c>
    </row>
    <row r="33" spans="1:29" s="470" customFormat="1" ht="15.75" thickBot="1">
      <c r="A33" s="675"/>
      <c r="B33" s="270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611"/>
      <c r="Q33" s="1798">
        <f t="shared" si="8"/>
        <v>111</v>
      </c>
      <c r="R33" s="776" t="s">
        <v>17</v>
      </c>
      <c r="S33" s="777">
        <f t="shared" si="10"/>
        <v>100</v>
      </c>
      <c r="T33" s="776" t="s">
        <v>17</v>
      </c>
      <c r="U33" s="777">
        <f t="shared" si="11"/>
        <v>100</v>
      </c>
      <c r="V33" s="776" t="s">
        <v>17</v>
      </c>
      <c r="W33" s="777">
        <f t="shared" si="12"/>
        <v>100</v>
      </c>
      <c r="X33" s="778"/>
      <c r="Y33" s="3611"/>
      <c r="Z33" s="779">
        <f t="shared" si="13"/>
        <v>111</v>
      </c>
      <c r="AA33" s="1799">
        <f t="shared" si="3"/>
        <v>1</v>
      </c>
      <c r="AB33" s="1799">
        <f t="shared" si="4"/>
        <v>1</v>
      </c>
      <c r="AC33" s="1799">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611"/>
      <c r="Q34" s="1798" t="str">
        <f>B34</f>
        <v>宗地面积</v>
      </c>
      <c r="R34" s="773" t="s">
        <v>17</v>
      </c>
      <c r="S34" s="774" t="e">
        <f t="shared" si="10"/>
        <v>#N/A</v>
      </c>
      <c r="T34" s="773" t="s">
        <v>17</v>
      </c>
      <c r="U34" s="774" t="e">
        <f t="shared" si="11"/>
        <v>#N/A</v>
      </c>
      <c r="V34" s="773" t="s">
        <v>17</v>
      </c>
      <c r="W34" s="774" t="e">
        <f t="shared" si="12"/>
        <v>#N/A</v>
      </c>
      <c r="X34" s="1801"/>
      <c r="Y34" s="3611"/>
      <c r="Z34" s="1802" t="str">
        <f t="shared" si="13"/>
        <v>宗地面积</v>
      </c>
      <c r="AA34" s="1799" t="e">
        <f t="shared" si="3"/>
        <v>#N/A</v>
      </c>
      <c r="AB34" s="1799" t="e">
        <f t="shared" si="4"/>
        <v>#N/A</v>
      </c>
      <c r="AC34" s="1799" t="e">
        <f t="shared" si="5"/>
        <v>#N/A</v>
      </c>
    </row>
    <row r="35" spans="1:29" ht="15">
      <c r="A35" s="471"/>
      <c r="B35" s="421" t="s">
        <v>2751</v>
      </c>
      <c r="C35" s="2601"/>
      <c r="D35" s="434">
        <v>100</v>
      </c>
      <c r="E35" s="2601"/>
      <c r="F35" s="434">
        <f>SUMIF(110:110,E35,111:111)-SUMIF(110:110,C35,111:111)+100</f>
        <v>100</v>
      </c>
      <c r="G35" s="2601"/>
      <c r="H35" s="434">
        <f>SUMIF(110:110,G35,111:111)-SUMIF(110:110,C35,111:111)+100</f>
        <v>100</v>
      </c>
      <c r="I35" s="2601"/>
      <c r="J35" s="434">
        <f>SUMIF(110:110,I35,111:111)-SUMIF(110:110,C35,111:111)+100</f>
        <v>100</v>
      </c>
      <c r="K35" s="611"/>
      <c r="L35" s="1139"/>
      <c r="M35" s="1130"/>
      <c r="N35" s="1130"/>
      <c r="O35" s="1138"/>
      <c r="P35" s="3611"/>
      <c r="Q35" s="1798" t="str">
        <f t="shared" ref="Q35:Q40" si="14">B35</f>
        <v>宗地形状</v>
      </c>
      <c r="R35" s="773" t="s">
        <v>17</v>
      </c>
      <c r="S35" s="774">
        <f t="shared" si="10"/>
        <v>100</v>
      </c>
      <c r="T35" s="773" t="s">
        <v>17</v>
      </c>
      <c r="U35" s="774">
        <f t="shared" si="11"/>
        <v>100</v>
      </c>
      <c r="V35" s="773" t="s">
        <v>17</v>
      </c>
      <c r="W35" s="774">
        <f t="shared" si="12"/>
        <v>100</v>
      </c>
      <c r="X35" s="1801"/>
      <c r="Y35" s="3611"/>
      <c r="Z35" s="1802" t="str">
        <f t="shared" si="13"/>
        <v>宗地形状</v>
      </c>
      <c r="AA35" s="1799">
        <f t="shared" si="3"/>
        <v>1</v>
      </c>
      <c r="AB35" s="1799">
        <f t="shared" si="4"/>
        <v>1</v>
      </c>
      <c r="AC35" s="1799">
        <f t="shared" si="5"/>
        <v>1</v>
      </c>
    </row>
    <row r="36" spans="1:29" s="116" customFormat="1" ht="15">
      <c r="A36" s="472"/>
      <c r="B36" s="421" t="s">
        <v>2753</v>
      </c>
      <c r="C36" s="2690"/>
      <c r="D36" s="135">
        <v>100</v>
      </c>
      <c r="E36" s="2690"/>
      <c r="F36" s="434">
        <f>SUMIF(112:112,E36,113:113)-SUMIF(112:112,C36,113:113)+100</f>
        <v>100</v>
      </c>
      <c r="G36" s="2690"/>
      <c r="H36" s="434">
        <f>SUMIF(112:112,G36,113:113)-SUMIF(112:112,C36,113:113)+100</f>
        <v>100</v>
      </c>
      <c r="I36" s="2690"/>
      <c r="J36" s="434">
        <f>SUMIF(112:112,I36,113:113)-SUMIF(112:112,C36,113:113)+100</f>
        <v>100</v>
      </c>
      <c r="K36" s="611"/>
      <c r="L36" s="1131"/>
      <c r="M36" s="1132"/>
      <c r="N36" s="1132"/>
      <c r="O36" s="1133"/>
      <c r="P36" s="3611"/>
      <c r="Q36" s="1798" t="str">
        <f t="shared" si="14"/>
        <v>宗地开发程度</v>
      </c>
      <c r="R36" s="769" t="s">
        <v>17</v>
      </c>
      <c r="S36" s="770">
        <f t="shared" si="10"/>
        <v>100</v>
      </c>
      <c r="T36" s="769" t="s">
        <v>17</v>
      </c>
      <c r="U36" s="770">
        <f t="shared" si="11"/>
        <v>100</v>
      </c>
      <c r="V36" s="769" t="s">
        <v>17</v>
      </c>
      <c r="W36" s="770">
        <f t="shared" si="12"/>
        <v>100</v>
      </c>
      <c r="X36" s="771"/>
      <c r="Y36" s="3611"/>
      <c r="Z36" s="55" t="str">
        <f t="shared" si="13"/>
        <v>宗地开发程度</v>
      </c>
      <c r="AA36" s="772">
        <f t="shared" si="3"/>
        <v>1</v>
      </c>
      <c r="AB36" s="772">
        <f t="shared" si="4"/>
        <v>1</v>
      </c>
      <c r="AC36" s="772">
        <f t="shared" si="5"/>
        <v>1</v>
      </c>
    </row>
    <row r="37" spans="1:29" ht="15">
      <c r="A37" s="471"/>
      <c r="B37" s="421" t="s">
        <v>2754</v>
      </c>
      <c r="C37" s="2601"/>
      <c r="D37" s="434">
        <v>100</v>
      </c>
      <c r="E37" s="2601"/>
      <c r="F37" s="434">
        <f>SUMIF(114:114,E37,115:115)-SUMIF(114:114,C37,115:115)+100</f>
        <v>100</v>
      </c>
      <c r="G37" s="2601"/>
      <c r="H37" s="434">
        <f>SUMIF(114:114,G37,115:115)-SUMIF(114:114,C37,115:115)+100</f>
        <v>100</v>
      </c>
      <c r="I37" s="2601"/>
      <c r="J37" s="434">
        <f>SUMIF(114:114,I37,115:115)-SUMIF(114:114,C37,115:115)+100</f>
        <v>100</v>
      </c>
      <c r="K37" s="611"/>
      <c r="L37" s="1139"/>
      <c r="M37" s="1130"/>
      <c r="N37" s="1130"/>
      <c r="O37" s="1138"/>
      <c r="P37" s="3611" t="s">
        <v>2564</v>
      </c>
      <c r="Q37" s="1798" t="str">
        <f t="shared" si="14"/>
        <v>工程地质条件</v>
      </c>
      <c r="R37" s="773" t="s">
        <v>17</v>
      </c>
      <c r="S37" s="774">
        <f t="shared" si="10"/>
        <v>100</v>
      </c>
      <c r="T37" s="773" t="s">
        <v>17</v>
      </c>
      <c r="U37" s="774">
        <f t="shared" si="11"/>
        <v>100</v>
      </c>
      <c r="V37" s="773" t="s">
        <v>17</v>
      </c>
      <c r="W37" s="774">
        <f t="shared" si="12"/>
        <v>100</v>
      </c>
      <c r="X37" s="1801"/>
      <c r="Y37" s="3611" t="s">
        <v>2564</v>
      </c>
      <c r="Z37" s="1802" t="str">
        <f t="shared" si="13"/>
        <v>工程地质条件</v>
      </c>
      <c r="AA37" s="1799">
        <f t="shared" si="3"/>
        <v>1</v>
      </c>
      <c r="AB37" s="1799">
        <f t="shared" si="4"/>
        <v>1</v>
      </c>
      <c r="AC37" s="1799">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611"/>
      <c r="Q38" s="1798">
        <f t="shared" si="14"/>
        <v>111</v>
      </c>
      <c r="R38" s="773" t="s">
        <v>17</v>
      </c>
      <c r="S38" s="774">
        <f t="shared" si="10"/>
        <v>100</v>
      </c>
      <c r="T38" s="773" t="s">
        <v>17</v>
      </c>
      <c r="U38" s="774">
        <f t="shared" si="11"/>
        <v>100</v>
      </c>
      <c r="V38" s="773" t="s">
        <v>17</v>
      </c>
      <c r="W38" s="774">
        <f t="shared" si="12"/>
        <v>100</v>
      </c>
      <c r="X38" s="1801"/>
      <c r="Y38" s="3611"/>
      <c r="Z38" s="1802">
        <f t="shared" si="13"/>
        <v>111</v>
      </c>
      <c r="AA38" s="1799">
        <f t="shared" si="3"/>
        <v>1</v>
      </c>
      <c r="AB38" s="1799">
        <f t="shared" si="4"/>
        <v>1</v>
      </c>
      <c r="AC38" s="1799">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611"/>
      <c r="Q39" s="1798">
        <f t="shared" si="14"/>
        <v>111</v>
      </c>
      <c r="R39" s="773" t="s">
        <v>17</v>
      </c>
      <c r="S39" s="774">
        <f t="shared" si="10"/>
        <v>100</v>
      </c>
      <c r="T39" s="773" t="s">
        <v>17</v>
      </c>
      <c r="U39" s="774">
        <f t="shared" si="11"/>
        <v>100</v>
      </c>
      <c r="V39" s="773" t="s">
        <v>17</v>
      </c>
      <c r="W39" s="774">
        <f t="shared" si="12"/>
        <v>100</v>
      </c>
      <c r="X39" s="1801"/>
      <c r="Y39" s="3611"/>
      <c r="Z39" s="1802">
        <f t="shared" si="13"/>
        <v>111</v>
      </c>
      <c r="AA39" s="1799">
        <f t="shared" si="3"/>
        <v>1</v>
      </c>
      <c r="AB39" s="1799">
        <f t="shared" si="4"/>
        <v>1</v>
      </c>
      <c r="AC39" s="1799">
        <f t="shared" si="5"/>
        <v>1</v>
      </c>
    </row>
    <row r="40" spans="1:29" s="470" customFormat="1" ht="15.75" thickBot="1">
      <c r="A40" s="467"/>
      <c r="B40" s="1383">
        <v>111</v>
      </c>
      <c r="C40" s="269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611"/>
      <c r="Q40" s="1798">
        <f t="shared" si="14"/>
        <v>111</v>
      </c>
      <c r="R40" s="776" t="s">
        <v>17</v>
      </c>
      <c r="S40" s="777">
        <f t="shared" si="10"/>
        <v>100</v>
      </c>
      <c r="T40" s="776" t="s">
        <v>17</v>
      </c>
      <c r="U40" s="777">
        <f t="shared" si="11"/>
        <v>100</v>
      </c>
      <c r="V40" s="776" t="s">
        <v>17</v>
      </c>
      <c r="W40" s="777">
        <f t="shared" si="12"/>
        <v>100</v>
      </c>
      <c r="X40" s="778"/>
      <c r="Y40" s="3611"/>
      <c r="Z40" s="779">
        <f t="shared" si="13"/>
        <v>111</v>
      </c>
      <c r="AA40" s="1799">
        <f t="shared" si="3"/>
        <v>1</v>
      </c>
      <c r="AB40" s="1799">
        <f t="shared" si="4"/>
        <v>1</v>
      </c>
      <c r="AC40" s="1799">
        <f t="shared" si="5"/>
        <v>1</v>
      </c>
    </row>
    <row r="41" spans="1:29" ht="15">
      <c r="A41" s="478" t="s">
        <v>2719</v>
      </c>
      <c r="B41" s="2692" t="s">
        <v>2799</v>
      </c>
      <c r="C41" s="681" t="s">
        <v>1</v>
      </c>
      <c r="D41" s="480"/>
      <c r="E41" s="481"/>
      <c r="F41" s="482"/>
      <c r="G41" s="483"/>
      <c r="H41" s="484"/>
      <c r="I41" s="481"/>
      <c r="J41" s="484"/>
      <c r="K41" s="782"/>
      <c r="L41" s="1142"/>
      <c r="M41" s="1130"/>
      <c r="N41" s="1130"/>
      <c r="O41" s="1143"/>
      <c r="P41" s="3613" t="str">
        <f>A41</f>
        <v>成交单价</v>
      </c>
      <c r="Q41" s="3613"/>
      <c r="R41" s="3574">
        <f>E41</f>
        <v>0</v>
      </c>
      <c r="S41" s="3574"/>
      <c r="T41" s="3574">
        <f>G41</f>
        <v>0</v>
      </c>
      <c r="U41" s="3574"/>
      <c r="V41" s="3574">
        <f>I41</f>
        <v>0</v>
      </c>
      <c r="W41" s="3574"/>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613" t="str">
        <f>A42</f>
        <v>比较价值（元/平方米）</v>
      </c>
      <c r="Q42" s="3613"/>
      <c r="R42" s="3688" t="e">
        <f>ROUND(PRODUCT(R41,AA7:AA40),0)</f>
        <v>#DIV/0!</v>
      </c>
      <c r="S42" s="3688"/>
      <c r="T42" s="3688" t="e">
        <f>ROUND(PRODUCT(T41,AB7:AB40),0)</f>
        <v>#DIV/0!</v>
      </c>
      <c r="U42" s="3688"/>
      <c r="V42" s="3688" t="e">
        <f>ROUND(PRODUCT(V41,AC7:AC40),0)</f>
        <v>#DIV/0!</v>
      </c>
      <c r="W42" s="3688"/>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615" t="str">
        <f>A43</f>
        <v>估价对象XX用房的比较价值（楼面单价，元/平方米）</v>
      </c>
      <c r="Q43" s="3616"/>
      <c r="R43" s="3689" t="e">
        <f>ROUND(AVERAGE(R42:V42),0)</f>
        <v>#DIV/0!</v>
      </c>
      <c r="S43" s="3689"/>
      <c r="T43" s="3689"/>
      <c r="U43" s="3689"/>
      <c r="V43" s="3689"/>
      <c r="W43" s="368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693" t="s">
        <v>2759</v>
      </c>
      <c r="D50" s="2694" t="s">
        <v>2760</v>
      </c>
      <c r="E50" s="685" t="s">
        <v>2761</v>
      </c>
      <c r="F50" s="686" t="s">
        <v>2762</v>
      </c>
      <c r="G50" s="3591" t="s">
        <v>2763</v>
      </c>
      <c r="H50" s="3690"/>
      <c r="I50" s="1802" t="s">
        <v>2800</v>
      </c>
      <c r="J50" s="1802">
        <f>项目基本情况!F35</f>
        <v>0</v>
      </c>
      <c r="K50" s="2696" t="s">
        <v>2765</v>
      </c>
      <c r="L50" s="1105"/>
      <c r="M50" s="1143"/>
      <c r="N50" s="1143"/>
      <c r="O50" s="1143"/>
    </row>
    <row r="51" spans="1:17" s="691" customFormat="1">
      <c r="A51" s="687" t="s">
        <v>2766</v>
      </c>
      <c r="B51" s="688" t="e">
        <f>C43</f>
        <v>#DIV/0!</v>
      </c>
      <c r="C51" s="689">
        <v>1</v>
      </c>
      <c r="D51" s="1162">
        <v>1</v>
      </c>
      <c r="E51" s="689">
        <f>'数据-汇总表'!E8+'数据-汇总表'!E9</f>
        <v>31258.720000000001</v>
      </c>
      <c r="F51" s="690" t="e">
        <f t="shared" ref="F51:F60" si="15">ROUND(B51*E51/10000,0)</f>
        <v>#DIV/0!</v>
      </c>
      <c r="G51" s="3590"/>
      <c r="H51" s="3613"/>
      <c r="I51" s="941">
        <v>1</v>
      </c>
      <c r="J51" s="941">
        <v>1</v>
      </c>
      <c r="K51" s="1144"/>
      <c r="L51" s="940"/>
      <c r="M51" s="940"/>
      <c r="N51" s="940"/>
      <c r="O51" s="940"/>
    </row>
    <row r="52" spans="1:17" s="691" customFormat="1">
      <c r="A52" s="692" t="s">
        <v>2767</v>
      </c>
      <c r="B52" s="261" t="e">
        <f>ROUND($C$43*C52*D52,0)</f>
        <v>#DIV/0!</v>
      </c>
      <c r="C52" s="199">
        <f t="shared" ref="C52:C60" si="16">IF($C$50="北京市系数",I52,J52)</f>
        <v>0.7</v>
      </c>
      <c r="D52" s="1163">
        <v>0.25</v>
      </c>
      <c r="E52" s="693"/>
      <c r="F52" s="690" t="e">
        <f t="shared" si="15"/>
        <v>#DIV/0!</v>
      </c>
      <c r="G52" s="3691" t="s">
        <v>2768</v>
      </c>
      <c r="H52" s="1103" t="str">
        <f>项目基本情况!B37</f>
        <v>六级</v>
      </c>
      <c r="I52" s="941">
        <f>SUMIF(修正!A45:A56,H52,修正!B45:B56)</f>
        <v>0.7</v>
      </c>
      <c r="J52" s="942"/>
      <c r="K52" s="1143"/>
      <c r="L52" s="940"/>
      <c r="M52" s="940"/>
      <c r="N52" s="940"/>
      <c r="O52" s="940"/>
    </row>
    <row r="53" spans="1:17" s="691" customFormat="1">
      <c r="A53" s="692" t="s">
        <v>2769</v>
      </c>
      <c r="B53" s="261" t="e">
        <f t="shared" ref="B53:B60" si="17">ROUND($C$43*C53*D53,0)</f>
        <v>#DIV/0!</v>
      </c>
      <c r="C53" s="199">
        <f t="shared" si="16"/>
        <v>0.4</v>
      </c>
      <c r="D53" s="1163">
        <v>0.25</v>
      </c>
      <c r="E53" s="693"/>
      <c r="F53" s="690" t="e">
        <f t="shared" si="15"/>
        <v>#DIV/0!</v>
      </c>
      <c r="G53" s="3691"/>
      <c r="H53" s="1103" t="str">
        <f>项目基本情况!B37</f>
        <v>六级</v>
      </c>
      <c r="I53" s="941">
        <f>SUMIF(修正!A45:A56,H53,修正!C45:C56)</f>
        <v>0.4</v>
      </c>
      <c r="J53" s="942"/>
      <c r="K53" s="1144"/>
      <c r="L53" s="940"/>
      <c r="M53" s="940"/>
      <c r="N53" s="940"/>
      <c r="O53" s="940"/>
    </row>
    <row r="54" spans="1:17" s="691" customFormat="1">
      <c r="A54" s="692" t="s">
        <v>2770</v>
      </c>
      <c r="B54" s="261" t="e">
        <f t="shared" si="17"/>
        <v>#DIV/0!</v>
      </c>
      <c r="C54" s="199">
        <f t="shared" si="16"/>
        <v>0.28000000000000003</v>
      </c>
      <c r="D54" s="1163">
        <v>0.25</v>
      </c>
      <c r="E54" s="693"/>
      <c r="F54" s="690" t="e">
        <f t="shared" si="15"/>
        <v>#DIV/0!</v>
      </c>
      <c r="G54" s="3691"/>
      <c r="H54" s="1103" t="str">
        <f>项目基本情况!B37</f>
        <v>六级</v>
      </c>
      <c r="I54" s="941">
        <f>SUMIF(修正!A45:A56,H54,修正!D45:D56)</f>
        <v>0.28000000000000003</v>
      </c>
      <c r="J54" s="942"/>
      <c r="K54" s="1143"/>
      <c r="L54" s="940"/>
      <c r="M54" s="940"/>
      <c r="N54" s="940"/>
      <c r="O54" s="940"/>
    </row>
    <row r="55" spans="1:17" s="691" customFormat="1">
      <c r="A55" s="692" t="s">
        <v>2771</v>
      </c>
      <c r="B55" s="261" t="e">
        <f t="shared" si="17"/>
        <v>#DIV/0!</v>
      </c>
      <c r="C55" s="199">
        <f t="shared" si="16"/>
        <v>0.25</v>
      </c>
      <c r="D55" s="1163">
        <v>0.25</v>
      </c>
      <c r="E55" s="693"/>
      <c r="F55" s="690" t="e">
        <f t="shared" si="15"/>
        <v>#DIV/0!</v>
      </c>
      <c r="G55" s="3691"/>
      <c r="H55" s="1103" t="str">
        <f>项目基本情况!B37</f>
        <v>六级</v>
      </c>
      <c r="I55" s="941">
        <f>SUMIF(修正!A45:A56,H55,修正!E45:E56)</f>
        <v>0.25</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697"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0.2</v>
      </c>
      <c r="D59" s="1163">
        <v>0.25</v>
      </c>
      <c r="E59" s="260">
        <f>'数据-汇总表'!E14</f>
        <v>0</v>
      </c>
      <c r="F59" s="690" t="e">
        <f t="shared" si="15"/>
        <v>#DIV/0!</v>
      </c>
      <c r="G59" s="2697" t="s">
        <v>2768</v>
      </c>
      <c r="H59" s="1103" t="str">
        <f>项目基本情况!B37</f>
        <v>六级</v>
      </c>
      <c r="I59" s="941">
        <f>SUMIF(修正!A45:A56,H59,修正!H45:H56)</f>
        <v>0.2</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698"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45212.18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699" t="s">
        <v>2781</v>
      </c>
      <c r="B65" s="1355"/>
      <c r="C65" s="1568" t="str">
        <f>YEAR(C63)&amp;"-"&amp;ROUNDUP(MONTH(C63)/3,0)</f>
        <v>2020-2</v>
      </c>
      <c r="D65" s="1568" t="str">
        <f t="shared" ref="D65:O65" si="19">YEAR(D63)&amp;"-"&amp;ROUNDUP(MONTH(D63)/3,0)</f>
        <v>2020-1</v>
      </c>
      <c r="E65" s="1568" t="str">
        <f t="shared" si="19"/>
        <v>2019-4</v>
      </c>
      <c r="F65" s="1568" t="str">
        <f t="shared" si="19"/>
        <v>2019-3</v>
      </c>
      <c r="G65" s="1568" t="str">
        <f t="shared" si="19"/>
        <v>2019-2</v>
      </c>
      <c r="H65" s="1568" t="str">
        <f t="shared" si="19"/>
        <v>2019-1</v>
      </c>
      <c r="I65" s="1568" t="str">
        <f t="shared" si="19"/>
        <v>2018-4</v>
      </c>
      <c r="J65" s="1568" t="str">
        <f t="shared" si="19"/>
        <v>2018-3</v>
      </c>
      <c r="K65" s="1568" t="str">
        <f t="shared" si="19"/>
        <v>2018-2</v>
      </c>
      <c r="L65" s="1568" t="str">
        <f t="shared" si="19"/>
        <v>2018-1</v>
      </c>
      <c r="M65" s="1568" t="str">
        <f t="shared" si="19"/>
        <v>2017-4</v>
      </c>
      <c r="N65" s="1568" t="str">
        <f t="shared" si="19"/>
        <v>2017-3</v>
      </c>
      <c r="O65" s="1568" t="str">
        <f t="shared" si="19"/>
        <v>2017-2</v>
      </c>
      <c r="P65" s="506"/>
    </row>
    <row r="66" spans="1:17" s="116" customFormat="1" ht="30.75" customHeight="1">
      <c r="A66" s="2704" t="s">
        <v>2801</v>
      </c>
      <c r="B66" s="331" t="str">
        <f>"北京市平均增长率"&amp;TEXT(基准地价修正!P24,"0.00%")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4" t="str">
        <f t="shared" si="25"/>
        <v>(含)-</v>
      </c>
      <c r="L107" s="1754" t="str">
        <f t="shared" si="25"/>
        <v>(含)-</v>
      </c>
      <c r="M107" s="175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19"/>
  <sheetViews>
    <sheetView workbookViewId="0">
      <selection activeCell="A15" sqref="A15:M15"/>
    </sheetView>
  </sheetViews>
  <sheetFormatPr defaultColWidth="8.125" defaultRowHeight="19.5" customHeight="1"/>
  <cols>
    <col min="1" max="1" width="13.625" style="815" customWidth="1"/>
    <col min="2" max="9" width="8.125" style="877" customWidth="1"/>
    <col min="10" max="13" width="8.125" style="815"/>
    <col min="14" max="14" width="10" style="815" customWidth="1"/>
    <col min="15" max="16" width="8.125" style="815"/>
    <col min="17" max="17" width="34.125" style="815" customWidth="1"/>
    <col min="18" max="18" width="8.125" style="815" customWidth="1"/>
    <col min="19" max="19" width="8.125" style="815"/>
    <col min="20" max="20" width="11.625" style="815" customWidth="1"/>
    <col min="21" max="16384" width="8.1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696" t="s">
        <v>183</v>
      </c>
      <c r="B18" s="881" t="s">
        <v>560</v>
      </c>
      <c r="C18" s="882" t="s">
        <v>561</v>
      </c>
      <c r="D18" s="883"/>
      <c r="E18" s="881">
        <v>1</v>
      </c>
      <c r="F18" s="884" t="s">
        <v>562</v>
      </c>
      <c r="G18" s="885"/>
      <c r="H18" s="877"/>
      <c r="I18" s="877"/>
    </row>
    <row r="19" spans="1:9" s="886" customFormat="1" ht="19.5" customHeight="1">
      <c r="A19" s="3696"/>
      <c r="B19" s="3696" t="s">
        <v>563</v>
      </c>
      <c r="C19" s="882" t="s">
        <v>564</v>
      </c>
      <c r="D19" s="883"/>
      <c r="E19" s="881">
        <v>0.9</v>
      </c>
      <c r="F19" s="884" t="s">
        <v>565</v>
      </c>
      <c r="G19" s="885"/>
      <c r="H19" s="877"/>
      <c r="I19" s="877"/>
    </row>
    <row r="20" spans="1:9" s="886" customFormat="1" ht="19.5" customHeight="1">
      <c r="A20" s="3696"/>
      <c r="B20" s="3696"/>
      <c r="C20" s="882" t="s">
        <v>566</v>
      </c>
      <c r="D20" s="883"/>
      <c r="E20" s="881">
        <v>1.1000000000000001</v>
      </c>
      <c r="F20" s="884" t="s">
        <v>567</v>
      </c>
      <c r="G20" s="885"/>
      <c r="H20" s="877"/>
      <c r="I20" s="877"/>
    </row>
    <row r="21" spans="1:9" s="886" customFormat="1" ht="19.5" customHeight="1">
      <c r="A21" s="3696"/>
      <c r="B21" s="3696"/>
      <c r="C21" s="882" t="s">
        <v>568</v>
      </c>
      <c r="D21" s="883"/>
      <c r="E21" s="881">
        <v>0.8</v>
      </c>
      <c r="F21" s="884" t="s">
        <v>569</v>
      </c>
      <c r="G21" s="885"/>
      <c r="H21" s="877"/>
      <c r="I21" s="877"/>
    </row>
    <row r="22" spans="1:9" s="886" customFormat="1" ht="19.5" customHeight="1">
      <c r="A22" s="3696"/>
      <c r="B22" s="3696"/>
      <c r="C22" s="882" t="s">
        <v>570</v>
      </c>
      <c r="D22" s="883"/>
      <c r="E22" s="881">
        <v>0.5</v>
      </c>
      <c r="F22" s="884"/>
      <c r="G22" s="885"/>
      <c r="H22" s="877"/>
      <c r="I22" s="877"/>
    </row>
    <row r="23" spans="1:9" s="886" customFormat="1" ht="19.5" customHeight="1">
      <c r="A23" s="3696" t="s">
        <v>184</v>
      </c>
      <c r="B23" s="881" t="s">
        <v>560</v>
      </c>
      <c r="C23" s="882" t="s">
        <v>571</v>
      </c>
      <c r="D23" s="883"/>
      <c r="E23" s="881">
        <v>1</v>
      </c>
      <c r="F23" s="884" t="s">
        <v>572</v>
      </c>
      <c r="G23" s="885"/>
      <c r="H23" s="877"/>
      <c r="I23" s="877"/>
    </row>
    <row r="24" spans="1:9" s="886" customFormat="1" ht="19.5" customHeight="1">
      <c r="A24" s="3696"/>
      <c r="B24" s="3696" t="s">
        <v>563</v>
      </c>
      <c r="C24" s="882" t="s">
        <v>573</v>
      </c>
      <c r="D24" s="883"/>
      <c r="E24" s="881">
        <v>0.5</v>
      </c>
      <c r="F24" s="884"/>
      <c r="G24" s="885"/>
      <c r="H24" s="877"/>
      <c r="I24" s="877"/>
    </row>
    <row r="25" spans="1:9" s="886" customFormat="1" ht="19.5" customHeight="1">
      <c r="A25" s="3696"/>
      <c r="B25" s="3696"/>
      <c r="C25" s="882" t="s">
        <v>574</v>
      </c>
      <c r="D25" s="883"/>
      <c r="E25" s="881">
        <v>1.1000000000000001</v>
      </c>
      <c r="F25" s="884"/>
      <c r="G25" s="885"/>
      <c r="H25" s="877"/>
      <c r="I25" s="877"/>
    </row>
    <row r="26" spans="1:9" s="886" customFormat="1" ht="19.5" customHeight="1">
      <c r="A26" s="3696"/>
      <c r="B26" s="3696"/>
      <c r="C26" s="882" t="s">
        <v>575</v>
      </c>
      <c r="D26" s="883"/>
      <c r="E26" s="881">
        <v>1.1000000000000001</v>
      </c>
      <c r="F26" s="884"/>
      <c r="G26" s="885"/>
      <c r="H26" s="877"/>
      <c r="I26" s="877"/>
    </row>
    <row r="27" spans="1:9" s="886" customFormat="1" ht="19.5" customHeight="1">
      <c r="A27" s="3696"/>
      <c r="B27" s="3696"/>
      <c r="C27" s="882" t="s">
        <v>576</v>
      </c>
      <c r="D27" s="883"/>
      <c r="E27" s="881">
        <v>0.9</v>
      </c>
      <c r="F27" s="884" t="s">
        <v>577</v>
      </c>
      <c r="G27" s="885"/>
      <c r="H27" s="877"/>
      <c r="I27" s="877"/>
    </row>
    <row r="28" spans="1:9" s="886" customFormat="1" ht="19.5" customHeight="1">
      <c r="A28" s="3696"/>
      <c r="B28" s="3696"/>
      <c r="C28" s="882" t="s">
        <v>578</v>
      </c>
      <c r="D28" s="883"/>
      <c r="E28" s="881">
        <v>0.9</v>
      </c>
      <c r="F28" s="884" t="s">
        <v>579</v>
      </c>
      <c r="G28" s="885"/>
      <c r="H28" s="877"/>
      <c r="I28" s="877"/>
    </row>
    <row r="29" spans="1:9" s="886" customFormat="1" ht="19.5" customHeight="1">
      <c r="A29" s="3696"/>
      <c r="B29" s="3696"/>
      <c r="C29" s="882" t="s">
        <v>580</v>
      </c>
      <c r="D29" s="883"/>
      <c r="E29" s="881">
        <v>0.9</v>
      </c>
      <c r="F29" s="884" t="s">
        <v>581</v>
      </c>
      <c r="G29" s="885"/>
      <c r="H29" s="877"/>
      <c r="I29" s="877"/>
    </row>
    <row r="30" spans="1:9" s="886" customFormat="1" ht="19.5" customHeight="1">
      <c r="A30" s="3696"/>
      <c r="B30" s="3696"/>
      <c r="C30" s="882" t="s">
        <v>582</v>
      </c>
      <c r="D30" s="883"/>
      <c r="E30" s="881">
        <v>0.9</v>
      </c>
      <c r="F30" s="884" t="s">
        <v>583</v>
      </c>
      <c r="G30" s="885"/>
      <c r="H30" s="877"/>
      <c r="I30" s="877"/>
    </row>
    <row r="31" spans="1:9" s="886" customFormat="1" ht="19.5" customHeight="1">
      <c r="A31" s="3696"/>
      <c r="B31" s="3696"/>
      <c r="C31" s="882" t="s">
        <v>584</v>
      </c>
      <c r="D31" s="883"/>
      <c r="E31" s="881">
        <v>0.8</v>
      </c>
      <c r="F31" s="884" t="s">
        <v>585</v>
      </c>
      <c r="G31" s="885"/>
      <c r="H31" s="877"/>
      <c r="I31" s="877"/>
    </row>
    <row r="32" spans="1:9" s="886" customFormat="1" ht="19.5" customHeight="1">
      <c r="A32" s="3696"/>
      <c r="B32" s="3696"/>
      <c r="C32" s="882" t="s">
        <v>586</v>
      </c>
      <c r="D32" s="883"/>
      <c r="E32" s="881">
        <v>0.8</v>
      </c>
      <c r="F32" s="884" t="s">
        <v>587</v>
      </c>
      <c r="G32" s="885"/>
      <c r="H32" s="877"/>
      <c r="I32" s="877"/>
    </row>
    <row r="33" spans="1:9" s="886" customFormat="1" ht="19.5" customHeight="1">
      <c r="A33" s="3696" t="s">
        <v>185</v>
      </c>
      <c r="B33" s="881" t="s">
        <v>560</v>
      </c>
      <c r="C33" s="882" t="s">
        <v>588</v>
      </c>
      <c r="D33" s="883"/>
      <c r="E33" s="881">
        <v>1</v>
      </c>
      <c r="F33" s="884" t="s">
        <v>589</v>
      </c>
      <c r="G33" s="885"/>
      <c r="H33" s="877"/>
      <c r="I33" s="877"/>
    </row>
    <row r="34" spans="1:9" s="886" customFormat="1" ht="19.5" customHeight="1">
      <c r="A34" s="3696"/>
      <c r="B34" s="881" t="s">
        <v>563</v>
      </c>
      <c r="C34" s="882" t="s">
        <v>590</v>
      </c>
      <c r="D34" s="883"/>
      <c r="E34" s="881">
        <v>1.5</v>
      </c>
      <c r="F34" s="884" t="s">
        <v>591</v>
      </c>
      <c r="G34" s="885"/>
      <c r="H34" s="877"/>
      <c r="I34" s="877"/>
    </row>
    <row r="35" spans="1:9" s="886" customFormat="1" ht="19.5" customHeight="1">
      <c r="A35" s="3696" t="s">
        <v>186</v>
      </c>
      <c r="B35" s="881" t="s">
        <v>560</v>
      </c>
      <c r="C35" s="882" t="s">
        <v>592</v>
      </c>
      <c r="D35" s="883"/>
      <c r="E35" s="881">
        <v>1</v>
      </c>
      <c r="F35" s="884" t="s">
        <v>593</v>
      </c>
      <c r="G35" s="885"/>
      <c r="H35" s="877"/>
      <c r="I35" s="877"/>
    </row>
    <row r="36" spans="1:9" s="886" customFormat="1" ht="19.5" customHeight="1">
      <c r="A36" s="3696"/>
      <c r="B36" s="3696" t="s">
        <v>563</v>
      </c>
      <c r="C36" s="882" t="s">
        <v>594</v>
      </c>
      <c r="D36" s="883"/>
      <c r="E36" s="881">
        <v>1</v>
      </c>
      <c r="F36" s="884" t="s">
        <v>595</v>
      </c>
      <c r="G36" s="885"/>
      <c r="H36" s="877"/>
      <c r="I36" s="877"/>
    </row>
    <row r="37" spans="1:9" s="886" customFormat="1" ht="19.5" customHeight="1">
      <c r="A37" s="3696"/>
      <c r="B37" s="3696"/>
      <c r="C37" s="882" t="s">
        <v>596</v>
      </c>
      <c r="D37" s="883"/>
      <c r="E37" s="881">
        <v>1.5</v>
      </c>
      <c r="F37" s="884" t="s">
        <v>597</v>
      </c>
      <c r="G37" s="885"/>
      <c r="H37" s="877"/>
      <c r="I37" s="877"/>
    </row>
    <row r="38" spans="1:9" s="886" customFormat="1" ht="19.5" customHeight="1">
      <c r="A38" s="3696"/>
      <c r="B38" s="3696"/>
      <c r="C38" s="882" t="s">
        <v>598</v>
      </c>
      <c r="D38" s="883"/>
      <c r="E38" s="881">
        <v>1</v>
      </c>
      <c r="F38" s="884" t="s">
        <v>599</v>
      </c>
      <c r="G38" s="885"/>
      <c r="H38" s="877"/>
      <c r="I38" s="877"/>
    </row>
    <row r="39" spans="1:9" s="886" customFormat="1" ht="19.5" customHeight="1">
      <c r="A39" s="3696"/>
      <c r="B39" s="369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696" t="s">
        <v>614</v>
      </c>
      <c r="C61" s="817" t="s">
        <v>615</v>
      </c>
      <c r="D61" s="817" t="s">
        <v>616</v>
      </c>
      <c r="E61" s="894">
        <v>0.5</v>
      </c>
      <c r="F61" s="881">
        <v>80</v>
      </c>
    </row>
    <row r="62" spans="1:8" s="877" customFormat="1" ht="24">
      <c r="A62" s="881">
        <v>2</v>
      </c>
      <c r="B62" s="3696"/>
      <c r="C62" s="817" t="s">
        <v>617</v>
      </c>
      <c r="D62" s="817" t="s">
        <v>618</v>
      </c>
      <c r="E62" s="894">
        <v>0.5</v>
      </c>
      <c r="F62" s="881">
        <v>80</v>
      </c>
    </row>
    <row r="63" spans="1:8" s="877" customFormat="1" ht="36">
      <c r="A63" s="881">
        <v>3</v>
      </c>
      <c r="B63" s="3696"/>
      <c r="C63" s="817" t="s">
        <v>619</v>
      </c>
      <c r="D63" s="817" t="s">
        <v>620</v>
      </c>
      <c r="E63" s="894">
        <v>0.5</v>
      </c>
      <c r="F63" s="881">
        <v>80</v>
      </c>
    </row>
    <row r="64" spans="1:8" s="877" customFormat="1" ht="36">
      <c r="A64" s="881">
        <v>4</v>
      </c>
      <c r="B64" s="3696"/>
      <c r="C64" s="817" t="s">
        <v>621</v>
      </c>
      <c r="D64" s="817" t="s">
        <v>622</v>
      </c>
      <c r="E64" s="894">
        <v>0.4</v>
      </c>
      <c r="F64" s="881">
        <v>60</v>
      </c>
    </row>
    <row r="65" spans="1:6" s="877" customFormat="1" ht="36">
      <c r="A65" s="881">
        <v>5</v>
      </c>
      <c r="B65" s="3696"/>
      <c r="C65" s="817" t="s">
        <v>623</v>
      </c>
      <c r="D65" s="817" t="s">
        <v>624</v>
      </c>
      <c r="E65" s="894">
        <v>0.2</v>
      </c>
      <c r="F65" s="881">
        <v>30</v>
      </c>
    </row>
    <row r="66" spans="1:6" s="877" customFormat="1" ht="36">
      <c r="A66" s="881">
        <v>6</v>
      </c>
      <c r="B66" s="3696"/>
      <c r="C66" s="817" t="s">
        <v>625</v>
      </c>
      <c r="D66" s="817" t="s">
        <v>626</v>
      </c>
      <c r="E66" s="894">
        <v>0.3</v>
      </c>
      <c r="F66" s="881">
        <v>50</v>
      </c>
    </row>
    <row r="67" spans="1:6" s="877" customFormat="1" ht="36">
      <c r="A67" s="881">
        <v>7</v>
      </c>
      <c r="B67" s="3696"/>
      <c r="C67" s="817" t="s">
        <v>627</v>
      </c>
      <c r="D67" s="817" t="s">
        <v>628</v>
      </c>
      <c r="E67" s="894">
        <v>0.2</v>
      </c>
      <c r="F67" s="881">
        <v>30</v>
      </c>
    </row>
    <row r="68" spans="1:6" s="877" customFormat="1" ht="36">
      <c r="A68" s="881">
        <v>8</v>
      </c>
      <c r="B68" s="3696"/>
      <c r="C68" s="817" t="s">
        <v>629</v>
      </c>
      <c r="D68" s="817" t="s">
        <v>630</v>
      </c>
      <c r="E68" s="894">
        <v>0.2</v>
      </c>
      <c r="F68" s="881">
        <v>30</v>
      </c>
    </row>
    <row r="69" spans="1:6" s="877" customFormat="1" ht="36">
      <c r="A69" s="881">
        <v>9</v>
      </c>
      <c r="B69" s="3696"/>
      <c r="C69" s="817" t="s">
        <v>631</v>
      </c>
      <c r="D69" s="817" t="s">
        <v>632</v>
      </c>
      <c r="E69" s="894">
        <v>0.2</v>
      </c>
      <c r="F69" s="881">
        <v>30</v>
      </c>
    </row>
    <row r="70" spans="1:6" s="877" customFormat="1" ht="48">
      <c r="A70" s="881">
        <v>10</v>
      </c>
      <c r="B70" s="3696"/>
      <c r="C70" s="817" t="s">
        <v>633</v>
      </c>
      <c r="D70" s="817" t="s">
        <v>634</v>
      </c>
      <c r="E70" s="894">
        <v>0.2</v>
      </c>
      <c r="F70" s="881">
        <v>30</v>
      </c>
    </row>
    <row r="71" spans="1:6" s="877" customFormat="1" ht="48">
      <c r="A71" s="881">
        <v>11</v>
      </c>
      <c r="B71" s="3696"/>
      <c r="C71" s="817" t="s">
        <v>635</v>
      </c>
      <c r="D71" s="817" t="s">
        <v>636</v>
      </c>
      <c r="E71" s="894">
        <v>0.2</v>
      </c>
      <c r="F71" s="881">
        <v>30</v>
      </c>
    </row>
    <row r="72" spans="1:6" s="877" customFormat="1" ht="36">
      <c r="A72" s="881">
        <v>12</v>
      </c>
      <c r="B72" s="3696"/>
      <c r="C72" s="817" t="s">
        <v>637</v>
      </c>
      <c r="D72" s="817" t="s">
        <v>638</v>
      </c>
      <c r="E72" s="894">
        <v>0.5</v>
      </c>
      <c r="F72" s="881">
        <v>80</v>
      </c>
    </row>
    <row r="73" spans="1:6" s="877" customFormat="1" ht="24">
      <c r="A73" s="881">
        <v>13</v>
      </c>
      <c r="B73" s="3696"/>
      <c r="C73" s="817" t="s">
        <v>639</v>
      </c>
      <c r="D73" s="817" t="s">
        <v>640</v>
      </c>
      <c r="E73" s="894">
        <v>0.4</v>
      </c>
      <c r="F73" s="881">
        <v>60</v>
      </c>
    </row>
    <row r="74" spans="1:6" s="877" customFormat="1" ht="24">
      <c r="A74" s="881">
        <v>14</v>
      </c>
      <c r="B74" s="3696"/>
      <c r="C74" s="817" t="s">
        <v>641</v>
      </c>
      <c r="D74" s="817" t="s">
        <v>642</v>
      </c>
      <c r="E74" s="894">
        <v>0.2</v>
      </c>
      <c r="F74" s="881">
        <v>30</v>
      </c>
    </row>
    <row r="75" spans="1:6" s="877" customFormat="1" ht="24">
      <c r="A75" s="881">
        <v>15</v>
      </c>
      <c r="B75" s="3696"/>
      <c r="C75" s="817" t="s">
        <v>643</v>
      </c>
      <c r="D75" s="817" t="s">
        <v>644</v>
      </c>
      <c r="E75" s="894">
        <v>0.2</v>
      </c>
      <c r="F75" s="881">
        <v>30</v>
      </c>
    </row>
    <row r="76" spans="1:6" s="877" customFormat="1" ht="24">
      <c r="A76" s="881">
        <v>16</v>
      </c>
      <c r="B76" s="3696" t="s">
        <v>645</v>
      </c>
      <c r="C76" s="817" t="s">
        <v>646</v>
      </c>
      <c r="D76" s="817" t="s">
        <v>647</v>
      </c>
      <c r="E76" s="894">
        <v>0.5</v>
      </c>
      <c r="F76" s="881">
        <v>80</v>
      </c>
    </row>
    <row r="77" spans="1:6" s="877" customFormat="1" ht="24">
      <c r="A77" s="881">
        <v>17</v>
      </c>
      <c r="B77" s="3696"/>
      <c r="C77" s="817" t="s">
        <v>648</v>
      </c>
      <c r="D77" s="817" t="s">
        <v>649</v>
      </c>
      <c r="E77" s="894">
        <v>0.5</v>
      </c>
      <c r="F77" s="881">
        <v>80</v>
      </c>
    </row>
    <row r="78" spans="1:6" s="877" customFormat="1" ht="24">
      <c r="A78" s="881">
        <v>18</v>
      </c>
      <c r="B78" s="3696"/>
      <c r="C78" s="817" t="s">
        <v>650</v>
      </c>
      <c r="D78" s="817" t="s">
        <v>651</v>
      </c>
      <c r="E78" s="894">
        <v>0.2</v>
      </c>
      <c r="F78" s="881">
        <v>30</v>
      </c>
    </row>
    <row r="79" spans="1:6" s="877" customFormat="1" ht="24">
      <c r="A79" s="881">
        <v>19</v>
      </c>
      <c r="B79" s="3696"/>
      <c r="C79" s="817" t="s">
        <v>652</v>
      </c>
      <c r="D79" s="817" t="s">
        <v>653</v>
      </c>
      <c r="E79" s="894">
        <v>0.5</v>
      </c>
      <c r="F79" s="881">
        <v>80</v>
      </c>
    </row>
    <row r="80" spans="1:6" s="877" customFormat="1" ht="36">
      <c r="A80" s="881">
        <v>20</v>
      </c>
      <c r="B80" s="3696"/>
      <c r="C80" s="817" t="s">
        <v>654</v>
      </c>
      <c r="D80" s="817" t="s">
        <v>655</v>
      </c>
      <c r="E80" s="894">
        <v>0.2</v>
      </c>
      <c r="F80" s="881">
        <v>30</v>
      </c>
    </row>
    <row r="81" spans="1:6" s="877" customFormat="1" ht="36">
      <c r="A81" s="881">
        <v>21</v>
      </c>
      <c r="B81" s="3696"/>
      <c r="C81" s="817" t="s">
        <v>656</v>
      </c>
      <c r="D81" s="817" t="s">
        <v>657</v>
      </c>
      <c r="E81" s="894">
        <v>0.2</v>
      </c>
      <c r="F81" s="881">
        <v>30</v>
      </c>
    </row>
    <row r="82" spans="1:6" s="877" customFormat="1" ht="48">
      <c r="A82" s="881">
        <v>22</v>
      </c>
      <c r="B82" s="3696"/>
      <c r="C82" s="817" t="s">
        <v>658</v>
      </c>
      <c r="D82" s="817" t="s">
        <v>659</v>
      </c>
      <c r="E82" s="894">
        <v>0.2</v>
      </c>
      <c r="F82" s="881">
        <v>30</v>
      </c>
    </row>
    <row r="83" spans="1:6" s="877" customFormat="1" ht="48">
      <c r="A83" s="881">
        <v>23</v>
      </c>
      <c r="B83" s="3696"/>
      <c r="C83" s="817" t="s">
        <v>660</v>
      </c>
      <c r="D83" s="817" t="s">
        <v>661</v>
      </c>
      <c r="E83" s="894">
        <v>0.2</v>
      </c>
      <c r="F83" s="881">
        <v>30</v>
      </c>
    </row>
    <row r="84" spans="1:6" s="877" customFormat="1" ht="36">
      <c r="A84" s="881">
        <v>24</v>
      </c>
      <c r="B84" s="3696"/>
      <c r="C84" s="817" t="s">
        <v>662</v>
      </c>
      <c r="D84" s="817" t="s">
        <v>663</v>
      </c>
      <c r="E84" s="894">
        <v>0.2</v>
      </c>
      <c r="F84" s="881">
        <v>30</v>
      </c>
    </row>
    <row r="85" spans="1:6" s="877" customFormat="1" ht="36">
      <c r="A85" s="881">
        <v>25</v>
      </c>
      <c r="B85" s="3696"/>
      <c r="C85" s="817" t="s">
        <v>664</v>
      </c>
      <c r="D85" s="817" t="s">
        <v>665</v>
      </c>
      <c r="E85" s="894">
        <v>0.5</v>
      </c>
      <c r="F85" s="881">
        <v>80</v>
      </c>
    </row>
    <row r="86" spans="1:6" s="877" customFormat="1" ht="36">
      <c r="A86" s="881">
        <v>26</v>
      </c>
      <c r="B86" s="3696"/>
      <c r="C86" s="817" t="s">
        <v>666</v>
      </c>
      <c r="D86" s="817" t="s">
        <v>667</v>
      </c>
      <c r="E86" s="894">
        <v>0.2</v>
      </c>
      <c r="F86" s="881">
        <v>30</v>
      </c>
    </row>
    <row r="87" spans="1:6" s="877" customFormat="1" ht="36">
      <c r="A87" s="881">
        <v>27</v>
      </c>
      <c r="B87" s="3696"/>
      <c r="C87" s="817" t="s">
        <v>668</v>
      </c>
      <c r="D87" s="817" t="s">
        <v>669</v>
      </c>
      <c r="E87" s="894">
        <v>0.2</v>
      </c>
      <c r="F87" s="881">
        <v>30</v>
      </c>
    </row>
    <row r="88" spans="1:6" s="877" customFormat="1" ht="36">
      <c r="A88" s="881">
        <v>28</v>
      </c>
      <c r="B88" s="3696"/>
      <c r="C88" s="817" t="s">
        <v>670</v>
      </c>
      <c r="D88" s="817" t="s">
        <v>671</v>
      </c>
      <c r="E88" s="894">
        <v>0.2</v>
      </c>
      <c r="F88" s="881">
        <v>30</v>
      </c>
    </row>
    <row r="89" spans="1:6" s="877" customFormat="1" ht="24">
      <c r="A89" s="881">
        <v>29</v>
      </c>
      <c r="B89" s="3696"/>
      <c r="C89" s="817" t="s">
        <v>672</v>
      </c>
      <c r="D89" s="817" t="s">
        <v>673</v>
      </c>
      <c r="E89" s="894">
        <v>0.2</v>
      </c>
      <c r="F89" s="881">
        <v>30</v>
      </c>
    </row>
    <row r="90" spans="1:6" s="877" customFormat="1" ht="24">
      <c r="A90" s="881">
        <v>30</v>
      </c>
      <c r="B90" s="3696"/>
      <c r="C90" s="817" t="s">
        <v>674</v>
      </c>
      <c r="D90" s="817" t="s">
        <v>675</v>
      </c>
      <c r="E90" s="894">
        <v>0.2</v>
      </c>
      <c r="F90" s="881">
        <v>30</v>
      </c>
    </row>
    <row r="91" spans="1:6" s="877" customFormat="1" ht="36">
      <c r="A91" s="881">
        <v>31</v>
      </c>
      <c r="B91" s="3696"/>
      <c r="C91" s="817" t="s">
        <v>676</v>
      </c>
      <c r="D91" s="817" t="s">
        <v>677</v>
      </c>
      <c r="E91" s="894">
        <v>0.2</v>
      </c>
      <c r="F91" s="881">
        <v>30</v>
      </c>
    </row>
    <row r="92" spans="1:6" s="877" customFormat="1" ht="24">
      <c r="A92" s="881">
        <v>32</v>
      </c>
      <c r="B92" s="3696" t="s">
        <v>678</v>
      </c>
      <c r="C92" s="881" t="s">
        <v>679</v>
      </c>
      <c r="D92" s="817" t="s">
        <v>680</v>
      </c>
      <c r="E92" s="894">
        <v>0.2</v>
      </c>
      <c r="F92" s="881">
        <v>30</v>
      </c>
    </row>
    <row r="93" spans="1:6" s="877" customFormat="1" ht="36">
      <c r="A93" s="881">
        <v>33</v>
      </c>
      <c r="B93" s="3696"/>
      <c r="C93" s="881" t="s">
        <v>681</v>
      </c>
      <c r="D93" s="817" t="s">
        <v>682</v>
      </c>
      <c r="E93" s="894">
        <v>0.2</v>
      </c>
      <c r="F93" s="881">
        <v>30</v>
      </c>
    </row>
    <row r="94" spans="1:6" s="877" customFormat="1" ht="48">
      <c r="A94" s="881">
        <v>34</v>
      </c>
      <c r="B94" s="3696"/>
      <c r="C94" s="881" t="s">
        <v>683</v>
      </c>
      <c r="D94" s="817" t="s">
        <v>684</v>
      </c>
      <c r="E94" s="894">
        <v>0.2</v>
      </c>
      <c r="F94" s="881">
        <v>30</v>
      </c>
    </row>
    <row r="95" spans="1:6" s="877" customFormat="1" ht="36">
      <c r="A95" s="881">
        <v>35</v>
      </c>
      <c r="B95" s="3696"/>
      <c r="C95" s="881" t="s">
        <v>685</v>
      </c>
      <c r="D95" s="817" t="s">
        <v>686</v>
      </c>
      <c r="E95" s="894">
        <v>0.2</v>
      </c>
      <c r="F95" s="881">
        <v>30</v>
      </c>
    </row>
    <row r="96" spans="1:6" s="877" customFormat="1" ht="48">
      <c r="A96" s="881">
        <v>36</v>
      </c>
      <c r="B96" s="3696"/>
      <c r="C96" s="817" t="s">
        <v>687</v>
      </c>
      <c r="D96" s="817" t="s">
        <v>688</v>
      </c>
      <c r="E96" s="894">
        <v>0.2</v>
      </c>
      <c r="F96" s="881">
        <v>30</v>
      </c>
    </row>
    <row r="97" spans="1:6" s="877" customFormat="1" ht="36">
      <c r="A97" s="881">
        <v>37</v>
      </c>
      <c r="B97" s="3696"/>
      <c r="C97" s="881" t="s">
        <v>689</v>
      </c>
      <c r="D97" s="817" t="s">
        <v>690</v>
      </c>
      <c r="E97" s="894">
        <v>0.2</v>
      </c>
      <c r="F97" s="881">
        <v>30</v>
      </c>
    </row>
    <row r="98" spans="1:6" s="877" customFormat="1" ht="36">
      <c r="A98" s="881">
        <v>38</v>
      </c>
      <c r="B98" s="3696"/>
      <c r="C98" s="881" t="s">
        <v>691</v>
      </c>
      <c r="D98" s="817" t="s">
        <v>692</v>
      </c>
      <c r="E98" s="894">
        <v>0.2</v>
      </c>
      <c r="F98" s="881">
        <v>30</v>
      </c>
    </row>
    <row r="99" spans="1:6" s="877" customFormat="1" ht="36">
      <c r="A99" s="881">
        <v>39</v>
      </c>
      <c r="B99" s="3696" t="s">
        <v>693</v>
      </c>
      <c r="C99" s="881" t="s">
        <v>694</v>
      </c>
      <c r="D99" s="817" t="s">
        <v>695</v>
      </c>
      <c r="E99" s="894">
        <v>0.3</v>
      </c>
      <c r="F99" s="881">
        <v>50</v>
      </c>
    </row>
    <row r="100" spans="1:6" s="877" customFormat="1" ht="24">
      <c r="A100" s="881">
        <v>40</v>
      </c>
      <c r="B100" s="3696"/>
      <c r="C100" s="881" t="s">
        <v>696</v>
      </c>
      <c r="D100" s="817" t="s">
        <v>697</v>
      </c>
      <c r="E100" s="894">
        <v>0.2</v>
      </c>
      <c r="F100" s="881">
        <v>30</v>
      </c>
    </row>
    <row r="101" spans="1:6" s="877" customFormat="1" ht="36">
      <c r="A101" s="881">
        <v>41</v>
      </c>
      <c r="B101" s="369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96" t="s">
        <v>708</v>
      </c>
      <c r="C105" s="881" t="s">
        <v>709</v>
      </c>
      <c r="D105" s="817" t="s">
        <v>710</v>
      </c>
      <c r="E105" s="894">
        <v>0.2</v>
      </c>
      <c r="F105" s="881">
        <v>30</v>
      </c>
    </row>
    <row r="106" spans="1:6" s="877" customFormat="1" ht="36">
      <c r="A106" s="881">
        <v>46</v>
      </c>
      <c r="B106" s="3696"/>
      <c r="C106" s="881" t="s">
        <v>711</v>
      </c>
      <c r="D106" s="817" t="s">
        <v>712</v>
      </c>
      <c r="E106" s="894">
        <v>0.2</v>
      </c>
      <c r="F106" s="881">
        <v>30</v>
      </c>
    </row>
    <row r="107" spans="1:6" s="877" customFormat="1" ht="36">
      <c r="A107" s="881">
        <v>47</v>
      </c>
      <c r="B107" s="3696" t="s">
        <v>713</v>
      </c>
      <c r="C107" s="881" t="s">
        <v>714</v>
      </c>
      <c r="D107" s="817" t="s">
        <v>715</v>
      </c>
      <c r="E107" s="894">
        <v>0.3</v>
      </c>
      <c r="F107" s="881">
        <v>50</v>
      </c>
    </row>
    <row r="108" spans="1:6" s="877" customFormat="1" ht="36">
      <c r="A108" s="881">
        <v>48</v>
      </c>
      <c r="B108" s="369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96" t="s">
        <v>724</v>
      </c>
      <c r="C111" s="881" t="s">
        <v>725</v>
      </c>
      <c r="D111" s="817" t="s">
        <v>726</v>
      </c>
      <c r="E111" s="894">
        <v>0.2</v>
      </c>
      <c r="F111" s="881">
        <v>30</v>
      </c>
    </row>
    <row r="112" spans="1:6" s="877" customFormat="1" ht="24">
      <c r="A112" s="881">
        <v>52</v>
      </c>
      <c r="B112" s="3696"/>
      <c r="C112" s="881" t="s">
        <v>727</v>
      </c>
      <c r="D112" s="817" t="s">
        <v>728</v>
      </c>
      <c r="E112" s="894">
        <v>0.2</v>
      </c>
      <c r="F112" s="881">
        <v>30</v>
      </c>
    </row>
    <row r="113" spans="1:6" s="877" customFormat="1" ht="24">
      <c r="A113" s="881">
        <v>53</v>
      </c>
      <c r="B113" s="369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96" t="s">
        <v>737</v>
      </c>
      <c r="C116" s="881" t="s">
        <v>738</v>
      </c>
      <c r="D116" s="817" t="s">
        <v>739</v>
      </c>
      <c r="E116" s="894">
        <v>0.2</v>
      </c>
      <c r="F116" s="881">
        <v>30</v>
      </c>
    </row>
    <row r="117" spans="1:6" ht="36">
      <c r="A117" s="881">
        <v>57</v>
      </c>
      <c r="B117" s="369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0.94299999999999995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rgb="FF92D050"/>
  </sheetPr>
  <dimension ref="A1:E13"/>
  <sheetViews>
    <sheetView workbookViewId="0">
      <selection activeCell="B3" sqref="B3"/>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49" t="s">
        <v>3000</v>
      </c>
    </row>
    <row r="2" spans="1:5" ht="15.75">
      <c r="A2" s="2890" t="s">
        <v>2992</v>
      </c>
      <c r="B2" s="2891">
        <f ca="1">SUMIF(B6:B13,"&lt;&gt;#ref!",B6:B13)</f>
        <v>124693</v>
      </c>
      <c r="C2" s="2890" t="s">
        <v>2993</v>
      </c>
      <c r="D2" s="2890" t="s">
        <v>2994</v>
      </c>
      <c r="E2" s="2891">
        <f ca="1">SUMIF(E6:E13,"&lt;&gt;#ref!",E6:E13)</f>
        <v>135636.54000000004</v>
      </c>
    </row>
    <row r="3" spans="1:5" ht="15.75">
      <c r="A3" s="2890" t="s">
        <v>2995</v>
      </c>
      <c r="B3" s="2891">
        <f ca="1">ROUND(B2*10000/E2,0)</f>
        <v>9193</v>
      </c>
      <c r="C3" s="2890" t="s">
        <v>3001</v>
      </c>
      <c r="D3" s="2892"/>
      <c r="E3" s="2892"/>
    </row>
    <row r="4" spans="1:5" ht="15.75">
      <c r="A4" s="2893"/>
      <c r="B4" s="2892"/>
      <c r="C4" s="2892"/>
      <c r="D4" s="2892"/>
      <c r="E4" s="2892"/>
    </row>
    <row r="5" spans="1:5" ht="28.5">
      <c r="A5" s="2894" t="s">
        <v>2996</v>
      </c>
      <c r="B5" s="2890" t="s">
        <v>2997</v>
      </c>
      <c r="C5" s="2891"/>
      <c r="D5" s="2892"/>
      <c r="E5" s="2890" t="s">
        <v>2998</v>
      </c>
    </row>
    <row r="6" spans="1:5" ht="15.75">
      <c r="A6" s="2895" t="s">
        <v>2999</v>
      </c>
      <c r="B6" s="2891">
        <f ca="1">SUMIF(INDIRECT("'"&amp;A6&amp;"'"&amp;"!A:A"),"总价",INDIRECT("'"&amp;A6&amp;"'"&amp;"!B:B"))</f>
        <v>124693</v>
      </c>
      <c r="C6" s="2890" t="s">
        <v>2993</v>
      </c>
      <c r="D6" s="2892"/>
      <c r="E6" s="2563">
        <f ca="1">SUMIF(INDIRECT("'"&amp;A6&amp;"'"&amp;"!C:C"),"建筑面积",INDIRECT("'"&amp;A6&amp;"'"&amp;"!D:D"))</f>
        <v>135636.54000000004</v>
      </c>
    </row>
    <row r="7" spans="1:5" ht="15.75">
      <c r="A7" s="2895"/>
      <c r="B7" s="2891" t="e">
        <f ca="1">SUMIF(INDIRECT("'"&amp;A7&amp;"'"&amp;"!A:A"),"总价",INDIRECT("'"&amp;A7&amp;"'"&amp;"!B:B"))</f>
        <v>#REF!</v>
      </c>
      <c r="C7" s="2890" t="s">
        <v>2993</v>
      </c>
      <c r="D7" s="2892"/>
      <c r="E7" s="2563" t="e">
        <f t="shared" ref="E7:E13" ca="1" si="0">SUMIF(INDIRECT("'"&amp;A7&amp;"'"&amp;"!C:C"),"建筑面积",INDIRECT("'"&amp;A7&amp;"'"&amp;"!D:D"))</f>
        <v>#REF!</v>
      </c>
    </row>
    <row r="8" spans="1:5" ht="15.75">
      <c r="A8" s="2895"/>
      <c r="B8" s="2891" t="e">
        <f t="shared" ref="B8:B13" ca="1" si="1">SUMIF(INDIRECT("'"&amp;A8&amp;"'"&amp;"!A:A"),"总价",INDIRECT("'"&amp;A8&amp;"'"&amp;"!B:B"))</f>
        <v>#REF!</v>
      </c>
      <c r="C8" s="2890" t="s">
        <v>2993</v>
      </c>
      <c r="D8" s="2892"/>
      <c r="E8" s="2563" t="e">
        <f t="shared" ca="1" si="0"/>
        <v>#REF!</v>
      </c>
    </row>
    <row r="9" spans="1:5" ht="15.75">
      <c r="A9" s="2895"/>
      <c r="B9" s="2891" t="e">
        <f t="shared" ca="1" si="1"/>
        <v>#REF!</v>
      </c>
      <c r="C9" s="2890" t="s">
        <v>2993</v>
      </c>
      <c r="D9" s="2892"/>
      <c r="E9" s="2563" t="e">
        <f t="shared" ca="1" si="0"/>
        <v>#REF!</v>
      </c>
    </row>
    <row r="10" spans="1:5" ht="15.75">
      <c r="A10" s="2895"/>
      <c r="B10" s="2891" t="e">
        <f t="shared" ca="1" si="1"/>
        <v>#REF!</v>
      </c>
      <c r="C10" s="2890" t="s">
        <v>2993</v>
      </c>
      <c r="D10" s="2892"/>
      <c r="E10" s="2563" t="e">
        <f t="shared" ca="1" si="0"/>
        <v>#REF!</v>
      </c>
    </row>
    <row r="11" spans="1:5" ht="15.75">
      <c r="A11" s="2895"/>
      <c r="B11" s="2891" t="e">
        <f t="shared" ca="1" si="1"/>
        <v>#REF!</v>
      </c>
      <c r="C11" s="2890" t="s">
        <v>2993</v>
      </c>
      <c r="D11" s="2892"/>
      <c r="E11" s="2563" t="e">
        <f t="shared" ca="1" si="0"/>
        <v>#REF!</v>
      </c>
    </row>
    <row r="12" spans="1:5" ht="15.75">
      <c r="A12" s="2895"/>
      <c r="B12" s="2891" t="e">
        <f t="shared" ca="1" si="1"/>
        <v>#REF!</v>
      </c>
      <c r="C12" s="2890" t="s">
        <v>2993</v>
      </c>
      <c r="D12" s="2892"/>
      <c r="E12" s="2563" t="e">
        <f t="shared" ca="1" si="0"/>
        <v>#REF!</v>
      </c>
    </row>
    <row r="13" spans="1:5" ht="15.75">
      <c r="A13" s="2895"/>
      <c r="B13" s="2891" t="e">
        <f t="shared" ca="1" si="1"/>
        <v>#REF!</v>
      </c>
      <c r="C13" s="2890" t="s">
        <v>2993</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rgb="FF92D050"/>
  </sheetPr>
  <dimension ref="A1:AH113"/>
  <sheetViews>
    <sheetView zoomScale="80" zoomScaleNormal="80" workbookViewId="0">
      <selection activeCell="W15" sqref="W15"/>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1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1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702" t="s">
        <v>1145</v>
      </c>
      <c r="C1" s="3702"/>
      <c r="D1" s="3702"/>
      <c r="E1" s="3702"/>
      <c r="F1" s="3702"/>
      <c r="G1" s="3698" t="s">
        <v>1146</v>
      </c>
      <c r="H1" s="3698"/>
      <c r="I1" s="3698"/>
      <c r="J1" s="3698"/>
      <c r="K1" s="3698"/>
      <c r="L1" s="3698"/>
      <c r="N1" s="3698" t="s">
        <v>1147</v>
      </c>
      <c r="O1" s="3698"/>
      <c r="P1" s="3698"/>
      <c r="Q1" s="3698"/>
      <c r="R1" s="1442"/>
      <c r="S1" s="3698" t="s">
        <v>1148</v>
      </c>
      <c r="T1" s="3698"/>
      <c r="U1" s="3698"/>
      <c r="V1" s="3698"/>
      <c r="X1" s="3697" t="s">
        <v>1149</v>
      </c>
      <c r="Y1" s="3698"/>
      <c r="Z1" s="3698"/>
      <c r="AA1" s="3698"/>
      <c r="AB1" s="3698"/>
      <c r="AD1" s="3697" t="s">
        <v>1150</v>
      </c>
      <c r="AE1" s="3698"/>
      <c r="AF1" s="3698"/>
      <c r="AG1" s="3698"/>
      <c r="AH1" s="3698"/>
    </row>
    <row r="2" spans="1:34" s="1443" customFormat="1" ht="14.25" thickBot="1">
      <c r="B2" s="1444" t="s">
        <v>1151</v>
      </c>
      <c r="C2" s="1444" t="s">
        <v>1152</v>
      </c>
      <c r="D2" s="1445" t="s">
        <v>1153</v>
      </c>
      <c r="E2" s="1445" t="s">
        <v>1154</v>
      </c>
      <c r="F2" s="1444" t="s">
        <v>1155</v>
      </c>
      <c r="G2" s="1446"/>
      <c r="H2" s="1447"/>
      <c r="I2" s="1444" t="s">
        <v>1151</v>
      </c>
      <c r="J2" s="1445" t="s">
        <v>1379</v>
      </c>
      <c r="K2" s="1445" t="s">
        <v>751</v>
      </c>
      <c r="L2" s="1444" t="s">
        <v>1155</v>
      </c>
      <c r="N2" s="1444" t="s">
        <v>1151</v>
      </c>
      <c r="O2" s="1445" t="s">
        <v>1379</v>
      </c>
      <c r="P2" s="1445" t="s">
        <v>751</v>
      </c>
      <c r="Q2" s="1444" t="s">
        <v>1155</v>
      </c>
      <c r="R2" s="1448"/>
      <c r="S2" s="1444" t="s">
        <v>1151</v>
      </c>
      <c r="T2" s="1445" t="s">
        <v>1379</v>
      </c>
      <c r="U2" s="1445" t="s">
        <v>751</v>
      </c>
      <c r="V2" s="1444" t="s">
        <v>1155</v>
      </c>
      <c r="X2" s="1444" t="s">
        <v>1151</v>
      </c>
      <c r="Y2" s="1444" t="s">
        <v>1152</v>
      </c>
      <c r="Z2" s="1445" t="s">
        <v>1153</v>
      </c>
      <c r="AA2" s="1445" t="s">
        <v>1154</v>
      </c>
      <c r="AB2" s="1444" t="s">
        <v>1155</v>
      </c>
      <c r="AD2" s="1444" t="s">
        <v>1151</v>
      </c>
      <c r="AE2" s="1444" t="s">
        <v>1152</v>
      </c>
      <c r="AF2" s="1445" t="s">
        <v>1153</v>
      </c>
      <c r="AG2" s="1445" t="s">
        <v>1154</v>
      </c>
      <c r="AH2" s="1444" t="s">
        <v>1155</v>
      </c>
    </row>
    <row r="3" spans="1:34" s="2905" customFormat="1" ht="14.25">
      <c r="A3" s="2914" t="s">
        <v>3033</v>
      </c>
      <c r="B3" s="2906"/>
      <c r="C3" s="2906"/>
      <c r="D3" s="2907"/>
      <c r="E3" s="2907"/>
      <c r="F3" s="2906"/>
      <c r="G3" s="2908"/>
      <c r="H3" s="2909"/>
      <c r="I3" s="2910">
        <f>ROUND(AVERAGE($I4:$I30),2)</f>
        <v>1.85</v>
      </c>
      <c r="J3" s="2910">
        <f>ROUND(AVERAGE($J4:$J30),2)</f>
        <v>1.28</v>
      </c>
      <c r="K3" s="2910">
        <f>ROUND(AVERAGE($K4:$K30),2)</f>
        <v>2.0299999999999998</v>
      </c>
      <c r="L3" s="2910">
        <f>ROUND(AVERAGE($L4:$L30),2)</f>
        <v>1.31</v>
      </c>
      <c r="N3" s="2908"/>
      <c r="O3" s="2911"/>
      <c r="P3" s="2911"/>
      <c r="Q3" s="2911"/>
      <c r="R3" s="2911"/>
      <c r="S3" s="2908"/>
      <c r="T3" s="2911"/>
      <c r="U3" s="2911"/>
      <c r="V3" s="2911"/>
      <c r="W3" s="2903"/>
      <c r="X3" s="2912">
        <f>ROUND(SUMPRODUCT(PRODUCT(1+N3:N$29)),4)</f>
        <v>1.5605</v>
      </c>
      <c r="Y3" s="2912">
        <f>ROUND(SUMPRODUCT(PRODUCT(1+O3:O$29)),4)</f>
        <v>1.3577999999999999</v>
      </c>
      <c r="Z3" s="2912">
        <f t="shared" ref="Z3:Z27" si="0">Y3</f>
        <v>1.3577999999999999</v>
      </c>
      <c r="AA3" s="2912">
        <f>ROUND(SUMPRODUCT(PRODUCT(1+P3:P$29)),4)</f>
        <v>1.6254999999999999</v>
      </c>
      <c r="AB3" s="2912">
        <f>ROUND(SUMPRODUCT(PRODUCT(1+Q3:Q$29)),4)</f>
        <v>1.3815999999999999</v>
      </c>
      <c r="AD3" s="2913">
        <f>ROUND(AVERAGE(I3:I$30)/100,4)</f>
        <v>1.8499999999999999E-2</v>
      </c>
      <c r="AE3" s="2913">
        <f>ROUND(AVERAGE(J3:J$30)/100,4)</f>
        <v>1.2800000000000001E-2</v>
      </c>
      <c r="AF3" s="2913">
        <f t="shared" ref="AF3:AF28" si="1">AE3</f>
        <v>1.2800000000000001E-2</v>
      </c>
      <c r="AG3" s="2913">
        <f>ROUND(AVERAGE(K3:K$30)/100,4)</f>
        <v>2.0299999999999999E-2</v>
      </c>
      <c r="AH3" s="2913">
        <f>ROUND(AVERAGE(L3:L$30)/100,4)</f>
        <v>1.3100000000000001E-2</v>
      </c>
    </row>
    <row r="4" spans="1:34" s="1449" customFormat="1" ht="14.25">
      <c r="B4" s="1450"/>
      <c r="C4" s="1450"/>
      <c r="D4" s="1451"/>
      <c r="E4" s="1451"/>
      <c r="F4" s="1450"/>
      <c r="G4" s="1452"/>
      <c r="H4" s="1453"/>
      <c r="I4" s="2900"/>
      <c r="J4" s="2900"/>
      <c r="K4" s="2900"/>
      <c r="L4" s="290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3053</v>
      </c>
      <c r="B5" s="1779">
        <f t="shared" ref="B5" si="2">B6*(1+N5)</f>
        <v>479.92259063878413</v>
      </c>
      <c r="C5" s="1779">
        <f t="shared" ref="C5" si="3">C6*(1+O5)</f>
        <v>350.02082268341775</v>
      </c>
      <c r="D5" s="1779">
        <f t="shared" ref="D5" si="4">C5</f>
        <v>350.02082268341775</v>
      </c>
      <c r="E5" s="1779">
        <f t="shared" ref="E5" si="5">E6*(1+P5)</f>
        <v>687.42265944181099</v>
      </c>
      <c r="F5" s="1779">
        <f t="shared" ref="F5" si="6">F6*(1+Q5)</f>
        <v>317.63846657708956</v>
      </c>
      <c r="G5" s="2940">
        <v>2020</v>
      </c>
      <c r="H5" s="1726">
        <v>2</v>
      </c>
      <c r="I5" s="2901">
        <v>0</v>
      </c>
      <c r="J5" s="2901">
        <v>0</v>
      </c>
      <c r="K5" s="2901">
        <v>0</v>
      </c>
      <c r="L5" s="2901">
        <v>0</v>
      </c>
      <c r="N5" s="1463">
        <f t="shared" ref="N5" si="7">I5/100</f>
        <v>0</v>
      </c>
      <c r="O5" s="1463">
        <f t="shared" ref="O5" si="8">J5/100</f>
        <v>0</v>
      </c>
      <c r="P5" s="1463">
        <f t="shared" ref="P5" si="9">K5/100</f>
        <v>0</v>
      </c>
      <c r="Q5" s="1463">
        <f t="shared" ref="Q5" si="10">L5/100</f>
        <v>0</v>
      </c>
      <c r="R5" s="1728"/>
      <c r="S5" s="1729"/>
      <c r="T5" s="1728"/>
      <c r="U5" s="1728"/>
      <c r="V5" s="1728"/>
      <c r="W5" s="2904" t="s">
        <v>3034</v>
      </c>
      <c r="X5" s="1722">
        <f>ROUND(IF(项目基本情况!B8="出让",SUMPRODUCT(PRODUCT(1+N5:N$30)),SUMPRODUCT(PRODUCT(1+N5:N$29))),4)</f>
        <v>1.5605</v>
      </c>
      <c r="Y5" s="1722">
        <f>ROUND(IF(项目基本情况!B8="出让",SUMPRODUCT(PRODUCT(1+O5:O$30)),SUMPRODUCT(PRODUCT(1+O5:O$29))),4)</f>
        <v>1.3577999999999999</v>
      </c>
      <c r="Z5" s="1722">
        <f t="shared" ref="Z5" si="11">Y5</f>
        <v>1.3577999999999999</v>
      </c>
      <c r="AA5" s="1722">
        <f>ROUND(IF(项目基本情况!B8="出让",SUMPRODUCT(PRODUCT(1+P5:P$30)),SUMPRODUCT(PRODUCT(1+P5:P$29))),4)</f>
        <v>1.6254999999999999</v>
      </c>
      <c r="AB5" s="1722">
        <f>ROUND(IF(项目基本情况!B8="出让",SUMPRODUCT(PRODUCT(1+Q5:Q$30)),SUMPRODUCT(PRODUCT(1+Q5:Q$29))),4)</f>
        <v>1.3815999999999999</v>
      </c>
      <c r="AD5" s="1464">
        <f>ROUND(AVERAGE(I5:I$30)/100,4)</f>
        <v>1.8499999999999999E-2</v>
      </c>
      <c r="AE5" s="1464">
        <f>ROUND(AVERAGE(J5:J$30)/100,4)</f>
        <v>1.2800000000000001E-2</v>
      </c>
      <c r="AF5" s="1464">
        <f t="shared" ref="AF5" si="12">AE5</f>
        <v>1.2800000000000001E-2</v>
      </c>
      <c r="AG5" s="1464">
        <f>ROUND(AVERAGE(K5:K$30)/100,4)</f>
        <v>2.0299999999999999E-2</v>
      </c>
      <c r="AH5" s="1464">
        <f>ROUND(AVERAGE(L5:L$30)/100,4)</f>
        <v>1.3100000000000001E-2</v>
      </c>
    </row>
    <row r="6" spans="1:34" s="1462" customFormat="1">
      <c r="A6" s="1457" t="s">
        <v>3052</v>
      </c>
      <c r="B6" s="1473">
        <f t="shared" ref="B6" si="13">B7*(1+N6)</f>
        <v>479.92259063878413</v>
      </c>
      <c r="C6" s="1473">
        <f t="shared" ref="C6" si="14">C7*(1+O6)</f>
        <v>350.02082268341775</v>
      </c>
      <c r="D6" s="1473">
        <f t="shared" ref="D6" si="15">C6</f>
        <v>350.02082268341775</v>
      </c>
      <c r="E6" s="1473">
        <f t="shared" ref="E6" si="16">E7*(1+P6)</f>
        <v>687.42265944181099</v>
      </c>
      <c r="F6" s="1473">
        <f t="shared" ref="F6" si="17">F7*(1+Q6)</f>
        <v>317.63846657708956</v>
      </c>
      <c r="G6" s="2940">
        <v>2020</v>
      </c>
      <c r="H6" s="1460">
        <v>1</v>
      </c>
      <c r="I6" s="2941">
        <v>0.12</v>
      </c>
      <c r="J6" s="2941">
        <v>-0.4</v>
      </c>
      <c r="K6" s="2941">
        <v>0.21</v>
      </c>
      <c r="L6" s="2942">
        <v>0.27</v>
      </c>
      <c r="M6" s="1467"/>
      <c r="N6" s="1468">
        <f t="shared" ref="N6" si="18">I6/100</f>
        <v>1.1999999999999999E-3</v>
      </c>
      <c r="O6" s="1469">
        <f t="shared" ref="O6" si="19">J6/100</f>
        <v>-4.0000000000000001E-3</v>
      </c>
      <c r="P6" s="1469">
        <f t="shared" ref="P6" si="20">K6/100</f>
        <v>2.0999999999999999E-3</v>
      </c>
      <c r="Q6" s="1469">
        <f t="shared" ref="Q6" si="21">L6/100</f>
        <v>2.7000000000000001E-3</v>
      </c>
      <c r="R6" s="1470"/>
      <c r="S6" s="1468">
        <f>B6/B7-1</f>
        <v>1.2000000000000899E-3</v>
      </c>
      <c r="T6" s="1469">
        <f t="shared" ref="T6" si="22">C6/C7-1</f>
        <v>-4.0000000000000036E-3</v>
      </c>
      <c r="U6" s="1469">
        <f t="shared" ref="U6" si="23">D6/D7-1</f>
        <v>-4.0000000000000036E-3</v>
      </c>
      <c r="V6" s="1469">
        <f t="shared" ref="V6" si="24">E6/E7-1</f>
        <v>2.0999999999999908E-3</v>
      </c>
      <c r="W6" s="1778"/>
      <c r="X6" s="1776">
        <f>ROUND(IF(项目基本情况!B8="出让",SUMPRODUCT(PRODUCT(1+N6:N$30)),SUMPRODUCT(PRODUCT(1+N6:N$29))),4)</f>
        <v>1.5605</v>
      </c>
      <c r="Y6" s="1776">
        <f>ROUND(IF(项目基本情况!B8="出让",SUMPRODUCT(PRODUCT(1+O6:O$30)),SUMPRODUCT(PRODUCT(1+O6:O$29))),4)</f>
        <v>1.3577999999999999</v>
      </c>
      <c r="Z6" s="1776">
        <f t="shared" ref="Z6" si="25">Y6</f>
        <v>1.3577999999999999</v>
      </c>
      <c r="AA6" s="1776">
        <f>ROUND(IF(项目基本情况!B8="出让",SUMPRODUCT(PRODUCT(1+P6:P$30)),SUMPRODUCT(PRODUCT(1+P6:P$29))),4)</f>
        <v>1.6254999999999999</v>
      </c>
      <c r="AB6" s="1776">
        <f>ROUND(IF(项目基本情况!B8="出让",SUMPRODUCT(PRODUCT(1+Q6:Q$30)),SUMPRODUCT(PRODUCT(1+Q6:Q$29))),4)</f>
        <v>1.3815999999999999</v>
      </c>
      <c r="AC6" s="1778"/>
      <c r="AD6" s="1777">
        <f>ROUND(AVERAGE(I6:I$30)/100,4)</f>
        <v>1.9199999999999998E-2</v>
      </c>
      <c r="AE6" s="1777">
        <f>ROUND(AVERAGE(J6:J$30)/100,4)</f>
        <v>1.3299999999999999E-2</v>
      </c>
      <c r="AF6" s="1777">
        <f t="shared" ref="AF6" si="26">AE6</f>
        <v>1.3299999999999999E-2</v>
      </c>
      <c r="AG6" s="1777">
        <f>ROUND(AVERAGE(K6:K$30)/100,4)</f>
        <v>2.1100000000000001E-2</v>
      </c>
      <c r="AH6" s="1777">
        <f>ROUND(AVERAGE(L6:L$30)/100,4)</f>
        <v>1.3599999999999999E-2</v>
      </c>
    </row>
    <row r="7" spans="1:34" s="1462" customFormat="1">
      <c r="A7" s="1457" t="s">
        <v>3051</v>
      </c>
      <c r="B7" s="1473">
        <f t="shared" ref="B7" si="27">B8*(1+N7)</f>
        <v>479.34737379023579</v>
      </c>
      <c r="C7" s="1473">
        <f t="shared" ref="C7" si="28">C8*(1+O7)</f>
        <v>351.4265287986122</v>
      </c>
      <c r="D7" s="1473">
        <f t="shared" ref="D7" si="29">C7</f>
        <v>351.4265287986122</v>
      </c>
      <c r="E7" s="1473">
        <f t="shared" ref="E7" si="30">E8*(1+P7)</f>
        <v>685.98209703803116</v>
      </c>
      <c r="F7" s="1473">
        <f t="shared" ref="F7" si="31">F8*(1+Q7)</f>
        <v>316.78315206651001</v>
      </c>
      <c r="G7" s="2939">
        <v>2019</v>
      </c>
      <c r="H7" s="1460">
        <v>4</v>
      </c>
      <c r="I7" s="1460">
        <v>0.45</v>
      </c>
      <c r="J7" s="1460">
        <v>-0.12</v>
      </c>
      <c r="K7" s="1460">
        <v>0.54</v>
      </c>
      <c r="L7" s="1474">
        <v>0.48</v>
      </c>
      <c r="M7" s="1467"/>
      <c r="N7" s="1468">
        <f t="shared" ref="N7:N12" si="32">I7/100</f>
        <v>4.5000000000000005E-3</v>
      </c>
      <c r="O7" s="1469">
        <f t="shared" ref="O7" si="33">J7/100</f>
        <v>-1.1999999999999999E-3</v>
      </c>
      <c r="P7" s="1469">
        <f t="shared" ref="P7" si="34">K7/100</f>
        <v>5.4000000000000003E-3</v>
      </c>
      <c r="Q7" s="1469">
        <f t="shared" ref="Q7" si="35">L7/100</f>
        <v>4.7999999999999996E-3</v>
      </c>
      <c r="R7" s="1470"/>
      <c r="S7" s="1468"/>
      <c r="T7" s="1469"/>
      <c r="U7" s="1469"/>
      <c r="V7" s="1469"/>
      <c r="W7" s="1778"/>
      <c r="X7" s="1776">
        <f>ROUND(IF(项目基本情况!B8="出让",SUMPRODUCT(PRODUCT(1+N7:N$30)),SUMPRODUCT(PRODUCT(1+N7:N$29))),4)</f>
        <v>1.5586</v>
      </c>
      <c r="Y7" s="1776">
        <f>ROUND(IF(项目基本情况!B8="出让",SUMPRODUCT(PRODUCT(1+O7:O$30)),SUMPRODUCT(PRODUCT(1+O7:O$29))),4)</f>
        <v>1.3633</v>
      </c>
      <c r="Z7" s="1776">
        <f t="shared" ref="Z7" si="36">Y7</f>
        <v>1.3633</v>
      </c>
      <c r="AA7" s="1776">
        <f>ROUND(IF(项目基本情况!B8="出让",SUMPRODUCT(PRODUCT(1+P7:P$30)),SUMPRODUCT(PRODUCT(1+P7:P$29))),4)</f>
        <v>1.6221000000000001</v>
      </c>
      <c r="AB7" s="1776">
        <f>ROUND(IF(项目基本情况!B8="出让",SUMPRODUCT(PRODUCT(1+Q7:Q$30)),SUMPRODUCT(PRODUCT(1+Q7:Q$29))),4)</f>
        <v>1.3777999999999999</v>
      </c>
      <c r="AC7" s="1778"/>
      <c r="AD7" s="1777">
        <f>ROUND(AVERAGE(I7:I$30)/100,4)</f>
        <v>0.02</v>
      </c>
      <c r="AE7" s="1777">
        <f>ROUND(AVERAGE(J7:J$30)/100,4)</f>
        <v>1.4E-2</v>
      </c>
      <c r="AF7" s="1777">
        <f t="shared" ref="AF7" si="37">AE7</f>
        <v>1.4E-2</v>
      </c>
      <c r="AG7" s="1777">
        <f>ROUND(AVERAGE(K7:K$30)/100,4)</f>
        <v>2.1899999999999999E-2</v>
      </c>
      <c r="AH7" s="1777">
        <f>ROUND(AVERAGE(L7:L$30)/100,4)</f>
        <v>1.4E-2</v>
      </c>
    </row>
    <row r="8" spans="1:34" s="1462" customFormat="1" ht="13.5" thickBot="1">
      <c r="A8" s="1457" t="s">
        <v>3047</v>
      </c>
      <c r="B8" s="1473">
        <f t="shared" ref="B8" si="38">B9*(1+N8)</f>
        <v>477.19997390765138</v>
      </c>
      <c r="C8" s="1473">
        <f t="shared" ref="C8" si="39">C9*(1+O8)</f>
        <v>351.84874729536665</v>
      </c>
      <c r="D8" s="1473">
        <f t="shared" ref="D8" si="40">C8</f>
        <v>351.84874729536665</v>
      </c>
      <c r="E8" s="1473">
        <f t="shared" ref="E8" si="41">E9*(1+P8)</f>
        <v>682.29768951465201</v>
      </c>
      <c r="F8" s="1473">
        <f t="shared" ref="F8" si="42">F9*(1+Q8)</f>
        <v>315.26985675409043</v>
      </c>
      <c r="G8" s="2938">
        <v>2019</v>
      </c>
      <c r="H8" s="1460">
        <v>3</v>
      </c>
      <c r="I8" s="1460">
        <v>0.61</v>
      </c>
      <c r="J8" s="1460">
        <v>0.67</v>
      </c>
      <c r="K8" s="1460">
        <v>0.6</v>
      </c>
      <c r="L8" s="1474">
        <v>1.03</v>
      </c>
      <c r="M8" s="1467"/>
      <c r="N8" s="1468">
        <f t="shared" si="32"/>
        <v>6.0999999999999995E-3</v>
      </c>
      <c r="O8" s="1469">
        <f t="shared" ref="O8" si="43">J8/100</f>
        <v>6.7000000000000002E-3</v>
      </c>
      <c r="P8" s="1469">
        <f t="shared" ref="P8" si="44">K8/100</f>
        <v>6.0000000000000001E-3</v>
      </c>
      <c r="Q8" s="1469">
        <f t="shared" ref="Q8" si="45">L8/100</f>
        <v>1.03E-2</v>
      </c>
      <c r="R8" s="1470"/>
      <c r="S8" s="1468"/>
      <c r="T8" s="1469"/>
      <c r="U8" s="1469"/>
      <c r="V8" s="1469"/>
      <c r="W8" s="1778"/>
      <c r="X8" s="1776">
        <f>ROUND(IF(项目基本情况!B8="出让",SUMPRODUCT(PRODUCT(1+N8:N$30)),SUMPRODUCT(PRODUCT(1+N8:N$29))),4)</f>
        <v>1.5516000000000001</v>
      </c>
      <c r="Y8" s="1776">
        <f>ROUND(IF(项目基本情况!B8="出让",SUMPRODUCT(PRODUCT(1+O8:O$30)),SUMPRODUCT(PRODUCT(1+O8:O$29))),4)</f>
        <v>1.3649</v>
      </c>
      <c r="Z8" s="1776">
        <f t="shared" ref="Z8" si="46">Y8</f>
        <v>1.3649</v>
      </c>
      <c r="AA8" s="1776">
        <f>ROUND(IF(项目基本情况!B8="出让",SUMPRODUCT(PRODUCT(1+P8:P$30)),SUMPRODUCT(PRODUCT(1+P8:P$29))),4)</f>
        <v>1.6133999999999999</v>
      </c>
      <c r="AB8" s="1776">
        <f>ROUND(IF(项目基本情况!B8="出让",SUMPRODUCT(PRODUCT(1+Q8:Q$30)),SUMPRODUCT(PRODUCT(1+Q8:Q$29))),4)</f>
        <v>1.3713</v>
      </c>
      <c r="AC8" s="1778"/>
      <c r="AD8" s="1777">
        <f>ROUND(AVERAGE(I8:I$30)/100,4)</f>
        <v>2.07E-2</v>
      </c>
      <c r="AE8" s="1777">
        <f>ROUND(AVERAGE(J8:J$30)/100,4)</f>
        <v>1.47E-2</v>
      </c>
      <c r="AF8" s="1777">
        <f t="shared" ref="AF8" si="47">AE8</f>
        <v>1.47E-2</v>
      </c>
      <c r="AG8" s="1777">
        <f>ROUND(AVERAGE(K8:K$30)/100,4)</f>
        <v>2.2599999999999999E-2</v>
      </c>
      <c r="AH8" s="1777">
        <f>ROUND(AVERAGE(L8:L$30)/100,4)</f>
        <v>1.44E-2</v>
      </c>
    </row>
    <row r="9" spans="1:34" s="1462" customFormat="1">
      <c r="A9" s="1457" t="s">
        <v>3045</v>
      </c>
      <c r="B9" s="1473">
        <f t="shared" ref="B9" si="48">B10*(1+N9)</f>
        <v>474.30670301923408</v>
      </c>
      <c r="C9" s="1473">
        <f t="shared" ref="C9" si="49">C10*(1+O9)</f>
        <v>349.50705005996491</v>
      </c>
      <c r="D9" s="1473">
        <f t="shared" ref="D9" si="50">C9</f>
        <v>349.50705005996491</v>
      </c>
      <c r="E9" s="1473">
        <f t="shared" ref="E9" si="51">E10*(1+P9)</f>
        <v>678.22831959706957</v>
      </c>
      <c r="F9" s="1473">
        <f t="shared" ref="F9" si="52">F10*(1+Q9)</f>
        <v>312.0556832169558</v>
      </c>
      <c r="G9" s="2934">
        <v>2019</v>
      </c>
      <c r="H9" s="1458">
        <v>2</v>
      </c>
      <c r="I9" s="1458">
        <v>1.53</v>
      </c>
      <c r="J9" s="1458">
        <v>1.01</v>
      </c>
      <c r="K9" s="1458">
        <v>1.62</v>
      </c>
      <c r="L9" s="1459">
        <v>1.25</v>
      </c>
      <c r="M9" s="1467"/>
      <c r="N9" s="1468">
        <f t="shared" si="32"/>
        <v>1.5300000000000001E-2</v>
      </c>
      <c r="O9" s="1469">
        <f t="shared" ref="O9" si="53">J9/100</f>
        <v>1.01E-2</v>
      </c>
      <c r="P9" s="1469">
        <f t="shared" ref="P9" si="54">K9/100</f>
        <v>1.6200000000000003E-2</v>
      </c>
      <c r="Q9" s="1469">
        <f t="shared" ref="Q9" si="55">L9/100</f>
        <v>1.2500000000000001E-2</v>
      </c>
      <c r="R9" s="1470"/>
      <c r="S9" s="1468"/>
      <c r="T9" s="1469"/>
      <c r="U9" s="1469"/>
      <c r="V9" s="1469"/>
      <c r="W9" s="1778"/>
      <c r="X9" s="1776">
        <f>ROUND(IF(项目基本情况!B8="出让",SUMPRODUCT(PRODUCT(1+N9:N$30)),SUMPRODUCT(PRODUCT(1+N9:N$29))),4)</f>
        <v>1.5422</v>
      </c>
      <c r="Y9" s="1776">
        <f>ROUND(IF(项目基本情况!B8="出让",SUMPRODUCT(PRODUCT(1+O9:O$30)),SUMPRODUCT(PRODUCT(1+O9:O$29))),4)</f>
        <v>1.3557999999999999</v>
      </c>
      <c r="Z9" s="1776">
        <f t="shared" ref="Z9" si="56">Y9</f>
        <v>1.3557999999999999</v>
      </c>
      <c r="AA9" s="1776">
        <f>ROUND(IF(项目基本情况!B8="出让",SUMPRODUCT(PRODUCT(1+P9:P$30)),SUMPRODUCT(PRODUCT(1+P9:P$29))),4)</f>
        <v>1.6036999999999999</v>
      </c>
      <c r="AB9" s="1776">
        <f>ROUND(IF(项目基本情况!B8="出让",SUMPRODUCT(PRODUCT(1+Q9:Q$30)),SUMPRODUCT(PRODUCT(1+Q9:Q$29))),4)</f>
        <v>1.3573</v>
      </c>
      <c r="AC9" s="1778"/>
      <c r="AD9" s="1777">
        <f>ROUND(AVERAGE(I9:I$30)/100,4)</f>
        <v>2.1299999999999999E-2</v>
      </c>
      <c r="AE9" s="1777">
        <f>ROUND(AVERAGE(J9:J$30)/100,4)</f>
        <v>1.4999999999999999E-2</v>
      </c>
      <c r="AF9" s="1777">
        <f t="shared" ref="AF9" si="57">AE9</f>
        <v>1.4999999999999999E-2</v>
      </c>
      <c r="AG9" s="1777">
        <f>ROUND(AVERAGE(K9:K$30)/100,4)</f>
        <v>2.3300000000000001E-2</v>
      </c>
      <c r="AH9" s="1777">
        <f>ROUND(AVERAGE(L9:L$30)/100,4)</f>
        <v>1.46E-2</v>
      </c>
    </row>
    <row r="10" spans="1:34" s="1462" customFormat="1" ht="13.5" thickBot="1">
      <c r="A10" s="1457" t="s">
        <v>3043</v>
      </c>
      <c r="B10" s="1473">
        <f t="shared" ref="B10" si="58">B11*(1+N10)</f>
        <v>467.15916775261894</v>
      </c>
      <c r="C10" s="1473">
        <f t="shared" ref="C10" si="59">C11*(1+O10)</f>
        <v>346.01232557169084</v>
      </c>
      <c r="D10" s="1473">
        <f t="shared" ref="D10" si="60">C10</f>
        <v>346.01232557169084</v>
      </c>
      <c r="E10" s="1473">
        <f t="shared" ref="E10" si="61">E11*(1+P10)</f>
        <v>667.41617752122568</v>
      </c>
      <c r="F10" s="1473">
        <f t="shared" ref="F10" si="62">F11*(1+Q10)</f>
        <v>308.20314391798104</v>
      </c>
      <c r="G10" s="2918">
        <v>2019</v>
      </c>
      <c r="H10" s="1460">
        <v>1</v>
      </c>
      <c r="I10" s="1460">
        <v>0.6</v>
      </c>
      <c r="J10" s="1460">
        <v>0.37</v>
      </c>
      <c r="K10" s="1460">
        <v>0.63</v>
      </c>
      <c r="L10" s="1474">
        <v>1.1299999999999999</v>
      </c>
      <c r="M10" s="1467"/>
      <c r="N10" s="1468">
        <f t="shared" si="32"/>
        <v>6.0000000000000001E-3</v>
      </c>
      <c r="O10" s="1469">
        <f t="shared" ref="O10" si="63">J10/100</f>
        <v>3.7000000000000002E-3</v>
      </c>
      <c r="P10" s="1469">
        <f t="shared" ref="P10" si="64">K10/100</f>
        <v>6.3E-3</v>
      </c>
      <c r="Q10" s="1469">
        <f t="shared" ref="Q10" si="65">L10/100</f>
        <v>1.1299999999999999E-2</v>
      </c>
      <c r="R10" s="1470"/>
      <c r="S10" s="1468">
        <f>B10/B11-1</f>
        <v>6.0000000000000053E-3</v>
      </c>
      <c r="T10" s="1469">
        <f t="shared" ref="T10" si="66">C10/C11-1</f>
        <v>3.7000000000000366E-3</v>
      </c>
      <c r="U10" s="1469">
        <f t="shared" ref="U10" si="67">D10/D11-1</f>
        <v>3.7000000000000366E-3</v>
      </c>
      <c r="V10" s="1469">
        <f t="shared" ref="V10" si="68">E10/E11-1</f>
        <v>6.2999999999999723E-3</v>
      </c>
      <c r="W10" s="1778"/>
      <c r="X10" s="1776">
        <f>ROUND(IF(项目基本情况!B8="出让",SUMPRODUCT(PRODUCT(1+N10:N$30)),SUMPRODUCT(PRODUCT(1+N10:N$29))),4)</f>
        <v>1.5189999999999999</v>
      </c>
      <c r="Y10" s="1776">
        <f>ROUND(IF(项目基本情况!B8="出让",SUMPRODUCT(PRODUCT(1+O10:O$30)),SUMPRODUCT(PRODUCT(1+O10:O$29))),4)</f>
        <v>1.3423</v>
      </c>
      <c r="Z10" s="1776">
        <f t="shared" ref="Z10" si="69">Y10</f>
        <v>1.3423</v>
      </c>
      <c r="AA10" s="1776">
        <f>ROUND(IF(项目基本情况!B8="出让",SUMPRODUCT(PRODUCT(1+P10:P$30)),SUMPRODUCT(PRODUCT(1+P10:P$29))),4)</f>
        <v>1.5782</v>
      </c>
      <c r="AB10" s="1776">
        <f>ROUND(IF(项目基本情况!B8="出让",SUMPRODUCT(PRODUCT(1+Q10:Q$30)),SUMPRODUCT(PRODUCT(1+Q10:Q$29))),4)</f>
        <v>1.3405</v>
      </c>
      <c r="AC10" s="1778"/>
      <c r="AD10" s="1777">
        <f>ROUND(AVERAGE(I10:I$30)/100,4)</f>
        <v>2.1600000000000001E-2</v>
      </c>
      <c r="AE10" s="1777">
        <f>ROUND(AVERAGE(J10:J$30)/100,4)</f>
        <v>1.5299999999999999E-2</v>
      </c>
      <c r="AF10" s="1777">
        <f t="shared" ref="AF10" si="70">AE10</f>
        <v>1.5299999999999999E-2</v>
      </c>
      <c r="AG10" s="1777">
        <f>ROUND(AVERAGE(K10:K$30)/100,4)</f>
        <v>2.3699999999999999E-2</v>
      </c>
      <c r="AH10" s="1777">
        <f>ROUND(AVERAGE(L10:L$30)/100,4)</f>
        <v>1.47E-2</v>
      </c>
    </row>
    <row r="11" spans="1:34" s="1462" customFormat="1">
      <c r="A11" s="1457" t="s">
        <v>3046</v>
      </c>
      <c r="B11" s="2935">
        <f t="shared" ref="B11" si="71">B12*(1+N11)</f>
        <v>464.37293017158942</v>
      </c>
      <c r="C11" s="2935">
        <f t="shared" ref="C11" si="72">C12*(1+O11)</f>
        <v>344.73679941385956</v>
      </c>
      <c r="D11" s="2935">
        <f t="shared" ref="D11" si="73">C11</f>
        <v>344.73679941385956</v>
      </c>
      <c r="E11" s="2935">
        <f t="shared" ref="E11" si="74">E12*(1+P11)</f>
        <v>663.2377795103107</v>
      </c>
      <c r="F11" s="2936">
        <f t="shared" ref="F11" si="75">F12*(1+Q11)</f>
        <v>304.75936311478398</v>
      </c>
      <c r="G11" s="3700">
        <v>2018</v>
      </c>
      <c r="H11" s="1458">
        <v>4</v>
      </c>
      <c r="I11" s="1458">
        <v>0.96</v>
      </c>
      <c r="J11" s="1458">
        <v>1.03</v>
      </c>
      <c r="K11" s="1458">
        <v>0.92</v>
      </c>
      <c r="L11" s="1459">
        <v>1.29</v>
      </c>
      <c r="M11" s="1467"/>
      <c r="N11" s="1468">
        <f t="shared" si="32"/>
        <v>9.5999999999999992E-3</v>
      </c>
      <c r="O11" s="1469">
        <f t="shared" ref="O11" si="76">J11/100</f>
        <v>1.03E-2</v>
      </c>
      <c r="P11" s="1469">
        <f t="shared" ref="P11" si="77">K11/100</f>
        <v>9.1999999999999998E-3</v>
      </c>
      <c r="Q11" s="1469">
        <f t="shared" ref="Q11" si="78">L11/100</f>
        <v>1.29E-2</v>
      </c>
      <c r="R11" s="1470"/>
      <c r="S11" s="1468"/>
      <c r="T11" s="1469"/>
      <c r="U11" s="1469"/>
      <c r="V11" s="1469"/>
      <c r="W11" s="1778"/>
      <c r="X11" s="1776">
        <f>ROUND(SUMPRODUCT(PRODUCT(1+N11:N$29)),4)</f>
        <v>1.5099</v>
      </c>
      <c r="Y11" s="1776">
        <f>ROUND(SUMPRODUCT(PRODUCT(1+O11:O$29)),4)</f>
        <v>1.3372999999999999</v>
      </c>
      <c r="Z11" s="1776">
        <f t="shared" ref="Z11" si="79">Y11</f>
        <v>1.3372999999999999</v>
      </c>
      <c r="AA11" s="1776">
        <f>ROUND(SUMPRODUCT(PRODUCT(1+P11:P$29)),4)</f>
        <v>1.5683</v>
      </c>
      <c r="AB11" s="1776">
        <f>ROUND(SUMPRODUCT(PRODUCT(1+Q11:Q$29)),4)</f>
        <v>1.3255999999999999</v>
      </c>
      <c r="AC11" s="1778"/>
      <c r="AD11" s="1777">
        <f>ROUND(AVERAGE(I11:I$30)/100,4)</f>
        <v>2.24E-2</v>
      </c>
      <c r="AE11" s="1777">
        <f>ROUND(AVERAGE(J11:J$30)/100,4)</f>
        <v>1.5800000000000002E-2</v>
      </c>
      <c r="AF11" s="1777">
        <f t="shared" ref="AF11" si="80">AE11</f>
        <v>1.5800000000000002E-2</v>
      </c>
      <c r="AG11" s="1777">
        <f>ROUND(AVERAGE(K11:K$30)/100,4)</f>
        <v>2.4500000000000001E-2</v>
      </c>
      <c r="AH11" s="1777">
        <f>ROUND(AVERAGE(L11:L$30)/100,4)</f>
        <v>1.49E-2</v>
      </c>
    </row>
    <row r="12" spans="1:34" s="1462" customFormat="1" ht="14.45" customHeight="1">
      <c r="A12" s="1457" t="s">
        <v>3040</v>
      </c>
      <c r="B12" s="1473">
        <f t="shared" ref="B12" si="81">B13*(1+N12)</f>
        <v>459.95733971036987</v>
      </c>
      <c r="C12" s="1473">
        <f t="shared" ref="C12" si="82">C13*(1+O12)</f>
        <v>341.22221064422405</v>
      </c>
      <c r="D12" s="1473">
        <f t="shared" ref="D12" si="83">C12</f>
        <v>341.22221064422405</v>
      </c>
      <c r="E12" s="1473">
        <f t="shared" ref="E12" si="84">E13*(1+P12)</f>
        <v>657.19161663724799</v>
      </c>
      <c r="F12" s="1473">
        <f t="shared" ref="F12" si="85">F13*(1+Q12)</f>
        <v>300.87803644464805</v>
      </c>
      <c r="G12" s="3700"/>
      <c r="H12" s="1460">
        <v>3</v>
      </c>
      <c r="I12" s="1460">
        <v>1.51</v>
      </c>
      <c r="J12" s="1460">
        <v>1.41</v>
      </c>
      <c r="K12" s="1460">
        <v>1.52</v>
      </c>
      <c r="L12" s="1474">
        <v>1.74</v>
      </c>
      <c r="M12" s="1467"/>
      <c r="N12" s="1468">
        <f t="shared" si="32"/>
        <v>1.5100000000000001E-2</v>
      </c>
      <c r="O12" s="1469">
        <f t="shared" ref="O12" si="86">J12/100</f>
        <v>1.41E-2</v>
      </c>
      <c r="P12" s="1469">
        <f t="shared" ref="P12" si="87">K12/100</f>
        <v>1.52E-2</v>
      </c>
      <c r="Q12" s="1469">
        <f t="shared" ref="Q12" si="88">L12/100</f>
        <v>1.7399999999999999E-2</v>
      </c>
      <c r="R12" s="1470"/>
      <c r="S12" s="1468"/>
      <c r="T12" s="1469"/>
      <c r="U12" s="1469"/>
      <c r="V12" s="1469"/>
      <c r="W12" s="1778"/>
      <c r="X12" s="1776">
        <f>ROUND(SUMPRODUCT(PRODUCT(1+N12:N$29)),4)</f>
        <v>1.4956</v>
      </c>
      <c r="Y12" s="1776">
        <f>ROUND(SUMPRODUCT(PRODUCT(1+O12:O$29)),4)</f>
        <v>1.3237000000000001</v>
      </c>
      <c r="Z12" s="1776">
        <f t="shared" ref="Z12" si="89">Y12</f>
        <v>1.3237000000000001</v>
      </c>
      <c r="AA12" s="1776">
        <f>ROUND(SUMPRODUCT(PRODUCT(1+P12:P$29)),4)</f>
        <v>1.554</v>
      </c>
      <c r="AB12" s="1776">
        <f>ROUND(SUMPRODUCT(PRODUCT(1+Q12:Q$29)),4)</f>
        <v>1.3087</v>
      </c>
      <c r="AC12" s="1778"/>
      <c r="AD12" s="1777">
        <f>ROUND(AVERAGE(I12:I$30)/100,4)</f>
        <v>2.3099999999999999E-2</v>
      </c>
      <c r="AE12" s="1777">
        <f>ROUND(AVERAGE(J12:J$30)/100,4)</f>
        <v>1.61E-2</v>
      </c>
      <c r="AF12" s="1777">
        <f t="shared" ref="AF12" si="90">AE12</f>
        <v>1.61E-2</v>
      </c>
      <c r="AG12" s="1777">
        <f>ROUND(AVERAGE(K12:K$30)/100,4)</f>
        <v>2.53E-2</v>
      </c>
      <c r="AH12" s="1777">
        <f>ROUND(AVERAGE(L12:L$30)/100,4)</f>
        <v>1.4999999999999999E-2</v>
      </c>
    </row>
    <row r="13" spans="1:34" s="1462" customFormat="1" ht="14.45" customHeight="1">
      <c r="A13" s="1457" t="s">
        <v>3039</v>
      </c>
      <c r="B13" s="1473">
        <f t="shared" ref="B13" si="91">B14*(1+N13)</f>
        <v>453.11529869999993</v>
      </c>
      <c r="C13" s="1473">
        <f t="shared" ref="C13" si="92">C14*(1+O13)</f>
        <v>336.47787264000004</v>
      </c>
      <c r="D13" s="1473">
        <f t="shared" ref="D13" si="93">C13</f>
        <v>336.47787264000004</v>
      </c>
      <c r="E13" s="1473">
        <f t="shared" ref="E13" si="94">E14*(1+P13)</f>
        <v>647.35186823999993</v>
      </c>
      <c r="F13" s="1473">
        <f t="shared" ref="F13" si="95">F14*(1+Q13)</f>
        <v>295.73229452000004</v>
      </c>
      <c r="G13" s="3700"/>
      <c r="H13" s="1461">
        <v>2</v>
      </c>
      <c r="I13" s="1461">
        <v>1.49</v>
      </c>
      <c r="J13" s="1461">
        <v>0.96</v>
      </c>
      <c r="K13" s="1461">
        <v>1.58</v>
      </c>
      <c r="L13" s="1475">
        <v>2.44</v>
      </c>
      <c r="M13" s="1467"/>
      <c r="N13" s="1468">
        <f t="shared" ref="N13" si="96">I13/100</f>
        <v>1.49E-2</v>
      </c>
      <c r="O13" s="1469">
        <f t="shared" ref="O13" si="97">J13/100</f>
        <v>9.5999999999999992E-3</v>
      </c>
      <c r="P13" s="1469">
        <f t="shared" ref="P13" si="98">K13/100</f>
        <v>1.5800000000000002E-2</v>
      </c>
      <c r="Q13" s="1469">
        <f t="shared" ref="Q13" si="99">L13/100</f>
        <v>2.4399999999999998E-2</v>
      </c>
      <c r="R13" s="1470"/>
      <c r="S13" s="1468"/>
      <c r="T13" s="1469"/>
      <c r="U13" s="1469"/>
      <c r="V13" s="1469"/>
      <c r="W13" s="1778"/>
      <c r="X13" s="1776">
        <f>ROUND(SUMPRODUCT(PRODUCT(1+N13:N$29)),4)</f>
        <v>1.4733000000000001</v>
      </c>
      <c r="Y13" s="1776">
        <f>ROUND(SUMPRODUCT(PRODUCT(1+O13:O$29)),4)</f>
        <v>1.3052999999999999</v>
      </c>
      <c r="Z13" s="1776">
        <f t="shared" ref="Z13" si="100">Y13</f>
        <v>1.3052999999999999</v>
      </c>
      <c r="AA13" s="1776">
        <f>ROUND(SUMPRODUCT(PRODUCT(1+P13:P$29)),4)</f>
        <v>1.5306999999999999</v>
      </c>
      <c r="AB13" s="1776">
        <f>ROUND(SUMPRODUCT(PRODUCT(1+Q13:Q$29)),4)</f>
        <v>1.2863</v>
      </c>
      <c r="AC13" s="1778"/>
      <c r="AD13" s="1777">
        <f>ROUND(AVERAGE(I13:I$30)/100,4)</f>
        <v>2.35E-2</v>
      </c>
      <c r="AE13" s="1777">
        <f>ROUND(AVERAGE(J13:J$30)/100,4)</f>
        <v>1.6199999999999999E-2</v>
      </c>
      <c r="AF13" s="1777">
        <f t="shared" ref="AF13" si="101">AE13</f>
        <v>1.6199999999999999E-2</v>
      </c>
      <c r="AG13" s="1777">
        <f>ROUND(AVERAGE(K13:K$30)/100,4)</f>
        <v>2.5899999999999999E-2</v>
      </c>
      <c r="AH13" s="1777">
        <f>ROUND(AVERAGE(L13:L$30)/100,4)</f>
        <v>1.49E-2</v>
      </c>
    </row>
    <row r="14" spans="1:34" s="1462" customFormat="1" ht="15" customHeight="1" thickBot="1">
      <c r="A14" s="1457" t="s">
        <v>3032</v>
      </c>
      <c r="B14" s="1473">
        <f t="shared" ref="B14" si="102">B15*(1+N14)</f>
        <v>446.46299999999997</v>
      </c>
      <c r="C14" s="1473">
        <f t="shared" ref="C14" si="103">C15*(1+O14)</f>
        <v>333.27840000000003</v>
      </c>
      <c r="D14" s="1473">
        <f t="shared" ref="D14" si="104">C14</f>
        <v>333.27840000000003</v>
      </c>
      <c r="E14" s="1473">
        <f t="shared" ref="E14" si="105">E15*(1+P14)</f>
        <v>637.28279999999995</v>
      </c>
      <c r="F14" s="1473">
        <f t="shared" ref="F14" si="106">F15*(1+Q14)</f>
        <v>288.68830000000003</v>
      </c>
      <c r="G14" s="3707"/>
      <c r="H14" s="1460">
        <v>1</v>
      </c>
      <c r="I14" s="1460">
        <v>1.7</v>
      </c>
      <c r="J14" s="1460">
        <v>1.92</v>
      </c>
      <c r="K14" s="1460">
        <v>1.64</v>
      </c>
      <c r="L14" s="1474">
        <v>2.0099999999999998</v>
      </c>
      <c r="M14" s="1467"/>
      <c r="N14" s="1468">
        <f t="shared" ref="N14:N19" si="107">I14/100</f>
        <v>1.7000000000000001E-2</v>
      </c>
      <c r="O14" s="1469">
        <f t="shared" ref="O14" si="108">J14/100</f>
        <v>1.9199999999999998E-2</v>
      </c>
      <c r="P14" s="1469">
        <f t="shared" ref="P14" si="109">K14/100</f>
        <v>1.6399999999999998E-2</v>
      </c>
      <c r="Q14" s="1469">
        <f t="shared" ref="Q14" si="110">L14/100</f>
        <v>2.0099999999999996E-2</v>
      </c>
      <c r="R14" s="1470"/>
      <c r="S14" s="1468">
        <f>B14/B15-1</f>
        <v>1.6999999999999904E-2</v>
      </c>
      <c r="T14" s="1469">
        <f t="shared" ref="T14" si="111">C14/C15-1</f>
        <v>1.9200000000000106E-2</v>
      </c>
      <c r="U14" s="1469">
        <f t="shared" ref="U14" si="112">D14/D15-1</f>
        <v>1.9200000000000106E-2</v>
      </c>
      <c r="V14" s="1469">
        <f t="shared" ref="V14" si="113">E14/E15-1</f>
        <v>1.639999999999997E-2</v>
      </c>
      <c r="W14" s="1778"/>
      <c r="X14" s="1776">
        <f>ROUND(SUMPRODUCT(PRODUCT(1+N14:N$29)),4)</f>
        <v>1.4517</v>
      </c>
      <c r="Y14" s="1776">
        <f>ROUND(SUMPRODUCT(PRODUCT(1+O14:O$29)),4)</f>
        <v>1.2928999999999999</v>
      </c>
      <c r="Z14" s="1776">
        <f t="shared" ref="Z14" si="114">Y14</f>
        <v>1.2928999999999999</v>
      </c>
      <c r="AA14" s="1776">
        <f>ROUND(SUMPRODUCT(PRODUCT(1+P14:P$29)),4)</f>
        <v>1.5068999999999999</v>
      </c>
      <c r="AB14" s="1776">
        <f>ROUND(SUMPRODUCT(PRODUCT(1+Q14:Q$29)),4)</f>
        <v>1.2557</v>
      </c>
      <c r="AC14" s="1778"/>
      <c r="AD14" s="1777">
        <f>ROUND(AVERAGE(I14:I$30)/100,4)</f>
        <v>2.4E-2</v>
      </c>
      <c r="AE14" s="1777">
        <f>ROUND(AVERAGE(J14:J$30)/100,4)</f>
        <v>1.66E-2</v>
      </c>
      <c r="AF14" s="1777">
        <f t="shared" ref="AF14" si="115">AE14</f>
        <v>1.66E-2</v>
      </c>
      <c r="AG14" s="1777">
        <f>ROUND(AVERAGE(K14:K$30)/100,4)</f>
        <v>2.6499999999999999E-2</v>
      </c>
      <c r="AH14" s="1777">
        <f>ROUND(AVERAGE(L14:L$30)/100,4)</f>
        <v>1.43E-2</v>
      </c>
    </row>
    <row r="15" spans="1:34">
      <c r="A15" s="1457" t="s">
        <v>3029</v>
      </c>
      <c r="B15" s="1465">
        <v>439</v>
      </c>
      <c r="C15" s="1465">
        <v>327</v>
      </c>
      <c r="D15" s="1465">
        <f>C15</f>
        <v>327</v>
      </c>
      <c r="E15" s="1465">
        <v>627</v>
      </c>
      <c r="F15" s="1466">
        <v>283</v>
      </c>
      <c r="G15" s="3703">
        <v>2017</v>
      </c>
      <c r="H15" s="1458">
        <v>4</v>
      </c>
      <c r="I15" s="1458">
        <v>1.71</v>
      </c>
      <c r="J15" s="1458">
        <v>1.78</v>
      </c>
      <c r="K15" s="1458">
        <v>1.71</v>
      </c>
      <c r="L15" s="1459">
        <v>1.43</v>
      </c>
      <c r="N15" s="1468">
        <f t="shared" si="107"/>
        <v>1.7100000000000001E-2</v>
      </c>
      <c r="O15" s="1469">
        <f t="shared" ref="O15" si="116">J15/100</f>
        <v>1.78E-2</v>
      </c>
      <c r="P15" s="1469">
        <f t="shared" ref="P15" si="117">K15/100</f>
        <v>1.7100000000000001E-2</v>
      </c>
      <c r="Q15" s="1469">
        <f t="shared" ref="Q15" si="118">L15/100</f>
        <v>1.43E-2</v>
      </c>
      <c r="R15" s="1470"/>
      <c r="S15" s="1471"/>
      <c r="T15" s="1472"/>
      <c r="U15" s="1472"/>
      <c r="V15" s="1472"/>
      <c r="X15" s="1455">
        <f>ROUND(SUMPRODUCT(PRODUCT(1+N15:N$29)),4)</f>
        <v>1.4274</v>
      </c>
      <c r="Y15" s="1455">
        <f>ROUND(SUMPRODUCT(PRODUCT(1+O15:O$29)),4)</f>
        <v>1.2685</v>
      </c>
      <c r="Z15" s="1455">
        <f t="shared" si="0"/>
        <v>1.2685</v>
      </c>
      <c r="AA15" s="1455">
        <f>ROUND(SUMPRODUCT(PRODUCT(1+P15:P$29)),4)</f>
        <v>1.4825999999999999</v>
      </c>
      <c r="AB15" s="1455">
        <f>ROUND(SUMPRODUCT(PRODUCT(1+Q15:Q$29)),4)</f>
        <v>1.2309000000000001</v>
      </c>
      <c r="AD15" s="1456">
        <f>ROUND(AVERAGE(I15:I$30)/100,4)</f>
        <v>2.4500000000000001E-2</v>
      </c>
      <c r="AE15" s="1456">
        <f>ROUND(AVERAGE(J15:J$30)/100,4)</f>
        <v>1.6500000000000001E-2</v>
      </c>
      <c r="AF15" s="1456">
        <f t="shared" si="1"/>
        <v>1.6500000000000001E-2</v>
      </c>
      <c r="AG15" s="1456">
        <f>ROUND(AVERAGE(K15:K$30)/100,4)</f>
        <v>2.7099999999999999E-2</v>
      </c>
      <c r="AH15" s="1456">
        <f>ROUND(AVERAGE(L15:L$30)/100,4)</f>
        <v>1.3899999999999999E-2</v>
      </c>
    </row>
    <row r="16" spans="1:34" s="1462" customFormat="1" ht="14.45" customHeight="1">
      <c r="A16" s="1457" t="s">
        <v>3030</v>
      </c>
      <c r="B16" s="1473">
        <f t="shared" ref="B16:B17" si="119">B17*(1+N16)</f>
        <v>431.80730811680002</v>
      </c>
      <c r="C16" s="1473">
        <f t="shared" ref="C16:C17" si="120">C17*(1+O16)</f>
        <v>320.57880516480003</v>
      </c>
      <c r="D16" s="1473">
        <f t="shared" ref="D16:D17" si="121">C16</f>
        <v>320.57880516480003</v>
      </c>
      <c r="E16" s="1473">
        <f t="shared" ref="E16:E17" si="122">E17*(1+P16)</f>
        <v>615.96110553196797</v>
      </c>
      <c r="F16" s="1473">
        <f t="shared" ref="F16:F17" si="123">F17*(1+Q16)</f>
        <v>279.46777300108801</v>
      </c>
      <c r="G16" s="3700"/>
      <c r="H16" s="1460">
        <v>3</v>
      </c>
      <c r="I16" s="1460">
        <v>2.98</v>
      </c>
      <c r="J16" s="1460">
        <v>2.11</v>
      </c>
      <c r="K16" s="1460">
        <v>3.24</v>
      </c>
      <c r="L16" s="1474">
        <v>1.72</v>
      </c>
      <c r="M16" s="1467"/>
      <c r="N16" s="1468">
        <f t="shared" si="107"/>
        <v>2.98E-2</v>
      </c>
      <c r="O16" s="1469">
        <f t="shared" ref="O16" si="124">J16/100</f>
        <v>2.1099999999999997E-2</v>
      </c>
      <c r="P16" s="1469">
        <f t="shared" ref="P16" si="125">K16/100</f>
        <v>3.2400000000000005E-2</v>
      </c>
      <c r="Q16" s="1469">
        <f t="shared" ref="Q16" si="126">L16/100</f>
        <v>1.72E-2</v>
      </c>
      <c r="R16" s="1470"/>
      <c r="S16" s="1468"/>
      <c r="T16" s="1469"/>
      <c r="U16" s="1469"/>
      <c r="V16" s="1469"/>
      <c r="W16" s="1778"/>
      <c r="X16" s="1776">
        <f>ROUND(SUMPRODUCT(PRODUCT(1+N16:N$29)),4)</f>
        <v>1.4034</v>
      </c>
      <c r="Y16" s="1776">
        <f>ROUND(SUMPRODUCT(PRODUCT(1+O16:O$29)),4)</f>
        <v>1.2463</v>
      </c>
      <c r="Z16" s="1776">
        <f t="shared" si="0"/>
        <v>1.2463</v>
      </c>
      <c r="AA16" s="1776">
        <f>ROUND(SUMPRODUCT(PRODUCT(1+P16:P$29)),4)</f>
        <v>1.4577</v>
      </c>
      <c r="AB16" s="1776">
        <f>ROUND(SUMPRODUCT(PRODUCT(1+Q16:Q$29)),4)</f>
        <v>1.2136</v>
      </c>
      <c r="AC16" s="1778"/>
      <c r="AD16" s="1777">
        <f>ROUND(AVERAGE(I16:I$30)/100,4)</f>
        <v>2.4899999999999999E-2</v>
      </c>
      <c r="AE16" s="1777">
        <f>ROUND(AVERAGE(J16:J$30)/100,4)</f>
        <v>1.6400000000000001E-2</v>
      </c>
      <c r="AF16" s="1777">
        <f t="shared" si="1"/>
        <v>1.6400000000000001E-2</v>
      </c>
      <c r="AG16" s="1777">
        <f>ROUND(AVERAGE(K16:K$30)/100,4)</f>
        <v>2.7799999999999998E-2</v>
      </c>
      <c r="AH16" s="1777">
        <f>ROUND(AVERAGE(L16:L$30)/100,4)</f>
        <v>1.3899999999999999E-2</v>
      </c>
    </row>
    <row r="17" spans="1:34" s="1727" customFormat="1" ht="14.45" customHeight="1">
      <c r="A17" s="1457" t="s">
        <v>1380</v>
      </c>
      <c r="B17" s="1473">
        <f t="shared" si="119"/>
        <v>419.31181600000002</v>
      </c>
      <c r="C17" s="1473">
        <f t="shared" si="120"/>
        <v>313.95436800000004</v>
      </c>
      <c r="D17" s="1473">
        <f t="shared" si="121"/>
        <v>313.95436800000004</v>
      </c>
      <c r="E17" s="1473">
        <f t="shared" si="122"/>
        <v>596.63028431999999</v>
      </c>
      <c r="F17" s="1473">
        <f t="shared" si="123"/>
        <v>274.74220703999998</v>
      </c>
      <c r="G17" s="3700"/>
      <c r="H17" s="1461">
        <v>2</v>
      </c>
      <c r="I17" s="1461">
        <v>3.4</v>
      </c>
      <c r="J17" s="1461">
        <v>2</v>
      </c>
      <c r="K17" s="1461">
        <v>3.82</v>
      </c>
      <c r="L17" s="1475">
        <v>1.68</v>
      </c>
      <c r="M17" s="1467"/>
      <c r="N17" s="1468">
        <f t="shared" si="107"/>
        <v>3.4000000000000002E-2</v>
      </c>
      <c r="O17" s="1469">
        <f t="shared" ref="O17" si="127">J17/100</f>
        <v>0.02</v>
      </c>
      <c r="P17" s="1469">
        <f t="shared" ref="P17" si="128">K17/100</f>
        <v>3.8199999999999998E-2</v>
      </c>
      <c r="Q17" s="1469">
        <f t="shared" ref="Q17" si="129">L17/100</f>
        <v>1.6799999999999999E-2</v>
      </c>
      <c r="R17" s="1470"/>
      <c r="S17" s="1471"/>
      <c r="T17" s="1472"/>
      <c r="U17" s="1472"/>
      <c r="V17" s="1472"/>
      <c r="W17" s="1449"/>
      <c r="X17" s="1776">
        <f>ROUND(SUMPRODUCT(PRODUCT(1+N17:N$29)),4)</f>
        <v>1.3628</v>
      </c>
      <c r="Y17" s="1776">
        <f>ROUND(SUMPRODUCT(PRODUCT(1+O17:O$29)),4)</f>
        <v>1.2205999999999999</v>
      </c>
      <c r="Z17" s="1776">
        <f t="shared" si="0"/>
        <v>1.2205999999999999</v>
      </c>
      <c r="AA17" s="1776">
        <f>ROUND(SUMPRODUCT(PRODUCT(1+P17:P$29)),4)</f>
        <v>1.4118999999999999</v>
      </c>
      <c r="AB17" s="1776">
        <f>ROUND(SUMPRODUCT(PRODUCT(1+Q17:Q$29)),4)</f>
        <v>1.1930000000000001</v>
      </c>
      <c r="AC17" s="1449"/>
      <c r="AD17" s="1777">
        <f>ROUND(AVERAGE(I17:I$30)/100,4)</f>
        <v>2.46E-2</v>
      </c>
      <c r="AE17" s="1777">
        <f>ROUND(AVERAGE(J17:J$30)/100,4)</f>
        <v>1.6E-2</v>
      </c>
      <c r="AF17" s="1777">
        <f t="shared" si="1"/>
        <v>1.6E-2</v>
      </c>
      <c r="AG17" s="1777">
        <f>ROUND(AVERAGE(K17:K$30)/100,4)</f>
        <v>2.75E-2</v>
      </c>
      <c r="AH17" s="1777">
        <f>ROUND(AVERAGE(L17:L$30)/100,4)</f>
        <v>1.37E-2</v>
      </c>
    </row>
    <row r="18" spans="1:34" s="1462" customFormat="1" ht="15" customHeight="1" thickBot="1">
      <c r="A18" s="1457" t="s">
        <v>1156</v>
      </c>
      <c r="B18" s="1473">
        <f>B19*(1+N18)</f>
        <v>405.524</v>
      </c>
      <c r="C18" s="1473">
        <f>C19*(1+O18)</f>
        <v>307.79840000000002</v>
      </c>
      <c r="D18" s="1473">
        <f>C18</f>
        <v>307.79840000000002</v>
      </c>
      <c r="E18" s="1473">
        <f>E19*(1+P18)</f>
        <v>574.67759999999998</v>
      </c>
      <c r="F18" s="1473">
        <f>F19*(1+Q18)</f>
        <v>270.20280000000002</v>
      </c>
      <c r="G18" s="3707"/>
      <c r="H18" s="1460">
        <v>1</v>
      </c>
      <c r="I18" s="1460">
        <v>3.45</v>
      </c>
      <c r="J18" s="1460">
        <v>1.92</v>
      </c>
      <c r="K18" s="1460">
        <v>3.92</v>
      </c>
      <c r="L18" s="1474">
        <v>1.58</v>
      </c>
      <c r="M18" s="1467"/>
      <c r="N18" s="1468">
        <f t="shared" si="107"/>
        <v>3.4500000000000003E-2</v>
      </c>
      <c r="O18" s="1469">
        <f t="shared" ref="O18:Q33" si="130">J18/100</f>
        <v>1.9199999999999998E-2</v>
      </c>
      <c r="P18" s="1469">
        <f t="shared" si="130"/>
        <v>3.9199999999999999E-2</v>
      </c>
      <c r="Q18" s="1469">
        <f t="shared" si="130"/>
        <v>1.5800000000000002E-2</v>
      </c>
      <c r="R18" s="1470"/>
      <c r="S18" s="1468">
        <f>B18/B19-1</f>
        <v>3.4499999999999975E-2</v>
      </c>
      <c r="T18" s="1469">
        <f t="shared" ref="T18:V18" si="131">C18/C19-1</f>
        <v>1.9200000000000106E-2</v>
      </c>
      <c r="U18" s="1469">
        <f t="shared" si="131"/>
        <v>1.9200000000000106E-2</v>
      </c>
      <c r="V18" s="1469">
        <f t="shared" si="131"/>
        <v>3.9199999999999902E-2</v>
      </c>
      <c r="W18" s="1778"/>
      <c r="X18" s="1776">
        <f>ROUND(SUMPRODUCT(PRODUCT(1+N18:N$29)),4)</f>
        <v>1.3180000000000001</v>
      </c>
      <c r="Y18" s="1776">
        <f>ROUND(SUMPRODUCT(PRODUCT(1+O18:O$29)),4)</f>
        <v>1.1966000000000001</v>
      </c>
      <c r="Z18" s="1776">
        <f t="shared" si="0"/>
        <v>1.1966000000000001</v>
      </c>
      <c r="AA18" s="1776">
        <f>ROUND(SUMPRODUCT(PRODUCT(1+P18:P$29)),4)</f>
        <v>1.36</v>
      </c>
      <c r="AB18" s="1776">
        <f>ROUND(SUMPRODUCT(PRODUCT(1+Q18:Q$29)),4)</f>
        <v>1.1733</v>
      </c>
      <c r="AC18" s="1778"/>
      <c r="AD18" s="1777">
        <f>ROUND(AVERAGE(I18:I$30)/100,4)</f>
        <v>2.3900000000000001E-2</v>
      </c>
      <c r="AE18" s="1777">
        <f>ROUND(AVERAGE(J18:J$30)/100,4)</f>
        <v>1.5699999999999999E-2</v>
      </c>
      <c r="AF18" s="1777">
        <f t="shared" si="1"/>
        <v>1.5699999999999999E-2</v>
      </c>
      <c r="AG18" s="1777">
        <f>ROUND(AVERAGE(K18:K$30)/100,4)</f>
        <v>2.6599999999999999E-2</v>
      </c>
      <c r="AH18" s="1777">
        <f>ROUND(AVERAGE(L18:L$30)/100,4)</f>
        <v>1.34E-2</v>
      </c>
    </row>
    <row r="19" spans="1:34">
      <c r="A19" s="1457" t="s">
        <v>154</v>
      </c>
      <c r="B19" s="1465">
        <v>392</v>
      </c>
      <c r="C19" s="1465">
        <v>302</v>
      </c>
      <c r="D19" s="1465">
        <f>C19</f>
        <v>302</v>
      </c>
      <c r="E19" s="1465">
        <v>553</v>
      </c>
      <c r="F19" s="1466">
        <v>266</v>
      </c>
      <c r="G19" s="3703">
        <v>2016</v>
      </c>
      <c r="H19" s="1458">
        <v>4</v>
      </c>
      <c r="I19" s="1458">
        <v>4.5599999999999996</v>
      </c>
      <c r="J19" s="1458">
        <v>2.15</v>
      </c>
      <c r="K19" s="1458">
        <v>5.32</v>
      </c>
      <c r="L19" s="1459">
        <v>1.57</v>
      </c>
      <c r="N19" s="1468">
        <f t="shared" si="107"/>
        <v>4.5599999999999995E-2</v>
      </c>
      <c r="O19" s="1469">
        <f t="shared" si="130"/>
        <v>2.1499999999999998E-2</v>
      </c>
      <c r="P19" s="1469">
        <f t="shared" si="130"/>
        <v>5.3200000000000004E-2</v>
      </c>
      <c r="Q19" s="1469">
        <f t="shared" si="130"/>
        <v>1.5700000000000002E-2</v>
      </c>
      <c r="R19" s="1470"/>
      <c r="S19" s="1471"/>
      <c r="T19" s="1472"/>
      <c r="U19" s="1472"/>
      <c r="V19" s="1472"/>
      <c r="X19" s="1455">
        <f>ROUND(SUMPRODUCT(PRODUCT(1+N19:N$29)),4)</f>
        <v>1.274</v>
      </c>
      <c r="Y19" s="1455">
        <f>ROUND(SUMPRODUCT(PRODUCT(1+O19:O$29)),4)</f>
        <v>1.1740999999999999</v>
      </c>
      <c r="Z19" s="1455">
        <f t="shared" si="0"/>
        <v>1.1740999999999999</v>
      </c>
      <c r="AA19" s="1455">
        <f>ROUND(SUMPRODUCT(PRODUCT(1+P19:P$29)),4)</f>
        <v>1.3087</v>
      </c>
      <c r="AB19" s="1455">
        <f>ROUND(SUMPRODUCT(PRODUCT(1+Q19:Q$29)),4)</f>
        <v>1.1551</v>
      </c>
      <c r="AD19" s="1456">
        <f>ROUND(AVERAGE(I19:I$30)/100,4)</f>
        <v>2.3E-2</v>
      </c>
      <c r="AE19" s="1456">
        <f>ROUND(AVERAGE(J19:J$30)/100,4)</f>
        <v>1.55E-2</v>
      </c>
      <c r="AF19" s="1456">
        <f t="shared" si="1"/>
        <v>1.55E-2</v>
      </c>
      <c r="AG19" s="1456">
        <f>ROUND(AVERAGE(K19:K$30)/100,4)</f>
        <v>2.5600000000000001E-2</v>
      </c>
      <c r="AH19" s="1456">
        <f>ROUND(AVERAGE(L19:L$30)/100,4)</f>
        <v>1.32E-2</v>
      </c>
    </row>
    <row r="20" spans="1:34">
      <c r="A20" s="1457" t="s">
        <v>153</v>
      </c>
      <c r="B20" s="1473">
        <f t="shared" ref="B20:C22" si="132">B19/(1+N19)</f>
        <v>374.90436113236416</v>
      </c>
      <c r="C20" s="1473">
        <f t="shared" si="132"/>
        <v>295.64366128242779</v>
      </c>
      <c r="D20" s="1473">
        <f t="shared" ref="D20:D79" si="133">C20</f>
        <v>295.64366128242779</v>
      </c>
      <c r="E20" s="1473">
        <f t="shared" ref="E20:F22" si="134">E19/(1+P19)</f>
        <v>525.06646410938095</v>
      </c>
      <c r="F20" s="1473">
        <f t="shared" si="134"/>
        <v>261.88835286009646</v>
      </c>
      <c r="G20" s="3700"/>
      <c r="H20" s="1460">
        <v>3</v>
      </c>
      <c r="I20" s="1460">
        <v>4.12</v>
      </c>
      <c r="J20" s="1460">
        <v>2</v>
      </c>
      <c r="K20" s="1460">
        <v>4.79</v>
      </c>
      <c r="L20" s="1474">
        <v>1.97</v>
      </c>
      <c r="N20" s="1468">
        <f t="shared" ref="N20:Q54" si="135">I20/100</f>
        <v>4.1200000000000001E-2</v>
      </c>
      <c r="O20" s="1469">
        <f t="shared" si="130"/>
        <v>0.02</v>
      </c>
      <c r="P20" s="1469">
        <f t="shared" si="130"/>
        <v>4.7899999999999998E-2</v>
      </c>
      <c r="Q20" s="1469">
        <f t="shared" si="130"/>
        <v>1.9699999999999999E-2</v>
      </c>
      <c r="R20" s="1470"/>
      <c r="S20" s="1468"/>
      <c r="T20" s="1469"/>
      <c r="U20" s="1469"/>
      <c r="V20" s="1469"/>
      <c r="X20" s="1455">
        <f>ROUND(SUMPRODUCT(PRODUCT(1+N20:N$29)),4)</f>
        <v>1.2184999999999999</v>
      </c>
      <c r="Y20" s="1455">
        <f>ROUND(SUMPRODUCT(PRODUCT(1+O20:O$29)),4)</f>
        <v>1.1494</v>
      </c>
      <c r="Z20" s="1455">
        <f t="shared" si="0"/>
        <v>1.1494</v>
      </c>
      <c r="AA20" s="1455">
        <f>ROUND(SUMPRODUCT(PRODUCT(1+P20:P$29)),4)</f>
        <v>1.2425999999999999</v>
      </c>
      <c r="AB20" s="1455">
        <f>ROUND(SUMPRODUCT(PRODUCT(1+Q20:Q$29)),4)</f>
        <v>1.1372</v>
      </c>
      <c r="AD20" s="1456">
        <f>ROUND(AVERAGE(I20:I$30)/100,4)</f>
        <v>2.0899999999999998E-2</v>
      </c>
      <c r="AE20" s="1456">
        <f>ROUND(AVERAGE(J20:J$30)/100,4)</f>
        <v>1.49E-2</v>
      </c>
      <c r="AF20" s="1456">
        <f t="shared" si="1"/>
        <v>1.49E-2</v>
      </c>
      <c r="AG20" s="1456">
        <f>ROUND(AVERAGE(K20:K$30)/100,4)</f>
        <v>2.3099999999999999E-2</v>
      </c>
      <c r="AH20" s="1456">
        <f>ROUND(AVERAGE(L20:L$30)/100,4)</f>
        <v>1.2999999999999999E-2</v>
      </c>
    </row>
    <row r="21" spans="1:34">
      <c r="A21" s="1457" t="s">
        <v>143</v>
      </c>
      <c r="B21" s="1473">
        <f t="shared" si="132"/>
        <v>360.06949782209392</v>
      </c>
      <c r="C21" s="1473">
        <f t="shared" si="132"/>
        <v>289.84672674747821</v>
      </c>
      <c r="D21" s="1473">
        <f t="shared" si="133"/>
        <v>289.84672674747821</v>
      </c>
      <c r="E21" s="1473">
        <f t="shared" si="134"/>
        <v>501.06543001181495</v>
      </c>
      <c r="F21" s="1473">
        <f t="shared" si="134"/>
        <v>256.82882500744967</v>
      </c>
      <c r="G21" s="3700"/>
      <c r="H21" s="1461">
        <v>2</v>
      </c>
      <c r="I21" s="1461">
        <v>3.85</v>
      </c>
      <c r="J21" s="1461">
        <v>1.95</v>
      </c>
      <c r="K21" s="1461">
        <v>4.4800000000000004</v>
      </c>
      <c r="L21" s="1475">
        <v>1.41</v>
      </c>
      <c r="N21" s="1468">
        <f t="shared" si="135"/>
        <v>3.85E-2</v>
      </c>
      <c r="O21" s="1469">
        <f t="shared" si="130"/>
        <v>1.95E-2</v>
      </c>
      <c r="P21" s="1469">
        <f t="shared" si="130"/>
        <v>4.4800000000000006E-2</v>
      </c>
      <c r="Q21" s="1469">
        <f t="shared" si="130"/>
        <v>1.41E-2</v>
      </c>
      <c r="R21" s="1470"/>
      <c r="S21" s="1468"/>
      <c r="T21" s="1469"/>
      <c r="U21" s="1469"/>
      <c r="V21" s="1469"/>
      <c r="X21" s="1455">
        <f>ROUND(SUMPRODUCT(PRODUCT(1+N21:N$29)),4)</f>
        <v>1.1702999999999999</v>
      </c>
      <c r="Y21" s="1455">
        <f>ROUND(SUMPRODUCT(PRODUCT(1+O21:O$29)),4)</f>
        <v>1.1269</v>
      </c>
      <c r="Z21" s="1455">
        <f t="shared" si="0"/>
        <v>1.1269</v>
      </c>
      <c r="AA21" s="1455">
        <f>ROUND(SUMPRODUCT(PRODUCT(1+P21:P$29)),4)</f>
        <v>1.1858</v>
      </c>
      <c r="AB21" s="1455">
        <f>ROUND(SUMPRODUCT(PRODUCT(1+Q21:Q$29)),4)</f>
        <v>1.1152</v>
      </c>
      <c r="AD21" s="1456">
        <f>ROUND(AVERAGE(I21:I$30)/100,4)</f>
        <v>1.89E-2</v>
      </c>
      <c r="AE21" s="1456">
        <f>ROUND(AVERAGE(J21:J$30)/100,4)</f>
        <v>1.44E-2</v>
      </c>
      <c r="AF21" s="1456">
        <f t="shared" si="1"/>
        <v>1.44E-2</v>
      </c>
      <c r="AG21" s="1456">
        <f>ROUND(AVERAGE(K21:K$30)/100,4)</f>
        <v>2.06E-2</v>
      </c>
      <c r="AH21" s="1456">
        <f>ROUND(AVERAGE(L21:L$30)/100,4)</f>
        <v>1.23E-2</v>
      </c>
    </row>
    <row r="22" spans="1:34" ht="13.5" thickBot="1">
      <c r="A22" s="1457" t="s">
        <v>152</v>
      </c>
      <c r="B22" s="1473">
        <f t="shared" si="132"/>
        <v>346.720748986128</v>
      </c>
      <c r="C22" s="1473">
        <f t="shared" si="132"/>
        <v>284.30282172386285</v>
      </c>
      <c r="D22" s="1473">
        <f t="shared" si="133"/>
        <v>284.30282172386285</v>
      </c>
      <c r="E22" s="1473">
        <f t="shared" si="134"/>
        <v>479.58023546306947</v>
      </c>
      <c r="F22" s="1473">
        <f t="shared" si="134"/>
        <v>253.25788877571213</v>
      </c>
      <c r="G22" s="3701"/>
      <c r="H22" s="1460">
        <v>1</v>
      </c>
      <c r="I22" s="1460">
        <v>4.09</v>
      </c>
      <c r="J22" s="1460">
        <v>2.93</v>
      </c>
      <c r="K22" s="1460">
        <v>4.54</v>
      </c>
      <c r="L22" s="1474">
        <v>1.48</v>
      </c>
      <c r="N22" s="1468">
        <f t="shared" si="135"/>
        <v>4.0899999999999999E-2</v>
      </c>
      <c r="O22" s="1469">
        <f t="shared" si="130"/>
        <v>2.9300000000000003E-2</v>
      </c>
      <c r="P22" s="1469">
        <f t="shared" si="130"/>
        <v>4.5400000000000003E-2</v>
      </c>
      <c r="Q22" s="1469">
        <f t="shared" si="130"/>
        <v>1.4800000000000001E-2</v>
      </c>
      <c r="R22" s="1470"/>
      <c r="S22" s="1476">
        <f>B22/B23-1</f>
        <v>4.1203450408792808E-2</v>
      </c>
      <c r="T22" s="1477">
        <f>C22/C23-1</f>
        <v>2.6363977342465095E-2</v>
      </c>
      <c r="U22" s="1477">
        <f>E22/E23-1</f>
        <v>4.4837114298626357E-2</v>
      </c>
      <c r="V22" s="1477">
        <f>F22/F23-1</f>
        <v>1.7099954922538574E-2</v>
      </c>
      <c r="X22" s="1455">
        <f>ROUND(SUMPRODUCT(PRODUCT(1+N22:N$29)),4)</f>
        <v>1.1269</v>
      </c>
      <c r="Y22" s="1455">
        <f>ROUND(SUMPRODUCT(PRODUCT(1+O22:O$29)),4)</f>
        <v>1.1052999999999999</v>
      </c>
      <c r="Z22" s="1455">
        <f t="shared" si="0"/>
        <v>1.1052999999999999</v>
      </c>
      <c r="AA22" s="1455">
        <f>ROUND(SUMPRODUCT(PRODUCT(1+P22:P$29)),4)</f>
        <v>1.1349</v>
      </c>
      <c r="AB22" s="1455">
        <f>ROUND(SUMPRODUCT(PRODUCT(1+Q22:Q$29)),4)</f>
        <v>1.0996999999999999</v>
      </c>
      <c r="AD22" s="1456">
        <f>ROUND(AVERAGE(I22:I$30)/100,4)</f>
        <v>1.67E-2</v>
      </c>
      <c r="AE22" s="1456">
        <f>ROUND(AVERAGE(J22:J$30)/100,4)</f>
        <v>1.38E-2</v>
      </c>
      <c r="AF22" s="1456">
        <f t="shared" si="1"/>
        <v>1.38E-2</v>
      </c>
      <c r="AG22" s="1456">
        <f>ROUND(AVERAGE(K22:K$30)/100,4)</f>
        <v>1.7899999999999999E-2</v>
      </c>
      <c r="AH22" s="1456">
        <f>ROUND(AVERAGE(L22:L$30)/100,4)</f>
        <v>1.21E-2</v>
      </c>
    </row>
    <row r="23" spans="1:34" ht="13.5" thickBot="1">
      <c r="A23" s="1457" t="s">
        <v>151</v>
      </c>
      <c r="B23" s="1465">
        <v>333</v>
      </c>
      <c r="C23" s="1465">
        <v>277</v>
      </c>
      <c r="D23" s="1465">
        <f t="shared" si="133"/>
        <v>277</v>
      </c>
      <c r="E23" s="1465">
        <v>459</v>
      </c>
      <c r="F23" s="1466">
        <v>249</v>
      </c>
      <c r="G23" s="3699">
        <v>2015</v>
      </c>
      <c r="H23" s="1478">
        <v>4</v>
      </c>
      <c r="I23" s="1478">
        <v>1.63</v>
      </c>
      <c r="J23" s="1478">
        <v>1.1100000000000001</v>
      </c>
      <c r="K23" s="1478">
        <v>1.77</v>
      </c>
      <c r="L23" s="1479">
        <v>1.89</v>
      </c>
      <c r="N23" s="1480">
        <f t="shared" si="135"/>
        <v>1.6299999999999999E-2</v>
      </c>
      <c r="O23" s="1481">
        <f t="shared" si="130"/>
        <v>1.11E-2</v>
      </c>
      <c r="P23" s="1481">
        <f t="shared" si="130"/>
        <v>1.77E-2</v>
      </c>
      <c r="Q23" s="1481">
        <f t="shared" si="130"/>
        <v>1.89E-2</v>
      </c>
      <c r="R23" s="1470"/>
      <c r="X23" s="1455">
        <f>ROUND(SUMPRODUCT(PRODUCT(1+N23:N$29)),4)</f>
        <v>1.0826</v>
      </c>
      <c r="Y23" s="1455">
        <f>ROUND(SUMPRODUCT(PRODUCT(1+O23:O$29)),4)</f>
        <v>1.0738000000000001</v>
      </c>
      <c r="Z23" s="1455">
        <f t="shared" si="0"/>
        <v>1.0738000000000001</v>
      </c>
      <c r="AA23" s="1455">
        <f>ROUND(SUMPRODUCT(PRODUCT(1+P23:P$29)),4)</f>
        <v>1.0855999999999999</v>
      </c>
      <c r="AB23" s="1455">
        <f>ROUND(SUMPRODUCT(PRODUCT(1+Q23:Q$29)),4)</f>
        <v>1.0837000000000001</v>
      </c>
      <c r="AD23" s="1456">
        <f>ROUND(AVERAGE(I23:I$30)/100,4)</f>
        <v>1.37E-2</v>
      </c>
      <c r="AE23" s="1456">
        <f>ROUND(AVERAGE(J23:J$30)/100,4)</f>
        <v>1.1900000000000001E-2</v>
      </c>
      <c r="AF23" s="1456">
        <f t="shared" si="1"/>
        <v>1.1900000000000001E-2</v>
      </c>
      <c r="AG23" s="1456">
        <f>ROUND(AVERAGE(K23:K$30)/100,4)</f>
        <v>1.4500000000000001E-2</v>
      </c>
      <c r="AH23" s="1456">
        <f>ROUND(AVERAGE(L23:L$30)/100,4)</f>
        <v>1.18E-2</v>
      </c>
    </row>
    <row r="24" spans="1:34">
      <c r="A24" s="1457" t="s">
        <v>150</v>
      </c>
      <c r="B24" s="1473">
        <f t="shared" ref="B24:C26" si="136">B23/(1+N23)</f>
        <v>327.65915576109415</v>
      </c>
      <c r="C24" s="1473">
        <f t="shared" si="136"/>
        <v>273.95905449510434</v>
      </c>
      <c r="D24" s="1473">
        <f t="shared" si="133"/>
        <v>273.95905449510434</v>
      </c>
      <c r="E24" s="1473">
        <f t="shared" ref="E24:F26" si="137">E23/(1+P23)</f>
        <v>451.01699911565294</v>
      </c>
      <c r="F24" s="1473">
        <f t="shared" si="137"/>
        <v>244.38119540681129</v>
      </c>
      <c r="G24" s="3700"/>
      <c r="H24" s="1483">
        <v>3</v>
      </c>
      <c r="I24" s="1483">
        <v>1.65</v>
      </c>
      <c r="J24" s="1483">
        <v>0.92</v>
      </c>
      <c r="K24" s="1483">
        <v>1.88</v>
      </c>
      <c r="L24" s="1484">
        <v>1.26</v>
      </c>
      <c r="N24" s="1468">
        <f t="shared" si="135"/>
        <v>1.6500000000000001E-2</v>
      </c>
      <c r="O24" s="1485">
        <f t="shared" si="130"/>
        <v>9.1999999999999998E-3</v>
      </c>
      <c r="P24" s="1485">
        <f t="shared" si="130"/>
        <v>1.8799999999999997E-2</v>
      </c>
      <c r="Q24" s="1485">
        <f t="shared" si="130"/>
        <v>1.26E-2</v>
      </c>
      <c r="R24" s="1470"/>
      <c r="S24" s="1468"/>
      <c r="T24" s="1469"/>
      <c r="U24" s="1469"/>
      <c r="V24" s="1469"/>
      <c r="X24" s="1455">
        <f>ROUND(SUMPRODUCT(PRODUCT(1+N24:N$29)),4)</f>
        <v>1.0651999999999999</v>
      </c>
      <c r="Y24" s="1455">
        <f>ROUND(SUMPRODUCT(PRODUCT(1+O24:O$29)),4)</f>
        <v>1.0621</v>
      </c>
      <c r="Z24" s="1455">
        <f t="shared" si="0"/>
        <v>1.0621</v>
      </c>
      <c r="AA24" s="1455">
        <f>ROUND(SUMPRODUCT(PRODUCT(1+P24:P$29)),4)</f>
        <v>1.0668</v>
      </c>
      <c r="AB24" s="1455">
        <f>ROUND(SUMPRODUCT(PRODUCT(1+Q24:Q$29)),4)</f>
        <v>1.0636000000000001</v>
      </c>
      <c r="AD24" s="1456">
        <f>ROUND(AVERAGE(I24:I$30)/100,4)</f>
        <v>1.3299999999999999E-2</v>
      </c>
      <c r="AE24" s="1456">
        <f>ROUND(AVERAGE(J24:J$30)/100,4)</f>
        <v>1.2E-2</v>
      </c>
      <c r="AF24" s="1456">
        <f t="shared" si="1"/>
        <v>1.2E-2</v>
      </c>
      <c r="AG24" s="1456">
        <f>ROUND(AVERAGE(K24:K$30)/100,4)</f>
        <v>1.4E-2</v>
      </c>
      <c r="AH24" s="1456">
        <f>ROUND(AVERAGE(L24:L$30)/100,4)</f>
        <v>1.0800000000000001E-2</v>
      </c>
    </row>
    <row r="25" spans="1:34">
      <c r="A25" s="1457" t="s">
        <v>149</v>
      </c>
      <c r="B25" s="1473">
        <f t="shared" si="136"/>
        <v>322.34053690220776</v>
      </c>
      <c r="C25" s="1473">
        <f t="shared" si="136"/>
        <v>271.46160770422546</v>
      </c>
      <c r="D25" s="1473">
        <f t="shared" si="133"/>
        <v>271.46160770422546</v>
      </c>
      <c r="E25" s="1473">
        <f t="shared" si="137"/>
        <v>442.69434542172456</v>
      </c>
      <c r="F25" s="1473">
        <f t="shared" si="137"/>
        <v>241.34030753190925</v>
      </c>
      <c r="G25" s="3700"/>
      <c r="H25" s="1461">
        <v>2</v>
      </c>
      <c r="I25" s="1461">
        <v>0.77</v>
      </c>
      <c r="J25" s="1461">
        <v>0.69</v>
      </c>
      <c r="K25" s="1461">
        <v>0.8</v>
      </c>
      <c r="L25" s="1475">
        <v>0.88</v>
      </c>
      <c r="N25" s="1468">
        <f t="shared" si="135"/>
        <v>7.7000000000000002E-3</v>
      </c>
      <c r="O25" s="1485">
        <f t="shared" si="130"/>
        <v>6.8999999999999999E-3</v>
      </c>
      <c r="P25" s="1485">
        <f t="shared" si="130"/>
        <v>8.0000000000000002E-3</v>
      </c>
      <c r="Q25" s="1485">
        <f t="shared" si="130"/>
        <v>8.8000000000000005E-3</v>
      </c>
      <c r="R25" s="1470"/>
      <c r="S25" s="1468"/>
      <c r="T25" s="1469"/>
      <c r="U25" s="1469"/>
      <c r="V25" s="1469"/>
      <c r="X25" s="1455">
        <f>ROUND(SUMPRODUCT(PRODUCT(1+N25:N$29)),4)</f>
        <v>1.048</v>
      </c>
      <c r="Y25" s="1455">
        <f>ROUND(SUMPRODUCT(PRODUCT(1+O25:O$29)),4)</f>
        <v>1.0524</v>
      </c>
      <c r="Z25" s="1455">
        <f t="shared" si="0"/>
        <v>1.0524</v>
      </c>
      <c r="AA25" s="1455">
        <f>ROUND(SUMPRODUCT(PRODUCT(1+P25:P$29)),4)</f>
        <v>1.0470999999999999</v>
      </c>
      <c r="AB25" s="1455">
        <f>ROUND(SUMPRODUCT(PRODUCT(1+Q25:Q$29)),4)</f>
        <v>1.0504</v>
      </c>
      <c r="AD25" s="1456">
        <f>ROUND(AVERAGE(I25:I$30)/100,4)</f>
        <v>1.2800000000000001E-2</v>
      </c>
      <c r="AE25" s="1456">
        <f>ROUND(AVERAGE(J25:J$30)/100,4)</f>
        <v>1.2500000000000001E-2</v>
      </c>
      <c r="AF25" s="1456">
        <f t="shared" si="1"/>
        <v>1.2500000000000001E-2</v>
      </c>
      <c r="AG25" s="1456">
        <f>ROUND(AVERAGE(K25:K$30)/100,4)</f>
        <v>1.32E-2</v>
      </c>
      <c r="AH25" s="1456">
        <f>ROUND(AVERAGE(L25:L$30)/100,4)</f>
        <v>1.0500000000000001E-2</v>
      </c>
    </row>
    <row r="26" spans="1:34">
      <c r="A26" s="1457" t="s">
        <v>148</v>
      </c>
      <c r="B26" s="1473">
        <f t="shared" si="136"/>
        <v>319.87748030386797</v>
      </c>
      <c r="C26" s="1473">
        <f t="shared" si="136"/>
        <v>269.60135833173649</v>
      </c>
      <c r="D26" s="1473">
        <f t="shared" si="133"/>
        <v>269.60135833173649</v>
      </c>
      <c r="E26" s="1473">
        <f t="shared" si="137"/>
        <v>439.18089823583784</v>
      </c>
      <c r="F26" s="1473">
        <f t="shared" si="137"/>
        <v>239.23503918706311</v>
      </c>
      <c r="G26" s="3701"/>
      <c r="H26" s="1460">
        <v>1</v>
      </c>
      <c r="I26" s="1460">
        <v>0.51</v>
      </c>
      <c r="J26" s="1460">
        <v>0.54</v>
      </c>
      <c r="K26" s="1460">
        <v>0.48</v>
      </c>
      <c r="L26" s="1474">
        <v>0.93</v>
      </c>
      <c r="N26" s="1476">
        <f t="shared" si="135"/>
        <v>5.1000000000000004E-3</v>
      </c>
      <c r="O26" s="1477">
        <f t="shared" si="130"/>
        <v>5.4000000000000003E-3</v>
      </c>
      <c r="P26" s="1477">
        <f t="shared" si="130"/>
        <v>4.7999999999999996E-3</v>
      </c>
      <c r="Q26" s="1477">
        <f t="shared" si="130"/>
        <v>9.300000000000001E-3</v>
      </c>
      <c r="R26" s="1470"/>
      <c r="S26" s="1476">
        <f>B26/B27-1</f>
        <v>5.9040261127922822E-3</v>
      </c>
      <c r="T26" s="1477">
        <f>C26/C27-1</f>
        <v>5.9752176557332781E-3</v>
      </c>
      <c r="U26" s="1477">
        <f>E26/E27-1</f>
        <v>4.9906138119859556E-3</v>
      </c>
      <c r="V26" s="1477">
        <f>F26/F27-1</f>
        <v>9.4305450930933787E-3</v>
      </c>
      <c r="X26" s="1455">
        <f>ROUND(SUMPRODUCT(PRODUCT(1+N26:N$29)),4)</f>
        <v>1.0399</v>
      </c>
      <c r="Y26" s="1455">
        <f>ROUND(SUMPRODUCT(PRODUCT(1+O26:O$29)),4)</f>
        <v>1.0451999999999999</v>
      </c>
      <c r="Z26" s="1455">
        <f t="shared" si="0"/>
        <v>1.0451999999999999</v>
      </c>
      <c r="AA26" s="1455">
        <f>ROUND(SUMPRODUCT(PRODUCT(1+P26:P$29)),4)</f>
        <v>1.0387999999999999</v>
      </c>
      <c r="AB26" s="1455">
        <f>ROUND(SUMPRODUCT(PRODUCT(1+Q26:Q$29)),4)</f>
        <v>1.0411999999999999</v>
      </c>
      <c r="AD26" s="1456">
        <f>ROUND(AVERAGE(I26:I$30)/100,4)</f>
        <v>1.38E-2</v>
      </c>
      <c r="AE26" s="1456">
        <f>ROUND(AVERAGE(J26:J$30)/100,4)</f>
        <v>1.3599999999999999E-2</v>
      </c>
      <c r="AF26" s="1456">
        <f t="shared" si="1"/>
        <v>1.3599999999999999E-2</v>
      </c>
      <c r="AG26" s="1456">
        <f>ROUND(AVERAGE(K26:K$30)/100,4)</f>
        <v>1.4200000000000001E-2</v>
      </c>
      <c r="AH26" s="1456">
        <f>ROUND(AVERAGE(L26:L$30)/100,4)</f>
        <v>1.0800000000000001E-2</v>
      </c>
    </row>
    <row r="27" spans="1:34" ht="13.5" thickBot="1">
      <c r="A27" s="1457" t="s">
        <v>147</v>
      </c>
      <c r="B27" s="1486">
        <v>318</v>
      </c>
      <c r="C27" s="1486">
        <v>268</v>
      </c>
      <c r="D27" s="1486">
        <f t="shared" si="133"/>
        <v>268</v>
      </c>
      <c r="E27" s="1486">
        <v>437</v>
      </c>
      <c r="F27" s="1487">
        <v>237</v>
      </c>
      <c r="G27" s="3699">
        <v>2014</v>
      </c>
      <c r="H27" s="1478">
        <v>4</v>
      </c>
      <c r="I27" s="1478">
        <v>0.21</v>
      </c>
      <c r="J27" s="1478">
        <v>0.41</v>
      </c>
      <c r="K27" s="1478">
        <v>0.12</v>
      </c>
      <c r="L27" s="1479">
        <v>0.89</v>
      </c>
      <c r="N27" s="1468">
        <f t="shared" si="135"/>
        <v>2.0999999999999999E-3</v>
      </c>
      <c r="O27" s="1469">
        <f t="shared" si="130"/>
        <v>4.0999999999999995E-3</v>
      </c>
      <c r="P27" s="1469">
        <f t="shared" si="130"/>
        <v>1.1999999999999999E-3</v>
      </c>
      <c r="Q27" s="1469">
        <f t="shared" si="130"/>
        <v>8.8999999999999999E-3</v>
      </c>
      <c r="R27" s="1470"/>
      <c r="S27" s="1471"/>
      <c r="T27" s="1472"/>
      <c r="U27" s="1472"/>
      <c r="V27" s="1472"/>
      <c r="X27" s="1455">
        <f>ROUND(SUMPRODUCT(PRODUCT(1+N27:N$29)),4)</f>
        <v>1.0347</v>
      </c>
      <c r="Y27" s="1455">
        <f>ROUND(SUMPRODUCT(PRODUCT(1+O27:O$29)),4)</f>
        <v>1.0395000000000001</v>
      </c>
      <c r="Z27" s="1455">
        <f t="shared" si="0"/>
        <v>1.0395000000000001</v>
      </c>
      <c r="AA27" s="1455">
        <f>ROUND(SUMPRODUCT(PRODUCT(1+P27:P$29)),4)</f>
        <v>1.0338000000000001</v>
      </c>
      <c r="AB27" s="1455">
        <f>ROUND(SUMPRODUCT(PRODUCT(1+Q27:Q$29)),4)</f>
        <v>1.0316000000000001</v>
      </c>
      <c r="AD27" s="1456">
        <f>ROUND(AVERAGE(I27:I$30)/100,4)</f>
        <v>1.6E-2</v>
      </c>
      <c r="AE27" s="1456">
        <f>ROUND(AVERAGE(J27:J$30)/100,4)</f>
        <v>1.5599999999999999E-2</v>
      </c>
      <c r="AF27" s="1456">
        <f t="shared" si="1"/>
        <v>1.5599999999999999E-2</v>
      </c>
      <c r="AG27" s="1456">
        <f>ROUND(AVERAGE(K27:K$30)/100,4)</f>
        <v>1.66E-2</v>
      </c>
      <c r="AH27" s="1456">
        <f>ROUND(AVERAGE(L27:L$30)/100,4)</f>
        <v>1.12E-2</v>
      </c>
    </row>
    <row r="28" spans="1:34">
      <c r="A28" s="1457" t="s">
        <v>146</v>
      </c>
      <c r="B28" s="1473">
        <f t="shared" ref="B28:C30" si="138">B27/(1+N27)</f>
        <v>317.33359944117353</v>
      </c>
      <c r="C28" s="1473">
        <f t="shared" si="138"/>
        <v>266.90568668459315</v>
      </c>
      <c r="D28" s="1473">
        <f t="shared" si="133"/>
        <v>266.90568668459315</v>
      </c>
      <c r="E28" s="1473">
        <f t="shared" ref="E28:F30" si="139">E27/(1+P27)</f>
        <v>436.47622852576905</v>
      </c>
      <c r="F28" s="1473">
        <f t="shared" si="139"/>
        <v>234.90930716622066</v>
      </c>
      <c r="G28" s="3700"/>
      <c r="H28" s="1488">
        <v>3</v>
      </c>
      <c r="I28" s="1488">
        <v>0.83</v>
      </c>
      <c r="J28" s="1488">
        <v>1.47</v>
      </c>
      <c r="K28" s="1488">
        <v>0.65</v>
      </c>
      <c r="L28" s="1489">
        <v>0.72</v>
      </c>
      <c r="N28" s="1468">
        <f t="shared" si="135"/>
        <v>8.3000000000000001E-3</v>
      </c>
      <c r="O28" s="1469">
        <f t="shared" si="130"/>
        <v>1.47E-2</v>
      </c>
      <c r="P28" s="1469">
        <f t="shared" si="130"/>
        <v>6.5000000000000006E-3</v>
      </c>
      <c r="Q28" s="1469">
        <f t="shared" si="130"/>
        <v>7.1999999999999998E-3</v>
      </c>
      <c r="R28" s="1470"/>
      <c r="S28" s="1468"/>
      <c r="T28" s="1469"/>
      <c r="U28" s="1469"/>
      <c r="V28" s="1469"/>
      <c r="X28" s="1455">
        <f>ROUND(SUMPRODUCT(PRODUCT(1+N28:N$29)),4)</f>
        <v>1.0325</v>
      </c>
      <c r="Y28" s="1455">
        <f>ROUND(SUMPRODUCT(PRODUCT(1+O28:O$29)),4)</f>
        <v>1.0353000000000001</v>
      </c>
      <c r="Z28" s="1455">
        <f t="shared" ref="Z28:Z29" si="140">Y28</f>
        <v>1.0353000000000001</v>
      </c>
      <c r="AA28" s="1455">
        <f>ROUND(SUMPRODUCT(PRODUCT(1+P28:P$29)),4)</f>
        <v>1.0326</v>
      </c>
      <c r="AB28" s="1455">
        <f>ROUND(SUMPRODUCT(PRODUCT(1+Q28:Q$29)),4)</f>
        <v>1.0225</v>
      </c>
      <c r="AD28" s="1456">
        <f>ROUND(AVERAGE(I28:I$30)/100,4)</f>
        <v>2.07E-2</v>
      </c>
      <c r="AE28" s="1456">
        <f>ROUND(AVERAGE(J28:J$30)/100,4)</f>
        <v>1.95E-2</v>
      </c>
      <c r="AF28" s="1456">
        <f t="shared" si="1"/>
        <v>1.95E-2</v>
      </c>
      <c r="AG28" s="1456">
        <f>ROUND(AVERAGE(K28:K$30)/100,4)</f>
        <v>2.1700000000000001E-2</v>
      </c>
      <c r="AH28" s="1456">
        <f>ROUND(AVERAGE(L28:L$30)/100,4)</f>
        <v>1.2E-2</v>
      </c>
    </row>
    <row r="29" spans="1:34" ht="13.5" thickBot="1">
      <c r="A29" s="1457" t="s">
        <v>145</v>
      </c>
      <c r="B29" s="1473">
        <f t="shared" si="138"/>
        <v>314.72141172386546</v>
      </c>
      <c r="C29" s="1473">
        <f t="shared" si="138"/>
        <v>263.03901319069001</v>
      </c>
      <c r="D29" s="1473">
        <f t="shared" si="133"/>
        <v>263.03901319069001</v>
      </c>
      <c r="E29" s="1473">
        <f t="shared" si="139"/>
        <v>433.65745506782821</v>
      </c>
      <c r="F29" s="1473">
        <f t="shared" si="139"/>
        <v>233.23005080045735</v>
      </c>
      <c r="G29" s="3700"/>
      <c r="H29" s="1478">
        <v>2</v>
      </c>
      <c r="I29" s="1478">
        <v>2.4</v>
      </c>
      <c r="J29" s="1478">
        <v>2.0299999999999998</v>
      </c>
      <c r="K29" s="1478">
        <v>2.59</v>
      </c>
      <c r="L29" s="1479">
        <v>1.52</v>
      </c>
      <c r="N29" s="1468">
        <f t="shared" si="135"/>
        <v>2.4E-2</v>
      </c>
      <c r="O29" s="1469">
        <f t="shared" si="130"/>
        <v>2.0299999999999999E-2</v>
      </c>
      <c r="P29" s="1469">
        <f t="shared" si="130"/>
        <v>2.5899999999999999E-2</v>
      </c>
      <c r="Q29" s="1469">
        <f t="shared" si="130"/>
        <v>1.52E-2</v>
      </c>
      <c r="R29" s="1470"/>
      <c r="S29" s="1468"/>
      <c r="T29" s="1469"/>
      <c r="U29" s="1469"/>
      <c r="V29" s="1469"/>
      <c r="X29" s="1455">
        <f>1+N29</f>
        <v>1.024</v>
      </c>
      <c r="Y29" s="1455">
        <f>1+O29</f>
        <v>1.0203</v>
      </c>
      <c r="Z29" s="1455">
        <f t="shared" si="140"/>
        <v>1.0203</v>
      </c>
      <c r="AA29" s="1455">
        <f>1+P29</f>
        <v>1.0259</v>
      </c>
      <c r="AB29" s="1455">
        <f>1+Q29</f>
        <v>1.0152000000000001</v>
      </c>
      <c r="AD29" s="1456">
        <f>ROUND(AVERAGE(I29:I$30)/100,4)</f>
        <v>2.69E-2</v>
      </c>
      <c r="AE29" s="1456">
        <f>ROUND(AVERAGE(J29:J$30)/100,4)</f>
        <v>2.1899999999999999E-2</v>
      </c>
      <c r="AF29" s="1456">
        <f t="shared" ref="AF29" si="141">AE29</f>
        <v>2.1899999999999999E-2</v>
      </c>
      <c r="AG29" s="1456">
        <f>ROUND(AVERAGE(K29:K$30)/100,4)</f>
        <v>2.9399999999999999E-2</v>
      </c>
      <c r="AH29" s="1456">
        <f>ROUND(AVERAGE(L29:L$30)/100,4)</f>
        <v>1.44E-2</v>
      </c>
    </row>
    <row r="30" spans="1:34" s="1494" customFormat="1" ht="13.5" thickBot="1">
      <c r="A30" s="1490" t="s">
        <v>144</v>
      </c>
      <c r="B30" s="1491">
        <f t="shared" si="138"/>
        <v>307.34512863658733</v>
      </c>
      <c r="C30" s="1491">
        <f t="shared" si="138"/>
        <v>257.80556031626975</v>
      </c>
      <c r="D30" s="1491">
        <f t="shared" si="133"/>
        <v>257.80556031626975</v>
      </c>
      <c r="E30" s="1491">
        <f t="shared" si="139"/>
        <v>422.70928459677179</v>
      </c>
      <c r="F30" s="1491">
        <f t="shared" si="139"/>
        <v>229.73803270336617</v>
      </c>
      <c r="G30" s="3701"/>
      <c r="H30" s="1492">
        <v>1</v>
      </c>
      <c r="I30" s="1492">
        <v>2.97</v>
      </c>
      <c r="J30" s="1492">
        <v>2.34</v>
      </c>
      <c r="K30" s="1492">
        <v>3.28</v>
      </c>
      <c r="L30" s="1493">
        <v>1.36</v>
      </c>
      <c r="N30" s="1495">
        <f t="shared" si="135"/>
        <v>2.9700000000000001E-2</v>
      </c>
      <c r="O30" s="1496">
        <f t="shared" si="130"/>
        <v>2.3399999999999997E-2</v>
      </c>
      <c r="P30" s="1496">
        <f t="shared" si="130"/>
        <v>3.2799999999999996E-2</v>
      </c>
      <c r="Q30" s="1496">
        <f t="shared" si="130"/>
        <v>1.3600000000000001E-2</v>
      </c>
      <c r="R30" s="1497"/>
      <c r="S30" s="1498">
        <f>B30/B31-1</f>
        <v>2.7910129219355539E-2</v>
      </c>
      <c r="T30" s="1499">
        <f>C30/C31-1</f>
        <v>2.3037937762975247E-2</v>
      </c>
      <c r="U30" s="1499">
        <f>E30/E31-1</f>
        <v>3.3519033243940788E-2</v>
      </c>
      <c r="V30" s="1499">
        <f>F30/F31-1</f>
        <v>1.2061818076502862E-2</v>
      </c>
      <c r="W30" s="1500" t="s">
        <v>1157</v>
      </c>
      <c r="X30" s="1501">
        <v>1</v>
      </c>
      <c r="Y30" s="1501">
        <v>1</v>
      </c>
      <c r="Z30" s="1501">
        <v>1</v>
      </c>
      <c r="AA30" s="1501">
        <v>1</v>
      </c>
      <c r="AB30" s="1501">
        <v>1</v>
      </c>
      <c r="AD30" s="1723">
        <f>I30/100</f>
        <v>2.9700000000000001E-2</v>
      </c>
      <c r="AE30" s="1723">
        <f>J30/100</f>
        <v>2.3399999999999997E-2</v>
      </c>
      <c r="AF30" s="1723">
        <f>AE30</f>
        <v>2.3399999999999997E-2</v>
      </c>
      <c r="AG30" s="1723">
        <f>K30/100</f>
        <v>3.2799999999999996E-2</v>
      </c>
      <c r="AH30" s="1723">
        <f>L30/100</f>
        <v>1.3600000000000001E-2</v>
      </c>
    </row>
    <row r="31" spans="1:34" ht="13.5" thickBot="1">
      <c r="A31" s="1457" t="s">
        <v>1158</v>
      </c>
      <c r="B31" s="1465">
        <v>299</v>
      </c>
      <c r="C31" s="1465">
        <v>252</v>
      </c>
      <c r="D31" s="1465">
        <f t="shared" si="133"/>
        <v>252</v>
      </c>
      <c r="E31" s="1465">
        <v>409</v>
      </c>
      <c r="F31" s="1466">
        <v>227</v>
      </c>
      <c r="G31" s="3704">
        <v>2013</v>
      </c>
      <c r="H31" s="1502">
        <v>4</v>
      </c>
      <c r="I31" s="1502">
        <v>1.83</v>
      </c>
      <c r="J31" s="1502">
        <v>1.68</v>
      </c>
      <c r="K31" s="1502">
        <v>1.97</v>
      </c>
      <c r="L31" s="1503">
        <v>0.87</v>
      </c>
      <c r="N31" s="1480">
        <f t="shared" si="135"/>
        <v>1.83E-2</v>
      </c>
      <c r="O31" s="1481">
        <f t="shared" si="130"/>
        <v>1.6799999999999999E-2</v>
      </c>
      <c r="P31" s="1481">
        <f t="shared" si="130"/>
        <v>1.9699999999999999E-2</v>
      </c>
      <c r="Q31" s="1481">
        <f t="shared" si="130"/>
        <v>8.6999999999999994E-3</v>
      </c>
      <c r="R31" s="1470"/>
      <c r="S31" s="1471"/>
      <c r="T31" s="1472"/>
      <c r="U31" s="1472"/>
      <c r="V31" s="1472"/>
      <c r="X31" s="1472"/>
      <c r="Y31" s="1472"/>
      <c r="Z31" s="1472"/>
    </row>
    <row r="32" spans="1:34">
      <c r="A32" s="1457" t="s">
        <v>1159</v>
      </c>
      <c r="B32" s="1473">
        <f t="shared" ref="B32:C34" si="142">B31/(1+N31)</f>
        <v>293.62663262299913</v>
      </c>
      <c r="C32" s="1473">
        <f t="shared" si="142"/>
        <v>247.83634933123525</v>
      </c>
      <c r="D32" s="1473">
        <f t="shared" si="133"/>
        <v>247.83634933123525</v>
      </c>
      <c r="E32" s="1473">
        <f t="shared" ref="E32:F34" si="143">E31/(1+P31)</f>
        <v>401.09836226341076</v>
      </c>
      <c r="F32" s="1473">
        <f t="shared" si="143"/>
        <v>225.04213343908003</v>
      </c>
      <c r="G32" s="3705"/>
      <c r="H32" s="1483">
        <v>3</v>
      </c>
      <c r="I32" s="1483">
        <v>1.86</v>
      </c>
      <c r="J32" s="1483">
        <v>1.72</v>
      </c>
      <c r="K32" s="1483">
        <v>1.98</v>
      </c>
      <c r="L32" s="1484">
        <v>0.88</v>
      </c>
      <c r="N32" s="1468">
        <f t="shared" si="135"/>
        <v>1.8600000000000002E-2</v>
      </c>
      <c r="O32" s="1485">
        <f t="shared" si="130"/>
        <v>1.72E-2</v>
      </c>
      <c r="P32" s="1485">
        <f t="shared" si="130"/>
        <v>1.9799999999999998E-2</v>
      </c>
      <c r="Q32" s="1485">
        <f t="shared" si="130"/>
        <v>8.8000000000000005E-3</v>
      </c>
      <c r="R32" s="1470"/>
      <c r="S32" s="1468"/>
      <c r="T32" s="1469"/>
      <c r="U32" s="1469"/>
      <c r="V32" s="1469"/>
    </row>
    <row r="33" spans="1:26">
      <c r="A33" s="1457" t="s">
        <v>1160</v>
      </c>
      <c r="B33" s="1473">
        <f t="shared" si="142"/>
        <v>288.2649053828776</v>
      </c>
      <c r="C33" s="1473">
        <f t="shared" si="142"/>
        <v>243.64564425013293</v>
      </c>
      <c r="D33" s="1473">
        <f t="shared" si="133"/>
        <v>243.64564425013293</v>
      </c>
      <c r="E33" s="1473">
        <f t="shared" si="143"/>
        <v>393.31080825986544</v>
      </c>
      <c r="F33" s="1473">
        <f t="shared" si="143"/>
        <v>223.07903790551154</v>
      </c>
      <c r="G33" s="3705"/>
      <c r="H33" s="1461">
        <v>2</v>
      </c>
      <c r="I33" s="1461">
        <v>2.04</v>
      </c>
      <c r="J33" s="1461">
        <v>2.33</v>
      </c>
      <c r="K33" s="1461">
        <v>2.0699999999999998</v>
      </c>
      <c r="L33" s="1475">
        <v>0.69</v>
      </c>
      <c r="N33" s="1468">
        <f t="shared" si="135"/>
        <v>2.0400000000000001E-2</v>
      </c>
      <c r="O33" s="1485">
        <f t="shared" si="130"/>
        <v>2.3300000000000001E-2</v>
      </c>
      <c r="P33" s="1485">
        <f t="shared" si="130"/>
        <v>2.07E-2</v>
      </c>
      <c r="Q33" s="1485">
        <f t="shared" si="130"/>
        <v>6.8999999999999999E-3</v>
      </c>
      <c r="R33" s="1470"/>
      <c r="S33" s="1468"/>
      <c r="T33" s="1469"/>
      <c r="U33" s="1469"/>
      <c r="V33" s="1469"/>
      <c r="X33" s="1504"/>
      <c r="Y33" s="1505"/>
    </row>
    <row r="34" spans="1:26">
      <c r="A34" s="1457" t="s">
        <v>1161</v>
      </c>
      <c r="B34" s="1473">
        <f t="shared" si="142"/>
        <v>282.50186729015837</v>
      </c>
      <c r="C34" s="1473">
        <f t="shared" si="142"/>
        <v>238.09796174155468</v>
      </c>
      <c r="D34" s="1473">
        <f t="shared" si="133"/>
        <v>238.09796174155468</v>
      </c>
      <c r="E34" s="1473">
        <f t="shared" si="143"/>
        <v>385.33438646014054</v>
      </c>
      <c r="F34" s="1473">
        <f t="shared" si="143"/>
        <v>221.55034055567739</v>
      </c>
      <c r="G34" s="3706"/>
      <c r="H34" s="1460">
        <v>1</v>
      </c>
      <c r="I34" s="1460">
        <v>1.67</v>
      </c>
      <c r="J34" s="1460">
        <v>1.31</v>
      </c>
      <c r="K34" s="1460">
        <v>1.85</v>
      </c>
      <c r="L34" s="1474">
        <v>0.96</v>
      </c>
      <c r="N34" s="1476">
        <f t="shared" si="135"/>
        <v>1.67E-2</v>
      </c>
      <c r="O34" s="1477">
        <f t="shared" si="135"/>
        <v>1.3100000000000001E-2</v>
      </c>
      <c r="P34" s="1477">
        <f t="shared" si="135"/>
        <v>1.8500000000000003E-2</v>
      </c>
      <c r="Q34" s="1477">
        <f t="shared" si="135"/>
        <v>9.5999999999999992E-3</v>
      </c>
      <c r="R34" s="1470"/>
      <c r="S34" s="1476">
        <f>B34/B35-1</f>
        <v>1.6193767230785472E-2</v>
      </c>
      <c r="T34" s="1477">
        <f>C34/C35-1</f>
        <v>1.7512657015190891E-2</v>
      </c>
      <c r="U34" s="1477">
        <f>E34/E35-1</f>
        <v>1.6713420739157048E-2</v>
      </c>
      <c r="V34" s="1477">
        <f>F34/F35-1</f>
        <v>7.0470025258062563E-3</v>
      </c>
      <c r="X34" s="1506"/>
      <c r="Y34" s="1456"/>
      <c r="Z34" s="1456"/>
    </row>
    <row r="35" spans="1:26" ht="13.5" thickBot="1">
      <c r="A35" s="1457" t="s">
        <v>1162</v>
      </c>
      <c r="B35" s="1507">
        <v>278</v>
      </c>
      <c r="C35" s="1507">
        <v>234</v>
      </c>
      <c r="D35" s="1507">
        <f t="shared" si="133"/>
        <v>234</v>
      </c>
      <c r="E35" s="1507">
        <v>379</v>
      </c>
      <c r="F35" s="1508">
        <v>220</v>
      </c>
      <c r="G35" s="3699">
        <v>2012</v>
      </c>
      <c r="H35" s="1478">
        <v>4</v>
      </c>
      <c r="I35" s="1478">
        <v>0.91</v>
      </c>
      <c r="J35" s="1478">
        <v>0.68</v>
      </c>
      <c r="K35" s="1478">
        <v>0.98</v>
      </c>
      <c r="L35" s="1479">
        <v>0.9</v>
      </c>
      <c r="N35" s="1468">
        <f t="shared" si="135"/>
        <v>9.1000000000000004E-3</v>
      </c>
      <c r="O35" s="1469">
        <f t="shared" si="135"/>
        <v>6.8000000000000005E-3</v>
      </c>
      <c r="P35" s="1469">
        <f t="shared" si="135"/>
        <v>9.7999999999999997E-3</v>
      </c>
      <c r="Q35" s="1469">
        <f t="shared" si="135"/>
        <v>9.0000000000000011E-3</v>
      </c>
      <c r="R35" s="1470"/>
      <c r="S35" s="1471"/>
      <c r="T35" s="1472"/>
      <c r="U35" s="1472"/>
      <c r="V35" s="1472"/>
      <c r="X35" s="1472"/>
      <c r="Y35" s="1472"/>
      <c r="Z35" s="1472"/>
    </row>
    <row r="36" spans="1:26">
      <c r="A36" s="1457" t="s">
        <v>1163</v>
      </c>
      <c r="B36" s="1473">
        <f>B35/(1+N35)</f>
        <v>275.49301357645425</v>
      </c>
      <c r="C36" s="1473">
        <f>C35/(1+O35)</f>
        <v>232.41954707985698</v>
      </c>
      <c r="D36" s="1473">
        <f t="shared" si="133"/>
        <v>232.41954707985698</v>
      </c>
      <c r="E36" s="1473">
        <f t="shared" ref="E36:F38" si="144">E35/(1+P35)</f>
        <v>375.32184591008121</v>
      </c>
      <c r="F36" s="1473">
        <f t="shared" si="144"/>
        <v>218.03766105054513</v>
      </c>
      <c r="G36" s="3700"/>
      <c r="H36" s="1483">
        <v>3</v>
      </c>
      <c r="I36" s="1483">
        <v>0.09</v>
      </c>
      <c r="J36" s="1483">
        <v>0.28999999999999998</v>
      </c>
      <c r="K36" s="1483">
        <v>-0.01</v>
      </c>
      <c r="L36" s="1484">
        <v>0.57999999999999996</v>
      </c>
      <c r="N36" s="1468">
        <f t="shared" si="135"/>
        <v>8.9999999999999998E-4</v>
      </c>
      <c r="O36" s="1469">
        <f t="shared" si="135"/>
        <v>2.8999999999999998E-3</v>
      </c>
      <c r="P36" s="1469">
        <f t="shared" si="135"/>
        <v>-1E-4</v>
      </c>
      <c r="Q36" s="1469">
        <f t="shared" si="135"/>
        <v>5.7999999999999996E-3</v>
      </c>
      <c r="R36" s="1470"/>
      <c r="S36" s="1468"/>
      <c r="T36" s="1469"/>
      <c r="U36" s="1469"/>
      <c r="V36" s="1469"/>
    </row>
    <row r="37" spans="1:26">
      <c r="A37" s="1457" t="s">
        <v>1164</v>
      </c>
      <c r="B37" s="1473">
        <f>B36/(1+N36)</f>
        <v>275.24529281292263</v>
      </c>
      <c r="C37" s="1473">
        <f>C36/(1+O36)</f>
        <v>231.74747938962707</v>
      </c>
      <c r="D37" s="1473">
        <f t="shared" si="133"/>
        <v>231.74747938962707</v>
      </c>
      <c r="E37" s="1473">
        <f t="shared" si="144"/>
        <v>375.35938184826603</v>
      </c>
      <c r="F37" s="1473">
        <f t="shared" si="144"/>
        <v>216.78033510692495</v>
      </c>
      <c r="G37" s="3700"/>
      <c r="H37" s="1461">
        <v>2</v>
      </c>
      <c r="I37" s="1461">
        <v>0.02</v>
      </c>
      <c r="J37" s="1461">
        <v>0.12</v>
      </c>
      <c r="K37" s="1461">
        <v>-0.08</v>
      </c>
      <c r="L37" s="1475">
        <v>1.24</v>
      </c>
      <c r="N37" s="1468">
        <f t="shared" si="135"/>
        <v>2.0000000000000001E-4</v>
      </c>
      <c r="O37" s="1469">
        <f t="shared" si="135"/>
        <v>1.1999999999999999E-3</v>
      </c>
      <c r="P37" s="1469">
        <f t="shared" si="135"/>
        <v>-8.0000000000000004E-4</v>
      </c>
      <c r="Q37" s="1469">
        <f t="shared" si="135"/>
        <v>1.24E-2</v>
      </c>
      <c r="R37" s="1470"/>
      <c r="S37" s="1468"/>
      <c r="T37" s="1469"/>
      <c r="U37" s="1469"/>
      <c r="V37" s="1469"/>
    </row>
    <row r="38" spans="1:26" ht="13.5" thickBot="1">
      <c r="A38" s="1457" t="s">
        <v>1165</v>
      </c>
      <c r="B38" s="1473">
        <f>B37/(1+N37)</f>
        <v>275.19025476197027</v>
      </c>
      <c r="C38" s="1509">
        <v>232</v>
      </c>
      <c r="D38" s="1509">
        <f t="shared" si="133"/>
        <v>232</v>
      </c>
      <c r="E38" s="1473">
        <f t="shared" si="144"/>
        <v>375.65990977608692</v>
      </c>
      <c r="F38" s="1473">
        <f t="shared" si="144"/>
        <v>214.12518283971252</v>
      </c>
      <c r="G38" s="3701"/>
      <c r="H38" s="1460">
        <v>1</v>
      </c>
      <c r="I38" s="1460">
        <v>0.02</v>
      </c>
      <c r="J38" s="1460">
        <v>0.13</v>
      </c>
      <c r="K38" s="1460">
        <v>-0.04</v>
      </c>
      <c r="L38" s="1474">
        <v>0.46</v>
      </c>
      <c r="N38" s="1468">
        <f t="shared" si="135"/>
        <v>2.0000000000000001E-4</v>
      </c>
      <c r="O38" s="1469">
        <f t="shared" si="135"/>
        <v>1.2999999999999999E-3</v>
      </c>
      <c r="P38" s="1469">
        <f t="shared" si="135"/>
        <v>-4.0000000000000002E-4</v>
      </c>
      <c r="Q38" s="1469">
        <f t="shared" si="135"/>
        <v>4.5999999999999999E-3</v>
      </c>
      <c r="R38" s="1470"/>
      <c r="S38" s="1476">
        <f>B38/B39-1</f>
        <v>6.9183549807361189E-4</v>
      </c>
      <c r="T38" s="1477">
        <f>C38/C39-1</f>
        <v>0</v>
      </c>
      <c r="U38" s="1477">
        <f>E38/E39-1</f>
        <v>-9.0449527636460303E-4</v>
      </c>
      <c r="V38" s="1477">
        <f>F38/F39-1</f>
        <v>5.2825485432512753E-3</v>
      </c>
      <c r="X38" s="1456"/>
      <c r="Y38" s="1456"/>
      <c r="Z38" s="1456"/>
    </row>
    <row r="39" spans="1:26" ht="13.5" thickBot="1">
      <c r="A39" s="1457" t="s">
        <v>1166</v>
      </c>
      <c r="B39" s="1465">
        <v>275</v>
      </c>
      <c r="C39" s="1465">
        <v>232</v>
      </c>
      <c r="D39" s="1465">
        <f t="shared" si="133"/>
        <v>232</v>
      </c>
      <c r="E39" s="1465">
        <v>376</v>
      </c>
      <c r="F39" s="1466">
        <v>213</v>
      </c>
      <c r="G39" s="3699">
        <v>2011</v>
      </c>
      <c r="H39" s="1478">
        <v>4</v>
      </c>
      <c r="I39" s="1478">
        <v>-0.2</v>
      </c>
      <c r="J39" s="1478">
        <v>0.04</v>
      </c>
      <c r="K39" s="1478">
        <v>-0.34</v>
      </c>
      <c r="L39" s="1479">
        <v>0.46</v>
      </c>
      <c r="N39" s="1480">
        <f t="shared" si="135"/>
        <v>-2E-3</v>
      </c>
      <c r="O39" s="1481">
        <f t="shared" si="135"/>
        <v>4.0000000000000002E-4</v>
      </c>
      <c r="P39" s="1481">
        <f t="shared" si="135"/>
        <v>-3.4000000000000002E-3</v>
      </c>
      <c r="Q39" s="1481">
        <f t="shared" si="135"/>
        <v>4.5999999999999999E-3</v>
      </c>
      <c r="R39" s="1470"/>
      <c r="S39" s="1471"/>
      <c r="T39" s="1472"/>
      <c r="U39" s="1472"/>
      <c r="V39" s="1472"/>
      <c r="X39" s="1472"/>
      <c r="Y39" s="1472"/>
      <c r="Z39" s="1472"/>
    </row>
    <row r="40" spans="1:26">
      <c r="A40" s="1457" t="s">
        <v>1167</v>
      </c>
      <c r="B40" s="1473">
        <f t="shared" ref="B40:C42" si="145">B39/(1+N39)</f>
        <v>275.55110220440883</v>
      </c>
      <c r="C40" s="1473">
        <f t="shared" si="145"/>
        <v>231.90723710515795</v>
      </c>
      <c r="D40" s="1473">
        <f t="shared" si="133"/>
        <v>231.90723710515795</v>
      </c>
      <c r="E40" s="1473">
        <f t="shared" ref="E40:F42" si="146">E39/(1+P39)</f>
        <v>377.28276138872161</v>
      </c>
      <c r="F40" s="1473">
        <f t="shared" si="146"/>
        <v>212.02468644236512</v>
      </c>
      <c r="G40" s="3700">
        <v>2011</v>
      </c>
      <c r="H40" s="1483">
        <v>3</v>
      </c>
      <c r="I40" s="1483">
        <v>0.13</v>
      </c>
      <c r="J40" s="1483">
        <v>0.75</v>
      </c>
      <c r="K40" s="1483">
        <v>-0.08</v>
      </c>
      <c r="L40" s="1484">
        <v>0.53</v>
      </c>
      <c r="N40" s="1468">
        <f t="shared" si="135"/>
        <v>1.2999999999999999E-3</v>
      </c>
      <c r="O40" s="1485">
        <f t="shared" si="135"/>
        <v>7.4999999999999997E-3</v>
      </c>
      <c r="P40" s="1485">
        <f t="shared" si="135"/>
        <v>-8.0000000000000004E-4</v>
      </c>
      <c r="Q40" s="1485">
        <f t="shared" si="135"/>
        <v>5.3E-3</v>
      </c>
      <c r="R40" s="1470"/>
      <c r="S40" s="1468"/>
      <c r="T40" s="1469"/>
      <c r="U40" s="1469"/>
      <c r="V40" s="1469"/>
    </row>
    <row r="41" spans="1:26">
      <c r="A41" s="1457" t="s">
        <v>1168</v>
      </c>
      <c r="B41" s="1473">
        <f t="shared" si="145"/>
        <v>275.19335084830601</v>
      </c>
      <c r="C41" s="1473">
        <f t="shared" si="145"/>
        <v>230.18088050139744</v>
      </c>
      <c r="D41" s="1473">
        <f t="shared" si="133"/>
        <v>230.18088050139744</v>
      </c>
      <c r="E41" s="1473">
        <f t="shared" si="146"/>
        <v>377.58482925212331</v>
      </c>
      <c r="F41" s="1473">
        <f t="shared" si="146"/>
        <v>210.90687997847917</v>
      </c>
      <c r="G41" s="3700">
        <v>2011</v>
      </c>
      <c r="H41" s="1461">
        <v>2</v>
      </c>
      <c r="I41" s="1461">
        <v>-0.4</v>
      </c>
      <c r="J41" s="1461">
        <v>0.17</v>
      </c>
      <c r="K41" s="1461">
        <v>-0.57999999999999996</v>
      </c>
      <c r="L41" s="1475">
        <v>-0.2</v>
      </c>
      <c r="N41" s="1468">
        <f t="shared" si="135"/>
        <v>-4.0000000000000001E-3</v>
      </c>
      <c r="O41" s="1485">
        <f t="shared" si="135"/>
        <v>1.7000000000000001E-3</v>
      </c>
      <c r="P41" s="1485">
        <f t="shared" si="135"/>
        <v>-5.7999999999999996E-3</v>
      </c>
      <c r="Q41" s="1485">
        <f t="shared" si="135"/>
        <v>-2E-3</v>
      </c>
      <c r="R41" s="1470"/>
      <c r="S41" s="1468"/>
      <c r="T41" s="1469"/>
      <c r="U41" s="1469"/>
      <c r="V41" s="1469"/>
    </row>
    <row r="42" spans="1:26" ht="13.5" thickBot="1">
      <c r="A42" s="1457" t="s">
        <v>1169</v>
      </c>
      <c r="B42" s="1473">
        <f t="shared" si="145"/>
        <v>276.29854502841971</v>
      </c>
      <c r="C42" s="1473">
        <f t="shared" si="145"/>
        <v>229.79023709833027</v>
      </c>
      <c r="D42" s="1473">
        <f t="shared" si="133"/>
        <v>229.79023709833027</v>
      </c>
      <c r="E42" s="1473">
        <f t="shared" si="146"/>
        <v>379.78759731655936</v>
      </c>
      <c r="F42" s="1473">
        <f t="shared" si="146"/>
        <v>211.32953905659235</v>
      </c>
      <c r="G42" s="3701">
        <v>2011</v>
      </c>
      <c r="H42" s="1460">
        <v>1</v>
      </c>
      <c r="I42" s="1460">
        <v>2.65</v>
      </c>
      <c r="J42" s="1460">
        <v>3.76</v>
      </c>
      <c r="K42" s="1460">
        <v>1.89</v>
      </c>
      <c r="L42" s="1474">
        <v>7.95</v>
      </c>
      <c r="N42" s="1476">
        <f t="shared" si="135"/>
        <v>2.6499999999999999E-2</v>
      </c>
      <c r="O42" s="1477">
        <f t="shared" si="135"/>
        <v>3.7599999999999995E-2</v>
      </c>
      <c r="P42" s="1477">
        <f t="shared" si="135"/>
        <v>1.89E-2</v>
      </c>
      <c r="Q42" s="1477">
        <f t="shared" si="135"/>
        <v>7.9500000000000001E-2</v>
      </c>
      <c r="R42" s="1470"/>
      <c r="S42" s="1476">
        <f>B42/B43-1</f>
        <v>2.713213765211786E-2</v>
      </c>
      <c r="T42" s="1477">
        <f>C42/C43-1</f>
        <v>3.9774828499231862E-2</v>
      </c>
      <c r="U42" s="1477">
        <f>E42/E43-1</f>
        <v>1.8197311840641772E-2</v>
      </c>
      <c r="V42" s="1477">
        <f>F42/F43-1</f>
        <v>7.8211933962205826E-2</v>
      </c>
      <c r="X42" s="1456"/>
      <c r="Y42" s="1456"/>
      <c r="Z42" s="1456"/>
    </row>
    <row r="43" spans="1:26" ht="13.5" thickBot="1">
      <c r="A43" s="1457" t="s">
        <v>1170</v>
      </c>
      <c r="B43" s="1465">
        <v>269</v>
      </c>
      <c r="C43" s="1465">
        <v>221</v>
      </c>
      <c r="D43" s="1465">
        <f t="shared" si="133"/>
        <v>221</v>
      </c>
      <c r="E43" s="1465">
        <v>373</v>
      </c>
      <c r="F43" s="1466">
        <v>196</v>
      </c>
      <c r="G43" s="3699">
        <v>2010</v>
      </c>
      <c r="H43" s="1478">
        <v>4</v>
      </c>
      <c r="I43" s="1478">
        <v>5.72</v>
      </c>
      <c r="J43" s="1478">
        <v>6.57</v>
      </c>
      <c r="K43" s="1478">
        <v>5.72</v>
      </c>
      <c r="L43" s="1479">
        <v>2.72</v>
      </c>
      <c r="N43" s="1468">
        <f t="shared" si="135"/>
        <v>5.7200000000000001E-2</v>
      </c>
      <c r="O43" s="1469">
        <f t="shared" si="135"/>
        <v>6.5700000000000008E-2</v>
      </c>
      <c r="P43" s="1469">
        <f t="shared" si="135"/>
        <v>5.7200000000000001E-2</v>
      </c>
      <c r="Q43" s="1469">
        <f t="shared" si="135"/>
        <v>2.7200000000000002E-2</v>
      </c>
      <c r="R43" s="1470"/>
      <c r="S43" s="1471"/>
      <c r="T43" s="1472"/>
      <c r="U43" s="1472"/>
      <c r="V43" s="1472"/>
      <c r="X43" s="1472"/>
      <c r="Y43" s="1472"/>
      <c r="Z43" s="1472"/>
    </row>
    <row r="44" spans="1:26">
      <c r="A44" s="1457" t="s">
        <v>1171</v>
      </c>
      <c r="B44" s="1473">
        <f t="shared" ref="B44:C46" si="147">B43/(1+N43)</f>
        <v>254.44570563753314</v>
      </c>
      <c r="C44" s="1473">
        <f t="shared" si="147"/>
        <v>207.37543398705074</v>
      </c>
      <c r="D44" s="1473">
        <f t="shared" si="133"/>
        <v>207.37543398705074</v>
      </c>
      <c r="E44" s="1473">
        <f t="shared" ref="E44:F46" si="148">E43/(1+P43)</f>
        <v>352.81876655315932</v>
      </c>
      <c r="F44" s="1473">
        <f t="shared" si="148"/>
        <v>190.809968847352</v>
      </c>
      <c r="G44" s="3700">
        <v>2010</v>
      </c>
      <c r="H44" s="1483">
        <v>3</v>
      </c>
      <c r="I44" s="1483">
        <v>4.7300000000000004</v>
      </c>
      <c r="J44" s="1483">
        <v>3.9</v>
      </c>
      <c r="K44" s="1483">
        <v>5.03</v>
      </c>
      <c r="L44" s="1484">
        <v>4.21</v>
      </c>
      <c r="N44" s="1468">
        <f t="shared" si="135"/>
        <v>4.7300000000000002E-2</v>
      </c>
      <c r="O44" s="1469">
        <f t="shared" si="135"/>
        <v>3.9E-2</v>
      </c>
      <c r="P44" s="1469">
        <f t="shared" si="135"/>
        <v>5.0300000000000004E-2</v>
      </c>
      <c r="Q44" s="1469">
        <f t="shared" si="135"/>
        <v>4.2099999999999999E-2</v>
      </c>
      <c r="R44" s="1470"/>
      <c r="S44" s="1468"/>
      <c r="T44" s="1469"/>
      <c r="U44" s="1469"/>
      <c r="V44" s="1469"/>
    </row>
    <row r="45" spans="1:26">
      <c r="A45" s="1457" t="s">
        <v>1172</v>
      </c>
      <c r="B45" s="1473">
        <f t="shared" si="147"/>
        <v>242.95398227588385</v>
      </c>
      <c r="C45" s="1473">
        <f t="shared" si="147"/>
        <v>199.59137053614126</v>
      </c>
      <c r="D45" s="1473">
        <f t="shared" si="133"/>
        <v>199.59137053614126</v>
      </c>
      <c r="E45" s="1473">
        <f t="shared" si="148"/>
        <v>335.92189522342125</v>
      </c>
      <c r="F45" s="1473">
        <f t="shared" si="148"/>
        <v>183.10139991109489</v>
      </c>
      <c r="G45" s="3700">
        <v>2010</v>
      </c>
      <c r="H45" s="1461">
        <v>2</v>
      </c>
      <c r="I45" s="1461">
        <v>4.6900000000000004</v>
      </c>
      <c r="J45" s="1461">
        <v>3.55</v>
      </c>
      <c r="K45" s="1461">
        <v>5.07</v>
      </c>
      <c r="L45" s="1475">
        <v>4.2300000000000004</v>
      </c>
      <c r="N45" s="1468">
        <f t="shared" si="135"/>
        <v>4.6900000000000004E-2</v>
      </c>
      <c r="O45" s="1469">
        <f t="shared" si="135"/>
        <v>3.5499999999999997E-2</v>
      </c>
      <c r="P45" s="1469">
        <f t="shared" si="135"/>
        <v>5.0700000000000002E-2</v>
      </c>
      <c r="Q45" s="1469">
        <f t="shared" si="135"/>
        <v>4.2300000000000004E-2</v>
      </c>
      <c r="R45" s="1470"/>
      <c r="S45" s="1468"/>
      <c r="T45" s="1469"/>
      <c r="U45" s="1469"/>
      <c r="V45" s="1469"/>
    </row>
    <row r="46" spans="1:26" ht="13.5" thickBot="1">
      <c r="A46" s="1457" t="s">
        <v>1173</v>
      </c>
      <c r="B46" s="1473">
        <f t="shared" si="147"/>
        <v>232.06990378821649</v>
      </c>
      <c r="C46" s="1473">
        <f t="shared" si="147"/>
        <v>192.74878854286936</v>
      </c>
      <c r="D46" s="1473">
        <f t="shared" si="133"/>
        <v>192.74878854286936</v>
      </c>
      <c r="E46" s="1473">
        <f t="shared" si="148"/>
        <v>319.71247284992984</v>
      </c>
      <c r="F46" s="1473">
        <f t="shared" si="148"/>
        <v>175.67053622862409</v>
      </c>
      <c r="G46" s="3701">
        <v>2010</v>
      </c>
      <c r="H46" s="1460">
        <v>1</v>
      </c>
      <c r="I46" s="1460">
        <v>5.4</v>
      </c>
      <c r="J46" s="1460">
        <v>3.2</v>
      </c>
      <c r="K46" s="1460">
        <v>6.16</v>
      </c>
      <c r="L46" s="1474">
        <v>4.51</v>
      </c>
      <c r="N46" s="1468">
        <f t="shared" si="135"/>
        <v>5.4000000000000006E-2</v>
      </c>
      <c r="O46" s="1469">
        <f t="shared" si="135"/>
        <v>3.2000000000000001E-2</v>
      </c>
      <c r="P46" s="1469">
        <f t="shared" si="135"/>
        <v>6.1600000000000002E-2</v>
      </c>
      <c r="Q46" s="1469">
        <f t="shared" si="135"/>
        <v>4.5100000000000001E-2</v>
      </c>
      <c r="R46" s="1470"/>
      <c r="S46" s="1476">
        <f>B46/B47-1</f>
        <v>5.4863199037347599E-2</v>
      </c>
      <c r="T46" s="1477">
        <f>C46/C47-1</f>
        <v>3.0742184721226584E-2</v>
      </c>
      <c r="U46" s="1477">
        <f>E46/E47-1</f>
        <v>6.2167683886810154E-2</v>
      </c>
      <c r="V46" s="1477">
        <f>F46/F47-1</f>
        <v>4.5657953741810031E-2</v>
      </c>
      <c r="X46" s="1456"/>
      <c r="Y46" s="1456"/>
      <c r="Z46" s="1456"/>
    </row>
    <row r="47" spans="1:26" ht="13.5" thickBot="1">
      <c r="A47" s="1457" t="s">
        <v>1174</v>
      </c>
      <c r="B47" s="1465">
        <v>220</v>
      </c>
      <c r="C47" s="1465">
        <v>187</v>
      </c>
      <c r="D47" s="1465">
        <f t="shared" si="133"/>
        <v>187</v>
      </c>
      <c r="E47" s="1465">
        <v>301</v>
      </c>
      <c r="F47" s="1466">
        <v>168</v>
      </c>
      <c r="G47" s="3699">
        <v>2009</v>
      </c>
      <c r="H47" s="1478">
        <v>4</v>
      </c>
      <c r="I47" s="1478">
        <v>2.2999999999999998</v>
      </c>
      <c r="J47" s="1478">
        <v>1.04</v>
      </c>
      <c r="K47" s="1478">
        <v>2.84</v>
      </c>
      <c r="L47" s="1479">
        <v>0.67</v>
      </c>
      <c r="N47" s="1480">
        <f t="shared" si="135"/>
        <v>2.3E-2</v>
      </c>
      <c r="O47" s="1481">
        <f t="shared" si="135"/>
        <v>1.04E-2</v>
      </c>
      <c r="P47" s="1481">
        <f t="shared" si="135"/>
        <v>2.8399999999999998E-2</v>
      </c>
      <c r="Q47" s="1481">
        <f t="shared" si="135"/>
        <v>6.7000000000000002E-3</v>
      </c>
      <c r="R47" s="1470"/>
      <c r="S47" s="1471"/>
      <c r="T47" s="1472"/>
      <c r="U47" s="1472"/>
      <c r="V47" s="1472"/>
      <c r="X47" s="1472"/>
      <c r="Y47" s="1472"/>
      <c r="Z47" s="1472"/>
    </row>
    <row r="48" spans="1:26">
      <c r="A48" s="1457" t="s">
        <v>1175</v>
      </c>
      <c r="B48" s="1473">
        <f t="shared" ref="B48:C50" si="149">B47/(1+N47)</f>
        <v>215.05376344086022</v>
      </c>
      <c r="C48" s="1473">
        <f t="shared" si="149"/>
        <v>185.0752177355503</v>
      </c>
      <c r="D48" s="1473">
        <f t="shared" si="133"/>
        <v>185.0752177355503</v>
      </c>
      <c r="E48" s="1473">
        <f t="shared" ref="E48:F50" si="150">E47/(1+P47)</f>
        <v>292.68767016725008</v>
      </c>
      <c r="F48" s="1473">
        <f t="shared" si="150"/>
        <v>166.88189132810174</v>
      </c>
      <c r="G48" s="3700">
        <v>2009</v>
      </c>
      <c r="H48" s="1483">
        <v>3</v>
      </c>
      <c r="I48" s="1483">
        <v>2.1</v>
      </c>
      <c r="J48" s="1483">
        <v>1.86</v>
      </c>
      <c r="K48" s="1483">
        <v>2.29</v>
      </c>
      <c r="L48" s="1484">
        <v>0.85</v>
      </c>
      <c r="N48" s="1468">
        <f t="shared" si="135"/>
        <v>2.1000000000000001E-2</v>
      </c>
      <c r="O48" s="1485">
        <f t="shared" si="135"/>
        <v>1.8600000000000002E-2</v>
      </c>
      <c r="P48" s="1485">
        <f t="shared" si="135"/>
        <v>2.29E-2</v>
      </c>
      <c r="Q48" s="1485">
        <f t="shared" si="135"/>
        <v>8.5000000000000006E-3</v>
      </c>
      <c r="R48" s="1470"/>
      <c r="S48" s="1468"/>
      <c r="T48" s="1469"/>
      <c r="U48" s="1469"/>
      <c r="V48" s="1469"/>
    </row>
    <row r="49" spans="1:26">
      <c r="A49" s="1457" t="s">
        <v>1176</v>
      </c>
      <c r="B49" s="1473">
        <f t="shared" si="149"/>
        <v>210.630522469011</v>
      </c>
      <c r="C49" s="1473">
        <f t="shared" si="149"/>
        <v>181.69567812247232</v>
      </c>
      <c r="D49" s="1473">
        <f t="shared" si="133"/>
        <v>181.69567812247232</v>
      </c>
      <c r="E49" s="1473">
        <f t="shared" si="150"/>
        <v>286.13517466736738</v>
      </c>
      <c r="F49" s="1473">
        <f t="shared" si="150"/>
        <v>165.47535084591149</v>
      </c>
      <c r="G49" s="3700">
        <v>2009</v>
      </c>
      <c r="H49" s="1461">
        <v>2</v>
      </c>
      <c r="I49" s="1461">
        <v>0.86</v>
      </c>
      <c r="J49" s="1461">
        <v>-1.1299999999999999</v>
      </c>
      <c r="K49" s="1461">
        <v>1.79</v>
      </c>
      <c r="L49" s="1475">
        <v>-2.0699999999999998</v>
      </c>
      <c r="N49" s="1468">
        <f t="shared" si="135"/>
        <v>8.6E-3</v>
      </c>
      <c r="O49" s="1485">
        <f t="shared" si="135"/>
        <v>-1.1299999999999999E-2</v>
      </c>
      <c r="P49" s="1485">
        <f t="shared" si="135"/>
        <v>1.7899999999999999E-2</v>
      </c>
      <c r="Q49" s="1485">
        <f t="shared" si="135"/>
        <v>-2.07E-2</v>
      </c>
      <c r="R49" s="1470"/>
      <c r="S49" s="1468"/>
      <c r="T49" s="1469"/>
      <c r="U49" s="1469"/>
      <c r="V49" s="1469"/>
    </row>
    <row r="50" spans="1:26">
      <c r="A50" s="1457" t="s">
        <v>1177</v>
      </c>
      <c r="B50" s="1473">
        <f t="shared" si="149"/>
        <v>208.83454537875372</v>
      </c>
      <c r="C50" s="1473">
        <f t="shared" si="149"/>
        <v>183.77230517090351</v>
      </c>
      <c r="D50" s="1473">
        <f t="shared" si="133"/>
        <v>183.77230517090351</v>
      </c>
      <c r="E50" s="1473">
        <f t="shared" si="150"/>
        <v>281.10342338870947</v>
      </c>
      <c r="F50" s="1473">
        <f t="shared" si="150"/>
        <v>168.97309388942256</v>
      </c>
      <c r="G50" s="3701">
        <v>2009</v>
      </c>
      <c r="H50" s="1460">
        <v>1</v>
      </c>
      <c r="I50" s="1460">
        <v>-2.64</v>
      </c>
      <c r="J50" s="1460">
        <v>-2.5299999999999998</v>
      </c>
      <c r="K50" s="1460">
        <v>-3.02</v>
      </c>
      <c r="L50" s="1474">
        <v>1.52</v>
      </c>
      <c r="N50" s="1476">
        <f t="shared" si="135"/>
        <v>-2.64E-2</v>
      </c>
      <c r="O50" s="1477">
        <f t="shared" si="135"/>
        <v>-2.53E-2</v>
      </c>
      <c r="P50" s="1477">
        <f t="shared" si="135"/>
        <v>-3.0200000000000001E-2</v>
      </c>
      <c r="Q50" s="1477">
        <f t="shared" si="135"/>
        <v>1.52E-2</v>
      </c>
      <c r="R50" s="1470"/>
      <c r="S50" s="1476">
        <f>B50/B51-1</f>
        <v>-2.4137638417038754E-2</v>
      </c>
      <c r="T50" s="1477">
        <f>C50/C51-1</f>
        <v>-2.248773845264096E-2</v>
      </c>
      <c r="U50" s="1477">
        <f>E50/E51-1</f>
        <v>-2.7323794502735366E-2</v>
      </c>
      <c r="V50" s="1477">
        <f>F50/F51-1</f>
        <v>1.7910204153148035E-2</v>
      </c>
      <c r="X50" s="1456"/>
      <c r="Y50" s="1456"/>
      <c r="Z50" s="1456"/>
    </row>
    <row r="51" spans="1:26" ht="13.5" thickBot="1">
      <c r="A51" s="1457" t="s">
        <v>1178</v>
      </c>
      <c r="B51" s="1507">
        <v>214</v>
      </c>
      <c r="C51" s="1507">
        <v>188</v>
      </c>
      <c r="D51" s="1507">
        <f t="shared" si="133"/>
        <v>188</v>
      </c>
      <c r="E51" s="1507">
        <v>289</v>
      </c>
      <c r="F51" s="1508">
        <v>166</v>
      </c>
      <c r="G51" s="3699">
        <v>2008</v>
      </c>
      <c r="H51" s="1478">
        <v>4</v>
      </c>
      <c r="I51" s="1478">
        <v>1.73</v>
      </c>
      <c r="J51" s="1478">
        <v>0.03</v>
      </c>
      <c r="K51" s="1478">
        <v>2.59</v>
      </c>
      <c r="L51" s="1479">
        <v>-1.66</v>
      </c>
      <c r="N51" s="1468">
        <f t="shared" si="135"/>
        <v>1.7299999999999999E-2</v>
      </c>
      <c r="O51" s="1469">
        <f t="shared" si="135"/>
        <v>2.9999999999999997E-4</v>
      </c>
      <c r="P51" s="1469">
        <f t="shared" si="135"/>
        <v>2.5899999999999999E-2</v>
      </c>
      <c r="Q51" s="1469">
        <f t="shared" si="135"/>
        <v>-1.66E-2</v>
      </c>
      <c r="R51" s="1470"/>
      <c r="S51" s="1471"/>
      <c r="T51" s="1472"/>
      <c r="U51" s="1472"/>
      <c r="V51" s="1472"/>
      <c r="X51" s="1472"/>
      <c r="Y51" s="1472"/>
      <c r="Z51" s="1472"/>
    </row>
    <row r="52" spans="1:26">
      <c r="A52" s="1457" t="s">
        <v>1179</v>
      </c>
      <c r="B52" s="1473">
        <f t="shared" ref="B52:C54" si="151">B51/(1+N51)</f>
        <v>210.36075887152265</v>
      </c>
      <c r="C52" s="1473">
        <f t="shared" si="151"/>
        <v>187.94361691492554</v>
      </c>
      <c r="D52" s="1473">
        <f t="shared" si="133"/>
        <v>187.94361691492554</v>
      </c>
      <c r="E52" s="1473">
        <f t="shared" ref="E52:F54" si="152">E51/(1+P51)</f>
        <v>281.70386977288234</v>
      </c>
      <c r="F52" s="1473">
        <f t="shared" si="152"/>
        <v>168.80211511083994</v>
      </c>
      <c r="G52" s="3700">
        <v>2008</v>
      </c>
      <c r="H52" s="1483">
        <v>3</v>
      </c>
      <c r="I52" s="1483">
        <v>1.96</v>
      </c>
      <c r="J52" s="1483">
        <v>2.36</v>
      </c>
      <c r="K52" s="1483">
        <v>1.82</v>
      </c>
      <c r="L52" s="1484">
        <v>2.2200000000000002</v>
      </c>
      <c r="N52" s="1468">
        <f t="shared" si="135"/>
        <v>1.9599999999999999E-2</v>
      </c>
      <c r="O52" s="1469">
        <f t="shared" si="135"/>
        <v>2.3599999999999999E-2</v>
      </c>
      <c r="P52" s="1469">
        <f t="shared" si="135"/>
        <v>1.8200000000000001E-2</v>
      </c>
      <c r="Q52" s="1469">
        <f t="shared" si="135"/>
        <v>2.2200000000000001E-2</v>
      </c>
      <c r="R52" s="1470"/>
      <c r="S52" s="1468"/>
      <c r="T52" s="1469"/>
      <c r="U52" s="1469"/>
      <c r="V52" s="1469"/>
    </row>
    <row r="53" spans="1:26">
      <c r="A53" s="1457" t="s">
        <v>1180</v>
      </c>
      <c r="B53" s="1473">
        <f t="shared" si="151"/>
        <v>206.31694671589116</v>
      </c>
      <c r="C53" s="1473">
        <f t="shared" si="151"/>
        <v>183.61041121036101</v>
      </c>
      <c r="D53" s="1473">
        <f t="shared" si="133"/>
        <v>183.61041121036101</v>
      </c>
      <c r="E53" s="1473">
        <f t="shared" si="152"/>
        <v>276.66850301795557</v>
      </c>
      <c r="F53" s="1473">
        <f t="shared" si="152"/>
        <v>165.1360938278614</v>
      </c>
      <c r="G53" s="3700">
        <v>2008</v>
      </c>
      <c r="H53" s="1461">
        <v>2</v>
      </c>
      <c r="I53" s="1461">
        <v>4.93</v>
      </c>
      <c r="J53" s="1461">
        <v>7.38</v>
      </c>
      <c r="K53" s="1461">
        <v>3.98</v>
      </c>
      <c r="L53" s="1475">
        <v>6.86</v>
      </c>
      <c r="N53" s="1468">
        <f t="shared" si="135"/>
        <v>4.9299999999999997E-2</v>
      </c>
      <c r="O53" s="1469">
        <f t="shared" si="135"/>
        <v>7.3800000000000004E-2</v>
      </c>
      <c r="P53" s="1469">
        <f t="shared" si="135"/>
        <v>3.9800000000000002E-2</v>
      </c>
      <c r="Q53" s="1469">
        <f t="shared" si="135"/>
        <v>6.8600000000000008E-2</v>
      </c>
      <c r="R53" s="1470"/>
      <c r="S53" s="1468"/>
      <c r="T53" s="1469"/>
      <c r="U53" s="1469"/>
      <c r="V53" s="1469"/>
    </row>
    <row r="54" spans="1:26" s="1513" customFormat="1" ht="13.5" thickBot="1">
      <c r="A54" s="1457" t="s">
        <v>1181</v>
      </c>
      <c r="B54" s="1510">
        <f t="shared" si="151"/>
        <v>196.62341248059772</v>
      </c>
      <c r="C54" s="1510">
        <f t="shared" si="151"/>
        <v>170.99125648199012</v>
      </c>
      <c r="D54" s="1510">
        <f t="shared" si="133"/>
        <v>170.99125648199012</v>
      </c>
      <c r="E54" s="1510">
        <f t="shared" si="152"/>
        <v>266.07857570490052</v>
      </c>
      <c r="F54" s="1510">
        <f t="shared" si="152"/>
        <v>154.53499328828505</v>
      </c>
      <c r="G54" s="3701">
        <v>2008</v>
      </c>
      <c r="H54" s="1511">
        <v>1</v>
      </c>
      <c r="I54" s="1511">
        <v>4.1399999999999997</v>
      </c>
      <c r="J54" s="1511">
        <v>3.45</v>
      </c>
      <c r="K54" s="1511">
        <v>4.95</v>
      </c>
      <c r="L54" s="1512">
        <v>4.82</v>
      </c>
      <c r="N54" s="1514">
        <f t="shared" si="135"/>
        <v>4.1399999999999999E-2</v>
      </c>
      <c r="O54" s="1515">
        <f t="shared" si="135"/>
        <v>3.4500000000000003E-2</v>
      </c>
      <c r="P54" s="1515">
        <f t="shared" si="135"/>
        <v>4.9500000000000002E-2</v>
      </c>
      <c r="Q54" s="1515">
        <f t="shared" si="135"/>
        <v>4.82E-2</v>
      </c>
      <c r="R54" s="1516"/>
      <c r="S54" s="1514">
        <f>B54/B55-1</f>
        <v>4.5869215322328349E-2</v>
      </c>
      <c r="T54" s="1515">
        <f>C54/C55-1</f>
        <v>3.6310645345394743E-2</v>
      </c>
      <c r="U54" s="1515">
        <f>E54/E55-1</f>
        <v>4.7553447657088688E-2</v>
      </c>
      <c r="V54" s="1515">
        <f>F54/F55-1</f>
        <v>4.4155360055980086E-2</v>
      </c>
      <c r="X54" s="1517"/>
      <c r="Y54" s="1517"/>
      <c r="Z54" s="1517"/>
    </row>
    <row r="55" spans="1:26" ht="13.5" thickBot="1">
      <c r="A55" s="1457" t="s">
        <v>1182</v>
      </c>
      <c r="B55" s="1465">
        <v>188</v>
      </c>
      <c r="C55" s="1465">
        <v>165</v>
      </c>
      <c r="D55" s="1465">
        <f t="shared" si="133"/>
        <v>165</v>
      </c>
      <c r="E55" s="1465">
        <v>254</v>
      </c>
      <c r="F55" s="1466">
        <v>148</v>
      </c>
      <c r="G55" s="3699">
        <v>2007</v>
      </c>
      <c r="H55" s="1518">
        <v>4</v>
      </c>
      <c r="I55" s="1518">
        <v>5.51</v>
      </c>
      <c r="J55" s="1518">
        <v>4.8899999999999997</v>
      </c>
      <c r="K55" s="1518">
        <v>6.43</v>
      </c>
      <c r="L55" s="1519">
        <v>5.36</v>
      </c>
      <c r="N55" s="1520">
        <f t="shared" ref="N55:O58" si="153">B55/B56-1</f>
        <v>4.1339718365245526E-2</v>
      </c>
      <c r="O55" s="1521">
        <f t="shared" si="153"/>
        <v>4.0324492593776018E-2</v>
      </c>
      <c r="P55" s="1521">
        <f t="shared" ref="P55:Q58" si="154">E55/E56-1</f>
        <v>6.1625555347990968E-2</v>
      </c>
      <c r="Q55" s="1521">
        <f t="shared" si="154"/>
        <v>4.6757569250590603E-2</v>
      </c>
      <c r="R55" s="1470"/>
      <c r="S55" s="1471"/>
      <c r="T55" s="1472"/>
      <c r="U55" s="1472"/>
      <c r="V55" s="1472"/>
      <c r="X55" s="1472"/>
      <c r="Y55" s="1472"/>
      <c r="Z55" s="1472"/>
    </row>
    <row r="56" spans="1:26">
      <c r="A56" s="1457" t="s">
        <v>1183</v>
      </c>
      <c r="B56" s="1473">
        <f t="shared" ref="B56:C58" si="155">B57+(B$55-B$59)*I56/SUM(I$55:I$58)</f>
        <v>180.5366651097618</v>
      </c>
      <c r="C56" s="1473">
        <f t="shared" si="155"/>
        <v>158.60435967302453</v>
      </c>
      <c r="D56" s="1473">
        <f t="shared" si="133"/>
        <v>158.60435967302453</v>
      </c>
      <c r="E56" s="1473">
        <f t="shared" ref="E56:F58" si="156">E57+(E$55-E$59)*K56/SUM(K$55:K$58)</f>
        <v>239.25573260785075</v>
      </c>
      <c r="F56" s="1473">
        <f t="shared" si="156"/>
        <v>141.38899430740037</v>
      </c>
      <c r="G56" s="3700">
        <v>2007</v>
      </c>
      <c r="H56" s="1483">
        <v>3</v>
      </c>
      <c r="I56" s="1483">
        <v>8.65</v>
      </c>
      <c r="J56" s="1483">
        <v>8.06</v>
      </c>
      <c r="K56" s="1483">
        <v>9.94</v>
      </c>
      <c r="L56" s="1484">
        <v>5.8</v>
      </c>
      <c r="N56" s="1520">
        <f t="shared" si="153"/>
        <v>6.940217571740015E-2</v>
      </c>
      <c r="O56" s="1521">
        <f t="shared" si="153"/>
        <v>7.1197482471153428E-2</v>
      </c>
      <c r="P56" s="1521">
        <f t="shared" si="154"/>
        <v>0.10529679922579582</v>
      </c>
      <c r="Q56" s="1521">
        <f t="shared" si="154"/>
        <v>5.3292245059512133E-2</v>
      </c>
      <c r="R56" s="1470"/>
      <c r="S56" s="1468"/>
      <c r="T56" s="1469"/>
      <c r="U56" s="1469"/>
      <c r="V56" s="1469"/>
      <c r="X56" s="1522"/>
      <c r="Y56" s="1522"/>
      <c r="Z56" s="1522"/>
    </row>
    <row r="57" spans="1:26">
      <c r="A57" s="1457" t="s">
        <v>1184</v>
      </c>
      <c r="B57" s="1473">
        <f t="shared" si="155"/>
        <v>168.82017748715555</v>
      </c>
      <c r="C57" s="1473">
        <f t="shared" si="155"/>
        <v>148.06267029972753</v>
      </c>
      <c r="D57" s="1473">
        <f t="shared" si="133"/>
        <v>148.06267029972753</v>
      </c>
      <c r="E57" s="1473">
        <f t="shared" si="156"/>
        <v>216.46288379323747</v>
      </c>
      <c r="F57" s="1473">
        <f t="shared" si="156"/>
        <v>134.23529411764704</v>
      </c>
      <c r="G57" s="3700">
        <v>2007</v>
      </c>
      <c r="H57" s="1461">
        <v>2</v>
      </c>
      <c r="I57" s="1461">
        <v>3.67</v>
      </c>
      <c r="J57" s="1461">
        <v>2.3199999999999998</v>
      </c>
      <c r="K57" s="1461">
        <v>5.0199999999999996</v>
      </c>
      <c r="L57" s="1475">
        <v>6.71</v>
      </c>
      <c r="N57" s="1520">
        <f t="shared" si="153"/>
        <v>3.0339138143848032E-2</v>
      </c>
      <c r="O57" s="1521">
        <f t="shared" si="153"/>
        <v>2.0922341588790472E-2</v>
      </c>
      <c r="P57" s="1521">
        <f t="shared" si="154"/>
        <v>5.6164796592717003E-2</v>
      </c>
      <c r="Q57" s="1521">
        <f t="shared" si="154"/>
        <v>6.5704536723887319E-2</v>
      </c>
      <c r="R57" s="1470"/>
      <c r="S57" s="1468"/>
      <c r="T57" s="1469"/>
      <c r="U57" s="1469"/>
      <c r="V57" s="1469"/>
      <c r="X57" s="1522"/>
      <c r="Y57" s="1522"/>
      <c r="Z57" s="1522"/>
    </row>
    <row r="58" spans="1:26">
      <c r="A58" s="1457" t="s">
        <v>1185</v>
      </c>
      <c r="B58" s="1473">
        <f t="shared" si="155"/>
        <v>163.84913591779542</v>
      </c>
      <c r="C58" s="1473">
        <f t="shared" si="155"/>
        <v>145.0283378746594</v>
      </c>
      <c r="D58" s="1473">
        <f t="shared" si="133"/>
        <v>145.0283378746594</v>
      </c>
      <c r="E58" s="1473">
        <f t="shared" si="156"/>
        <v>204.95180722891567</v>
      </c>
      <c r="F58" s="1473">
        <f t="shared" si="156"/>
        <v>125.95920303605313</v>
      </c>
      <c r="G58" s="3701">
        <v>2007</v>
      </c>
      <c r="H58" s="1460">
        <v>1</v>
      </c>
      <c r="I58" s="1460">
        <v>3.58</v>
      </c>
      <c r="J58" s="1460">
        <v>3.08</v>
      </c>
      <c r="K58" s="1460">
        <v>4.34</v>
      </c>
      <c r="L58" s="1474">
        <v>3.21</v>
      </c>
      <c r="N58" s="1523">
        <f t="shared" si="153"/>
        <v>3.0497710174814063E-2</v>
      </c>
      <c r="O58" s="1524">
        <f t="shared" si="153"/>
        <v>2.8569772160704998E-2</v>
      </c>
      <c r="P58" s="1524">
        <f t="shared" si="154"/>
        <v>5.1034908866234296E-2</v>
      </c>
      <c r="Q58" s="1524">
        <f t="shared" si="154"/>
        <v>3.245248390207478E-2</v>
      </c>
      <c r="R58" s="1470"/>
      <c r="S58" s="1476">
        <f>B58/B59-1</f>
        <v>3.0497710174814063E-2</v>
      </c>
      <c r="T58" s="1477">
        <f>C58/C59-1</f>
        <v>2.8569772160704998E-2</v>
      </c>
      <c r="U58" s="1477">
        <f>E58/E59-1</f>
        <v>5.1034908866234296E-2</v>
      </c>
      <c r="V58" s="1477">
        <f>F58/F59-1</f>
        <v>3.245248390207478E-2</v>
      </c>
      <c r="X58" s="1522"/>
      <c r="Y58" s="1522"/>
      <c r="Z58" s="1522"/>
    </row>
    <row r="59" spans="1:26" ht="13.5" thickBot="1">
      <c r="A59" s="1457" t="s">
        <v>1186</v>
      </c>
      <c r="B59" s="1486">
        <v>159</v>
      </c>
      <c r="C59" s="1486">
        <v>141</v>
      </c>
      <c r="D59" s="1486">
        <f t="shared" si="133"/>
        <v>141</v>
      </c>
      <c r="E59" s="1486">
        <v>195</v>
      </c>
      <c r="F59" s="1487">
        <v>122</v>
      </c>
      <c r="G59" s="3699">
        <v>2006</v>
      </c>
      <c r="H59" s="1478">
        <v>4</v>
      </c>
      <c r="I59" s="1478">
        <v>3.79</v>
      </c>
      <c r="J59" s="1478">
        <v>2.21</v>
      </c>
      <c r="K59" s="1478">
        <v>5.65</v>
      </c>
      <c r="L59" s="1479">
        <v>5.41</v>
      </c>
      <c r="N59" s="1520">
        <f t="shared" ref="N59:O62" si="157">I59/SUM(I$59:I$62)*(B$59/B$63-1)</f>
        <v>7.245466462748526E-2</v>
      </c>
      <c r="O59" s="1521">
        <f t="shared" si="157"/>
        <v>2.3237230038062766E-2</v>
      </c>
      <c r="P59" s="1521">
        <f t="shared" ref="P59:Q62" si="158">K59/SUM(K$59:K$62)*(E$59/E$63-1)</f>
        <v>0.16146893866323722</v>
      </c>
      <c r="Q59" s="1521">
        <f t="shared" si="158"/>
        <v>5.0755230321793784E-2</v>
      </c>
      <c r="R59" s="1470"/>
      <c r="S59" s="1471"/>
      <c r="T59" s="1472"/>
      <c r="U59" s="1472"/>
      <c r="V59" s="1472"/>
      <c r="X59" s="1522"/>
      <c r="Y59" s="1522"/>
      <c r="Z59" s="1522"/>
    </row>
    <row r="60" spans="1:26">
      <c r="A60" s="1457" t="s">
        <v>1187</v>
      </c>
      <c r="B60" s="1473">
        <f t="shared" ref="B60:C62" si="159">B61+(B$59-B$63)*I60/SUM(I$59:I$62)</f>
        <v>149.00125628140702</v>
      </c>
      <c r="C60" s="1473">
        <f t="shared" si="159"/>
        <v>137.95592286501378</v>
      </c>
      <c r="D60" s="1473">
        <f t="shared" si="133"/>
        <v>137.95592286501378</v>
      </c>
      <c r="E60" s="1473">
        <f t="shared" ref="E60:F62" si="160">E61+(E$59-E$63)*K60/SUM(K$59:K$62)</f>
        <v>169.97231450719823</v>
      </c>
      <c r="F60" s="1473">
        <f t="shared" si="160"/>
        <v>116.21390374331551</v>
      </c>
      <c r="G60" s="3700">
        <v>2006</v>
      </c>
      <c r="H60" s="1483">
        <v>3</v>
      </c>
      <c r="I60" s="1483">
        <v>0.92</v>
      </c>
      <c r="J60" s="1483">
        <v>1.08</v>
      </c>
      <c r="K60" s="1483">
        <v>0.73</v>
      </c>
      <c r="L60" s="1484">
        <v>1.08</v>
      </c>
      <c r="N60" s="1520">
        <f t="shared" si="157"/>
        <v>1.7587939698492462E-2</v>
      </c>
      <c r="O60" s="1521">
        <f t="shared" si="157"/>
        <v>1.1355750425840628E-2</v>
      </c>
      <c r="P60" s="1521">
        <f t="shared" si="158"/>
        <v>2.0862358446754544E-2</v>
      </c>
      <c r="Q60" s="1521">
        <f t="shared" si="158"/>
        <v>1.0132282578103011E-2</v>
      </c>
      <c r="R60" s="1470"/>
      <c r="S60" s="1468"/>
      <c r="T60" s="1469"/>
      <c r="U60" s="1469"/>
      <c r="V60" s="1469"/>
      <c r="X60" s="1522"/>
      <c r="Y60" s="1522"/>
      <c r="Z60" s="1522"/>
    </row>
    <row r="61" spans="1:26">
      <c r="A61" s="1457" t="s">
        <v>1188</v>
      </c>
      <c r="B61" s="1473">
        <f t="shared" si="159"/>
        <v>146.57412060301507</v>
      </c>
      <c r="C61" s="1473">
        <f t="shared" si="159"/>
        <v>136.46831955922866</v>
      </c>
      <c r="D61" s="1473">
        <f t="shared" si="133"/>
        <v>136.46831955922866</v>
      </c>
      <c r="E61" s="1473">
        <f t="shared" si="160"/>
        <v>166.73864894795128</v>
      </c>
      <c r="F61" s="1473">
        <f t="shared" si="160"/>
        <v>115.05882352941177</v>
      </c>
      <c r="G61" s="3700">
        <v>2006</v>
      </c>
      <c r="H61" s="1461">
        <v>2</v>
      </c>
      <c r="I61" s="1461">
        <v>0.96</v>
      </c>
      <c r="J61" s="1461">
        <v>0.25</v>
      </c>
      <c r="K61" s="1461">
        <v>1.9</v>
      </c>
      <c r="L61" s="1475">
        <v>0.95</v>
      </c>
      <c r="N61" s="1520">
        <f t="shared" si="157"/>
        <v>1.8352632728861701E-2</v>
      </c>
      <c r="O61" s="1521">
        <f t="shared" si="157"/>
        <v>2.6286459319075526E-3</v>
      </c>
      <c r="P61" s="1521">
        <f t="shared" si="158"/>
        <v>5.4299289107991269E-2</v>
      </c>
      <c r="Q61" s="1521">
        <f t="shared" si="158"/>
        <v>8.9126559714794995E-3</v>
      </c>
      <c r="R61" s="1470"/>
      <c r="S61" s="1468"/>
      <c r="T61" s="1469"/>
      <c r="U61" s="1469"/>
      <c r="V61" s="1469"/>
      <c r="X61" s="1522"/>
      <c r="Y61" s="1522"/>
      <c r="Z61" s="1522"/>
    </row>
    <row r="62" spans="1:26">
      <c r="A62" s="1457" t="s">
        <v>1189</v>
      </c>
      <c r="B62" s="1473">
        <f t="shared" si="159"/>
        <v>144.04145728643215</v>
      </c>
      <c r="C62" s="1473">
        <f t="shared" si="159"/>
        <v>136.12396694214877</v>
      </c>
      <c r="D62" s="1473">
        <f t="shared" si="133"/>
        <v>136.12396694214877</v>
      </c>
      <c r="E62" s="1473">
        <f t="shared" si="160"/>
        <v>158.32225913621264</v>
      </c>
      <c r="F62" s="1473">
        <f t="shared" si="160"/>
        <v>114.04278074866311</v>
      </c>
      <c r="G62" s="3701">
        <v>2006</v>
      </c>
      <c r="H62" s="1460">
        <v>1</v>
      </c>
      <c r="I62" s="1460">
        <v>2.29</v>
      </c>
      <c r="J62" s="1460">
        <v>3.72</v>
      </c>
      <c r="K62" s="1460">
        <v>0.75</v>
      </c>
      <c r="L62" s="1474">
        <v>0.04</v>
      </c>
      <c r="N62" s="1523">
        <f t="shared" si="157"/>
        <v>4.3778675988638847E-2</v>
      </c>
      <c r="O62" s="1524">
        <f t="shared" si="157"/>
        <v>3.9114251466784385E-2</v>
      </c>
      <c r="P62" s="1524">
        <f t="shared" si="158"/>
        <v>2.1433929911049188E-2</v>
      </c>
      <c r="Q62" s="1524">
        <f t="shared" si="158"/>
        <v>3.7526972511492629E-4</v>
      </c>
      <c r="R62" s="1470"/>
      <c r="S62" s="1476">
        <f>B62/B63-1</f>
        <v>4.3778675988638716E-2</v>
      </c>
      <c r="T62" s="1477">
        <f>C62/C63-1</f>
        <v>3.91142514667846E-2</v>
      </c>
      <c r="U62" s="1477">
        <f>E62/E63-1</f>
        <v>2.143392991104931E-2</v>
      </c>
      <c r="V62" s="1477">
        <f>F62/F63-1</f>
        <v>3.7526972511492396E-4</v>
      </c>
      <c r="X62" s="1522"/>
      <c r="Y62" s="1522"/>
      <c r="Z62" s="1522"/>
    </row>
    <row r="63" spans="1:26" ht="13.5" thickBot="1">
      <c r="A63" s="1457" t="s">
        <v>1190</v>
      </c>
      <c r="B63" s="1486">
        <v>138</v>
      </c>
      <c r="C63" s="1486">
        <v>131</v>
      </c>
      <c r="D63" s="1486">
        <f t="shared" si="133"/>
        <v>131</v>
      </c>
      <c r="E63" s="1486">
        <v>155</v>
      </c>
      <c r="F63" s="1487">
        <v>114</v>
      </c>
      <c r="G63" s="3699">
        <v>2005</v>
      </c>
      <c r="H63" s="1478">
        <v>4</v>
      </c>
      <c r="I63" s="1478">
        <v>3.29</v>
      </c>
      <c r="J63" s="1478">
        <v>1.44</v>
      </c>
      <c r="K63" s="1478">
        <v>0.66</v>
      </c>
      <c r="L63" s="1479">
        <v>7.78</v>
      </c>
      <c r="N63" s="1520">
        <f t="shared" ref="N63:O66" si="161">I63/SUM(I$63:I$66)*(B$63/B$67-1)</f>
        <v>9.9404603216919935E-2</v>
      </c>
      <c r="O63" s="1521">
        <f t="shared" si="161"/>
        <v>4.7636550760861554E-2</v>
      </c>
      <c r="P63" s="1521">
        <f t="shared" ref="P63:Q66" si="162">K63/SUM(K$63:K$66)*(E$63/E$67-1)</f>
        <v>8.3756345177664976E-2</v>
      </c>
      <c r="Q63" s="1521">
        <f t="shared" si="162"/>
        <v>5.2148766661559584E-2</v>
      </c>
      <c r="R63" s="1470"/>
      <c r="S63" s="1471"/>
      <c r="T63" s="1472"/>
      <c r="U63" s="1472"/>
      <c r="V63" s="1472"/>
      <c r="X63" s="1522"/>
      <c r="Y63" s="1522"/>
      <c r="Z63" s="1522"/>
    </row>
    <row r="64" spans="1:26">
      <c r="A64" s="1457" t="s">
        <v>1191</v>
      </c>
      <c r="B64" s="1473">
        <f t="shared" ref="B64:C66" si="163">B65+(B$63-B$67)*I64/SUM(I$63:I$66)</f>
        <v>125.9720430107527</v>
      </c>
      <c r="C64" s="1473">
        <f t="shared" si="163"/>
        <v>125.1883408071749</v>
      </c>
      <c r="D64" s="1473">
        <f t="shared" si="133"/>
        <v>125.1883408071749</v>
      </c>
      <c r="E64" s="1473">
        <f t="shared" ref="E64:F66" si="164">E65+(E$63-E$67)*K64/SUM(K$63:K$66)</f>
        <v>144.61421319796952</v>
      </c>
      <c r="F64" s="1473">
        <f t="shared" si="164"/>
        <v>108.42008196721311</v>
      </c>
      <c r="G64" s="3700">
        <v>2005</v>
      </c>
      <c r="H64" s="1483">
        <v>3</v>
      </c>
      <c r="I64" s="1483">
        <v>0.46</v>
      </c>
      <c r="J64" s="1483">
        <v>0.32</v>
      </c>
      <c r="K64" s="1483">
        <v>0.42</v>
      </c>
      <c r="L64" s="1484">
        <v>0.64</v>
      </c>
      <c r="N64" s="1520">
        <f t="shared" si="161"/>
        <v>1.3898515951301874E-2</v>
      </c>
      <c r="O64" s="1521">
        <f t="shared" si="161"/>
        <v>1.0585900169080346E-2</v>
      </c>
      <c r="P64" s="1521">
        <f t="shared" si="162"/>
        <v>5.3299492385786795E-2</v>
      </c>
      <c r="Q64" s="1521">
        <f t="shared" si="162"/>
        <v>4.2898728359123568E-3</v>
      </c>
      <c r="R64" s="1470"/>
      <c r="S64" s="1468"/>
      <c r="T64" s="1469"/>
      <c r="U64" s="1469"/>
      <c r="V64" s="1469"/>
      <c r="X64" s="1522"/>
      <c r="Y64" s="1522"/>
      <c r="Z64" s="1522"/>
    </row>
    <row r="65" spans="1:26">
      <c r="A65" s="1457" t="s">
        <v>1192</v>
      </c>
      <c r="B65" s="1473">
        <f t="shared" si="163"/>
        <v>124.29032258064517</v>
      </c>
      <c r="C65" s="1473">
        <f t="shared" si="163"/>
        <v>123.8968609865471</v>
      </c>
      <c r="D65" s="1473">
        <f t="shared" si="133"/>
        <v>123.8968609865471</v>
      </c>
      <c r="E65" s="1473">
        <f t="shared" si="164"/>
        <v>138.00507614213197</v>
      </c>
      <c r="F65" s="1473">
        <f t="shared" si="164"/>
        <v>107.96106557377048</v>
      </c>
      <c r="G65" s="3700">
        <v>2005</v>
      </c>
      <c r="H65" s="1461">
        <v>2</v>
      </c>
      <c r="I65" s="1461">
        <v>0.47</v>
      </c>
      <c r="J65" s="1461">
        <v>0.1</v>
      </c>
      <c r="K65" s="1461">
        <v>0.52</v>
      </c>
      <c r="L65" s="1475">
        <v>0.79</v>
      </c>
      <c r="N65" s="1520">
        <f t="shared" si="161"/>
        <v>1.420065760241713E-2</v>
      </c>
      <c r="O65" s="1521">
        <f t="shared" si="161"/>
        <v>3.3080938028376083E-3</v>
      </c>
      <c r="P65" s="1521">
        <f t="shared" si="162"/>
        <v>6.598984771573603E-2</v>
      </c>
      <c r="Q65" s="1521">
        <f t="shared" si="162"/>
        <v>5.2953117818293153E-3</v>
      </c>
      <c r="R65" s="1470"/>
      <c r="S65" s="1468"/>
      <c r="T65" s="1469"/>
      <c r="U65" s="1469"/>
      <c r="V65" s="1469"/>
      <c r="X65" s="1522"/>
      <c r="Y65" s="1522"/>
      <c r="Z65" s="1522"/>
    </row>
    <row r="66" spans="1:26">
      <c r="A66" s="1457" t="s">
        <v>1193</v>
      </c>
      <c r="B66" s="1473">
        <f t="shared" si="163"/>
        <v>122.57204301075269</v>
      </c>
      <c r="C66" s="1473">
        <f t="shared" si="163"/>
        <v>123.4932735426009</v>
      </c>
      <c r="D66" s="1473">
        <f t="shared" si="133"/>
        <v>123.4932735426009</v>
      </c>
      <c r="E66" s="1473">
        <f t="shared" si="164"/>
        <v>129.82233502538071</v>
      </c>
      <c r="F66" s="1473">
        <f t="shared" si="164"/>
        <v>107.39446721311475</v>
      </c>
      <c r="G66" s="3701">
        <v>2005</v>
      </c>
      <c r="H66" s="1460">
        <v>1</v>
      </c>
      <c r="I66" s="1460">
        <v>0.43</v>
      </c>
      <c r="J66" s="1460">
        <v>0.37</v>
      </c>
      <c r="K66" s="1460">
        <v>0.37</v>
      </c>
      <c r="L66" s="1474">
        <v>0.55000000000000004</v>
      </c>
      <c r="N66" s="1523">
        <f t="shared" si="161"/>
        <v>1.2992090997956099E-2</v>
      </c>
      <c r="O66" s="1524">
        <f t="shared" si="161"/>
        <v>1.2239947070499151E-2</v>
      </c>
      <c r="P66" s="1524">
        <f t="shared" si="162"/>
        <v>4.6954314720812178E-2</v>
      </c>
      <c r="Q66" s="1524">
        <f t="shared" si="162"/>
        <v>3.6866094683621815E-3</v>
      </c>
      <c r="R66" s="1470"/>
      <c r="S66" s="1476">
        <f>B66/B67-1</f>
        <v>1.2992090997956174E-2</v>
      </c>
      <c r="T66" s="1477">
        <f>C66/C67-1</f>
        <v>1.2239947070499246E-2</v>
      </c>
      <c r="U66" s="1477">
        <f>E66/E67-1</f>
        <v>4.695431472081224E-2</v>
      </c>
      <c r="V66" s="1477">
        <f>F66/F67-1</f>
        <v>3.6866094683620787E-3</v>
      </c>
      <c r="X66" s="1522"/>
      <c r="Y66" s="1522"/>
      <c r="Z66" s="1522"/>
    </row>
    <row r="67" spans="1:26" ht="13.5" thickBot="1">
      <c r="A67" s="1457" t="s">
        <v>1194</v>
      </c>
      <c r="B67" s="1507">
        <v>121</v>
      </c>
      <c r="C67" s="1507">
        <v>122</v>
      </c>
      <c r="D67" s="1507">
        <f t="shared" si="133"/>
        <v>122</v>
      </c>
      <c r="E67" s="1507">
        <v>124</v>
      </c>
      <c r="F67" s="1508">
        <v>107</v>
      </c>
      <c r="G67" s="3699">
        <v>2004</v>
      </c>
      <c r="H67" s="1478">
        <v>4</v>
      </c>
      <c r="I67" s="1478">
        <v>0.33</v>
      </c>
      <c r="J67" s="1478">
        <v>0.5</v>
      </c>
      <c r="K67" s="1478">
        <v>0.5</v>
      </c>
      <c r="L67" s="1479">
        <v>0</v>
      </c>
      <c r="N67" s="1520">
        <f t="shared" ref="N67:O70" si="165">I67/SUM(I$67:I$70)*(B$67/B$71-1)</f>
        <v>1.3391770148526898E-2</v>
      </c>
      <c r="O67" s="1521">
        <f t="shared" si="165"/>
        <v>1.063264221158958E-2</v>
      </c>
      <c r="P67" s="1521">
        <f t="shared" ref="P67:Q70" si="166">K67/SUM(K$67:K$70)*(E$67/E$71-1)</f>
        <v>2.2244466688911134E-2</v>
      </c>
      <c r="Q67" s="1521">
        <f t="shared" si="166"/>
        <v>0</v>
      </c>
      <c r="R67" s="1470"/>
      <c r="S67" s="1471"/>
      <c r="T67" s="1472"/>
      <c r="U67" s="1472"/>
      <c r="V67" s="1472"/>
      <c r="X67" s="1522"/>
      <c r="Y67" s="1522"/>
      <c r="Z67" s="1522"/>
    </row>
    <row r="68" spans="1:26">
      <c r="A68" s="1457" t="s">
        <v>1195</v>
      </c>
      <c r="B68" s="1473">
        <f t="shared" ref="B68:C70" si="167">B69+(B$67-B$71)*I68/SUM(I$67:I$70)</f>
        <v>119.51351351351352</v>
      </c>
      <c r="C68" s="1473">
        <f t="shared" si="167"/>
        <v>120.7878787878788</v>
      </c>
      <c r="D68" s="1473">
        <f t="shared" si="133"/>
        <v>120.7878787878788</v>
      </c>
      <c r="E68" s="1473">
        <f t="shared" ref="E68:F70" si="168">E69+(E$67-E$71)*K68/SUM(K$67:K$70)</f>
        <v>121.5975975975976</v>
      </c>
      <c r="F68" s="1473">
        <f t="shared" si="168"/>
        <v>107</v>
      </c>
      <c r="G68" s="3700">
        <v>2004</v>
      </c>
      <c r="H68" s="1483">
        <v>3</v>
      </c>
      <c r="I68" s="1483">
        <v>0.56000000000000005</v>
      </c>
      <c r="J68" s="1483">
        <v>0.8</v>
      </c>
      <c r="K68" s="1483">
        <v>0.83</v>
      </c>
      <c r="L68" s="1484">
        <v>0.06</v>
      </c>
      <c r="N68" s="1520">
        <f t="shared" si="165"/>
        <v>2.2725428130833527E-2</v>
      </c>
      <c r="O68" s="1521">
        <f t="shared" si="165"/>
        <v>1.7012227538543329E-2</v>
      </c>
      <c r="P68" s="1521">
        <f t="shared" si="166"/>
        <v>3.6925814703592477E-2</v>
      </c>
      <c r="Q68" s="1521">
        <f t="shared" si="166"/>
        <v>2.8846153846153744E-2</v>
      </c>
      <c r="R68" s="1470"/>
      <c r="S68" s="1468"/>
      <c r="T68" s="1469"/>
      <c r="U68" s="1469"/>
      <c r="V68" s="1469"/>
      <c r="X68" s="1522"/>
      <c r="Y68" s="1522"/>
      <c r="Z68" s="1522"/>
    </row>
    <row r="69" spans="1:26">
      <c r="A69" s="1457" t="s">
        <v>1196</v>
      </c>
      <c r="B69" s="1473">
        <f t="shared" si="167"/>
        <v>116.99099099099099</v>
      </c>
      <c r="C69" s="1473">
        <f t="shared" si="167"/>
        <v>118.84848484848486</v>
      </c>
      <c r="D69" s="1473">
        <f t="shared" si="133"/>
        <v>118.84848484848486</v>
      </c>
      <c r="E69" s="1473">
        <f t="shared" si="168"/>
        <v>117.60960960960961</v>
      </c>
      <c r="F69" s="1473">
        <f t="shared" si="168"/>
        <v>104</v>
      </c>
      <c r="G69" s="3700">
        <v>2004</v>
      </c>
      <c r="H69" s="1461">
        <v>2</v>
      </c>
      <c r="I69" s="1461">
        <v>1</v>
      </c>
      <c r="J69" s="1461">
        <v>1.5</v>
      </c>
      <c r="K69" s="1461">
        <v>1.5</v>
      </c>
      <c r="L69" s="1475">
        <v>0</v>
      </c>
      <c r="N69" s="1520">
        <f t="shared" si="165"/>
        <v>4.0581121662202721E-2</v>
      </c>
      <c r="O69" s="1521">
        <f t="shared" si="165"/>
        <v>3.1897926634768738E-2</v>
      </c>
      <c r="P69" s="1521">
        <f t="shared" si="166"/>
        <v>6.6733400066733395E-2</v>
      </c>
      <c r="Q69" s="1521">
        <f t="shared" si="166"/>
        <v>0</v>
      </c>
      <c r="R69" s="1470"/>
      <c r="S69" s="1468"/>
      <c r="T69" s="1469"/>
      <c r="U69" s="1469"/>
      <c r="V69" s="1469"/>
      <c r="X69" s="1522"/>
      <c r="Y69" s="1522"/>
      <c r="Z69" s="1522"/>
    </row>
    <row r="70" spans="1:26" s="1513" customFormat="1" ht="13.5" thickBot="1">
      <c r="A70" s="1457" t="s">
        <v>1197</v>
      </c>
      <c r="B70" s="1510">
        <f t="shared" si="167"/>
        <v>112.48648648648648</v>
      </c>
      <c r="C70" s="1510">
        <f t="shared" si="167"/>
        <v>115.21212121212122</v>
      </c>
      <c r="D70" s="1510">
        <f t="shared" si="133"/>
        <v>115.21212121212122</v>
      </c>
      <c r="E70" s="1510">
        <f t="shared" si="168"/>
        <v>110.4024024024024</v>
      </c>
      <c r="F70" s="1510">
        <f t="shared" si="168"/>
        <v>104</v>
      </c>
      <c r="G70" s="3701">
        <v>2004</v>
      </c>
      <c r="H70" s="1511">
        <v>1</v>
      </c>
      <c r="I70" s="1511">
        <v>0.33</v>
      </c>
      <c r="J70" s="1511">
        <v>0.5</v>
      </c>
      <c r="K70" s="1511">
        <v>0.5</v>
      </c>
      <c r="L70" s="1512">
        <v>0</v>
      </c>
      <c r="N70" s="1525">
        <f t="shared" si="165"/>
        <v>1.3391770148526898E-2</v>
      </c>
      <c r="O70" s="1526">
        <f t="shared" si="165"/>
        <v>1.063264221158958E-2</v>
      </c>
      <c r="P70" s="1526">
        <f t="shared" si="166"/>
        <v>2.2244466688911134E-2</v>
      </c>
      <c r="Q70" s="1526">
        <f t="shared" si="166"/>
        <v>0</v>
      </c>
      <c r="R70" s="1516"/>
      <c r="S70" s="1514">
        <f>B70/B71-1</f>
        <v>1.3391770148526883E-2</v>
      </c>
      <c r="T70" s="1515">
        <f>C70/C71-1</f>
        <v>1.063264221158966E-2</v>
      </c>
      <c r="U70" s="1515">
        <f>E70/E71-1</f>
        <v>2.2244466688911224E-2</v>
      </c>
      <c r="V70" s="1515">
        <f>F70/F71-1</f>
        <v>0</v>
      </c>
      <c r="X70" s="1527"/>
      <c r="Y70" s="1527"/>
      <c r="Z70" s="1527"/>
    </row>
    <row r="71" spans="1:26" ht="13.5" thickBot="1">
      <c r="A71" s="1457" t="s">
        <v>1198</v>
      </c>
      <c r="B71" s="1528">
        <v>111</v>
      </c>
      <c r="C71" s="1528">
        <v>114</v>
      </c>
      <c r="D71" s="1528">
        <f t="shared" si="133"/>
        <v>114</v>
      </c>
      <c r="E71" s="1528">
        <v>108</v>
      </c>
      <c r="F71" s="1529">
        <v>104</v>
      </c>
      <c r="G71" s="3699">
        <v>2003</v>
      </c>
      <c r="H71" s="1518">
        <v>4</v>
      </c>
      <c r="I71" s="1530"/>
      <c r="J71" s="1530"/>
      <c r="K71" s="1530"/>
      <c r="L71" s="1530"/>
      <c r="N71" s="1531"/>
      <c r="O71" s="1530"/>
      <c r="P71" s="1530"/>
      <c r="Q71" s="1530"/>
      <c r="S71" s="1531"/>
      <c r="T71" s="1530"/>
      <c r="U71" s="1530"/>
      <c r="V71" s="1530"/>
      <c r="X71" s="1522"/>
      <c r="Y71" s="1522"/>
      <c r="Z71" s="1522"/>
    </row>
    <row r="72" spans="1:26">
      <c r="A72" s="1457" t="s">
        <v>1199</v>
      </c>
      <c r="B72" s="1532">
        <f t="shared" ref="B72:C74" si="169">B73+(B$71-B$75)/4</f>
        <v>109.75</v>
      </c>
      <c r="C72" s="1532">
        <f t="shared" si="169"/>
        <v>112.25</v>
      </c>
      <c r="D72" s="1532">
        <f t="shared" si="133"/>
        <v>112.25</v>
      </c>
      <c r="E72" s="1532">
        <f t="shared" ref="E72:F74" si="170">E73+(E$71-E$75)/4</f>
        <v>107.25</v>
      </c>
      <c r="F72" s="1532">
        <f t="shared" si="170"/>
        <v>103.5</v>
      </c>
      <c r="G72" s="3700">
        <v>2003</v>
      </c>
      <c r="H72" s="1483">
        <v>3</v>
      </c>
      <c r="I72" s="1530"/>
      <c r="J72" s="1530"/>
      <c r="K72" s="1530"/>
      <c r="L72" s="1530"/>
      <c r="X72" s="1522"/>
      <c r="Y72" s="1522"/>
      <c r="Z72" s="1522"/>
    </row>
    <row r="73" spans="1:26">
      <c r="A73" s="1457" t="s">
        <v>1200</v>
      </c>
      <c r="B73" s="1532">
        <f t="shared" si="169"/>
        <v>108.5</v>
      </c>
      <c r="C73" s="1532">
        <f t="shared" si="169"/>
        <v>110.5</v>
      </c>
      <c r="D73" s="1532">
        <f t="shared" si="133"/>
        <v>110.5</v>
      </c>
      <c r="E73" s="1532">
        <f t="shared" si="170"/>
        <v>106.5</v>
      </c>
      <c r="F73" s="1532">
        <f t="shared" si="170"/>
        <v>103</v>
      </c>
      <c r="G73" s="3700">
        <v>2003</v>
      </c>
      <c r="H73" s="1461">
        <v>2</v>
      </c>
      <c r="I73" s="1530"/>
      <c r="J73" s="1530"/>
      <c r="K73" s="1530"/>
      <c r="L73" s="1530"/>
      <c r="X73" s="1522"/>
      <c r="Y73" s="1522"/>
      <c r="Z73" s="1522"/>
    </row>
    <row r="74" spans="1:26" ht="13.5" thickBot="1">
      <c r="A74" s="1457" t="s">
        <v>1201</v>
      </c>
      <c r="B74" s="1532">
        <f t="shared" si="169"/>
        <v>107.25</v>
      </c>
      <c r="C74" s="1532">
        <f t="shared" si="169"/>
        <v>108.75</v>
      </c>
      <c r="D74" s="1532">
        <f t="shared" si="133"/>
        <v>108.75</v>
      </c>
      <c r="E74" s="1532">
        <f t="shared" si="170"/>
        <v>105.75</v>
      </c>
      <c r="F74" s="1532">
        <f t="shared" si="170"/>
        <v>102.5</v>
      </c>
      <c r="G74" s="3701">
        <v>2003</v>
      </c>
      <c r="H74" s="1533">
        <v>1</v>
      </c>
      <c r="I74" s="1530"/>
      <c r="J74" s="1530"/>
      <c r="K74" s="1530"/>
      <c r="L74" s="1530"/>
      <c r="S74" s="1468"/>
      <c r="T74" s="1469"/>
      <c r="U74" s="1469"/>
      <c r="X74" s="1522"/>
      <c r="Y74" s="1522"/>
      <c r="Z74" s="1522"/>
    </row>
    <row r="75" spans="1:26" ht="13.5" thickBot="1">
      <c r="A75" s="1457" t="s">
        <v>1202</v>
      </c>
      <c r="B75" s="1534">
        <v>106</v>
      </c>
      <c r="C75" s="1534">
        <v>107</v>
      </c>
      <c r="D75" s="1534">
        <f t="shared" si="133"/>
        <v>107</v>
      </c>
      <c r="E75" s="1534">
        <v>105</v>
      </c>
      <c r="F75" s="1535">
        <v>102</v>
      </c>
      <c r="G75" s="3699">
        <v>2002</v>
      </c>
      <c r="H75" s="1478">
        <v>4</v>
      </c>
      <c r="I75" s="1530"/>
      <c r="J75" s="1530"/>
      <c r="K75" s="1530"/>
      <c r="L75" s="1530"/>
      <c r="N75" s="1531"/>
      <c r="O75" s="1530"/>
      <c r="P75" s="1530"/>
      <c r="Q75" s="1530"/>
      <c r="S75" s="1531"/>
      <c r="T75" s="1530"/>
      <c r="U75" s="1530"/>
      <c r="V75" s="1530"/>
      <c r="X75" s="1522"/>
      <c r="Y75" s="1522"/>
      <c r="Z75" s="1522"/>
    </row>
    <row r="76" spans="1:26">
      <c r="A76" s="1457" t="s">
        <v>1203</v>
      </c>
      <c r="B76" s="1532">
        <f t="shared" ref="B76:C78" si="171">B77+(B$75-B$79)/4</f>
        <v>105</v>
      </c>
      <c r="C76" s="1532">
        <f t="shared" si="171"/>
        <v>106</v>
      </c>
      <c r="D76" s="1532">
        <f t="shared" si="133"/>
        <v>106</v>
      </c>
      <c r="E76" s="1532">
        <f t="shared" ref="E76:F78" si="172">E77+(E$75-E$79)/4</f>
        <v>104.5</v>
      </c>
      <c r="F76" s="1532">
        <f t="shared" si="172"/>
        <v>101.5</v>
      </c>
      <c r="G76" s="3700">
        <v>2002</v>
      </c>
      <c r="H76" s="1483">
        <v>3</v>
      </c>
      <c r="I76" s="1530"/>
      <c r="J76" s="1530"/>
      <c r="K76" s="1530"/>
      <c r="L76" s="1530"/>
      <c r="X76" s="1522"/>
      <c r="Y76" s="1522"/>
      <c r="Z76" s="1522"/>
    </row>
    <row r="77" spans="1:26">
      <c r="A77" s="1457" t="s">
        <v>1204</v>
      </c>
      <c r="B77" s="1532">
        <f t="shared" si="171"/>
        <v>104</v>
      </c>
      <c r="C77" s="1532">
        <f t="shared" si="171"/>
        <v>105</v>
      </c>
      <c r="D77" s="1532">
        <f t="shared" si="133"/>
        <v>105</v>
      </c>
      <c r="E77" s="1532">
        <f t="shared" si="172"/>
        <v>104</v>
      </c>
      <c r="F77" s="1532">
        <f t="shared" si="172"/>
        <v>101</v>
      </c>
      <c r="G77" s="3700">
        <v>2002</v>
      </c>
      <c r="H77" s="1461">
        <v>2</v>
      </c>
      <c r="I77" s="1530"/>
      <c r="J77" s="1530"/>
      <c r="K77" s="1530"/>
      <c r="L77" s="1530"/>
      <c r="X77" s="1522"/>
      <c r="Y77" s="1522"/>
      <c r="Z77" s="1522"/>
    </row>
    <row r="78" spans="1:26" s="1494" customFormat="1" ht="13.5" thickBot="1">
      <c r="A78" s="1490" t="s">
        <v>1205</v>
      </c>
      <c r="B78" s="1536">
        <f t="shared" si="171"/>
        <v>103</v>
      </c>
      <c r="C78" s="1536">
        <f t="shared" si="171"/>
        <v>104</v>
      </c>
      <c r="D78" s="1536">
        <f t="shared" si="133"/>
        <v>104</v>
      </c>
      <c r="E78" s="1536">
        <f t="shared" si="172"/>
        <v>103.5</v>
      </c>
      <c r="F78" s="1536">
        <f t="shared" si="172"/>
        <v>100.5</v>
      </c>
      <c r="G78" s="3701">
        <v>2002</v>
      </c>
      <c r="H78" s="1537">
        <v>1</v>
      </c>
      <c r="I78" s="1538"/>
      <c r="J78" s="1538"/>
      <c r="K78" s="1538"/>
      <c r="L78" s="1538"/>
      <c r="N78" s="1539"/>
      <c r="S78" s="1539"/>
      <c r="X78" s="1540"/>
      <c r="Y78" s="1540"/>
      <c r="Z78" s="1540"/>
    </row>
    <row r="79" spans="1:26" ht="13.5" thickBot="1">
      <c r="B79" s="1541">
        <v>102</v>
      </c>
      <c r="C79" s="1542">
        <v>103</v>
      </c>
      <c r="D79" s="1542">
        <f t="shared" si="133"/>
        <v>103</v>
      </c>
      <c r="E79" s="1542">
        <v>103</v>
      </c>
      <c r="F79" s="1543">
        <v>100</v>
      </c>
      <c r="I79" s="1530"/>
      <c r="J79" s="1530"/>
      <c r="K79" s="1530"/>
      <c r="L79" s="1530"/>
      <c r="N79" s="1531"/>
      <c r="O79" s="1530"/>
      <c r="P79" s="1530"/>
      <c r="Q79" s="1530"/>
      <c r="S79" s="1531"/>
      <c r="T79" s="1530"/>
      <c r="U79" s="1530"/>
      <c r="V79" s="1530"/>
      <c r="X79" s="1472"/>
      <c r="Y79" s="1472"/>
      <c r="Z79" s="1472"/>
    </row>
    <row r="81" spans="1:22" s="1545" customFormat="1">
      <c r="A81" s="1544" t="s">
        <v>1206</v>
      </c>
      <c r="G81" s="1546"/>
      <c r="N81" s="1546"/>
      <c r="S81" s="1546"/>
    </row>
    <row r="82" spans="1:22" s="1545" customFormat="1">
      <c r="A82" s="1545" t="s">
        <v>1207</v>
      </c>
      <c r="G82" s="1546"/>
      <c r="N82" s="1546"/>
      <c r="S82" s="1546"/>
    </row>
    <row r="83" spans="1:22" s="1545" customFormat="1">
      <c r="A83" s="1545" t="s">
        <v>1208</v>
      </c>
      <c r="G83" s="1546"/>
      <c r="I83" s="1547"/>
      <c r="J83" s="1547"/>
      <c r="K83" s="1547"/>
      <c r="L83" s="1547"/>
      <c r="N83" s="1548"/>
      <c r="O83" s="1547"/>
      <c r="P83" s="1547"/>
      <c r="Q83" s="1547"/>
      <c r="S83" s="1548"/>
      <c r="T83" s="1547"/>
      <c r="U83" s="1547"/>
      <c r="V83" s="1547"/>
    </row>
    <row r="84" spans="1:22" s="1545" customFormat="1">
      <c r="A84" s="1545" t="s">
        <v>1209</v>
      </c>
      <c r="G84" s="1546"/>
      <c r="N84" s="1546"/>
      <c r="S84" s="1546"/>
    </row>
    <row r="91" spans="1:22" ht="13.5" thickBot="1"/>
    <row r="92" spans="1:22">
      <c r="G92" s="1467"/>
      <c r="S92" s="1549" t="s">
        <v>1210</v>
      </c>
      <c r="T92" s="1550" t="s">
        <v>1211</v>
      </c>
      <c r="U92" s="1550" t="s">
        <v>1212</v>
      </c>
      <c r="V92" s="1550" t="s">
        <v>1213</v>
      </c>
    </row>
    <row r="93" spans="1:22">
      <c r="G93" s="1467"/>
      <c r="N93" s="1471"/>
      <c r="O93" s="1472"/>
      <c r="P93" s="1472"/>
      <c r="Q93" s="1472"/>
      <c r="S93" s="1551">
        <v>2006</v>
      </c>
      <c r="T93" s="1552">
        <v>15.1</v>
      </c>
      <c r="U93" s="1552">
        <v>7.43</v>
      </c>
      <c r="V93" s="1552">
        <v>26.26</v>
      </c>
    </row>
    <row r="94" spans="1:22">
      <c r="G94" s="1467"/>
      <c r="N94" s="1471"/>
      <c r="O94" s="1472"/>
      <c r="P94" s="1472"/>
      <c r="Q94" s="1472"/>
      <c r="S94" s="1553">
        <v>2005</v>
      </c>
      <c r="T94" s="1554">
        <v>13.9</v>
      </c>
      <c r="U94" s="1554">
        <v>7.49</v>
      </c>
      <c r="V94" s="1554">
        <v>24.92</v>
      </c>
    </row>
    <row r="95" spans="1:22">
      <c r="G95" s="1467"/>
      <c r="N95" s="1471"/>
      <c r="O95" s="1472"/>
      <c r="P95" s="1472"/>
      <c r="Q95" s="1472"/>
      <c r="S95" s="1551">
        <v>2004</v>
      </c>
      <c r="T95" s="1552">
        <v>9.48</v>
      </c>
      <c r="U95" s="1552">
        <v>7.2</v>
      </c>
      <c r="V95" s="1552">
        <v>14.68</v>
      </c>
    </row>
    <row r="96" spans="1:22">
      <c r="G96" s="1467"/>
      <c r="N96" s="1471"/>
      <c r="O96" s="1472"/>
      <c r="P96" s="1472"/>
      <c r="Q96" s="1472"/>
      <c r="S96" s="1553">
        <v>2003</v>
      </c>
      <c r="T96" s="1554">
        <v>4.5</v>
      </c>
      <c r="U96" s="1554">
        <v>6.12</v>
      </c>
      <c r="V96" s="1554">
        <v>2.34</v>
      </c>
    </row>
    <row r="97" spans="7:22" ht="13.5" thickBot="1">
      <c r="G97" s="1467"/>
      <c r="N97" s="1471"/>
      <c r="O97" s="1472"/>
      <c r="P97" s="1472"/>
      <c r="Q97" s="1472"/>
      <c r="S97" s="1555">
        <v>2002</v>
      </c>
      <c r="T97" s="1556">
        <v>3.59</v>
      </c>
      <c r="U97" s="1556">
        <v>4.54</v>
      </c>
      <c r="V97" s="1556">
        <v>2.5499999999999998</v>
      </c>
    </row>
    <row r="98" spans="7:22">
      <c r="G98" s="1467"/>
      <c r="N98" s="1471"/>
      <c r="O98" s="1472"/>
      <c r="P98" s="1472"/>
      <c r="Q98" s="1472"/>
    </row>
    <row r="99" spans="7:22">
      <c r="G99" s="1467"/>
      <c r="N99" s="1471"/>
      <c r="O99" s="1472"/>
      <c r="P99" s="1472"/>
      <c r="Q99" s="1472"/>
    </row>
    <row r="100" spans="7:22">
      <c r="G100" s="1467"/>
      <c r="N100" s="1471"/>
      <c r="O100" s="1472"/>
      <c r="P100" s="1472"/>
      <c r="Q100" s="1472"/>
    </row>
    <row r="101" spans="7:22">
      <c r="G101" s="1467"/>
      <c r="N101" s="1471"/>
      <c r="O101" s="1472"/>
      <c r="P101" s="1472"/>
      <c r="Q101" s="1472"/>
    </row>
    <row r="102" spans="7:22">
      <c r="G102" s="1467"/>
      <c r="N102" s="1471"/>
      <c r="O102" s="1472"/>
      <c r="P102" s="1472"/>
      <c r="Q102" s="1472"/>
    </row>
    <row r="103" spans="7:22">
      <c r="G103" s="1467"/>
      <c r="N103" s="1471"/>
      <c r="O103" s="1472"/>
      <c r="P103" s="1472"/>
      <c r="Q103" s="1472"/>
    </row>
    <row r="104" spans="7:22">
      <c r="G104" s="1467"/>
      <c r="N104" s="1471"/>
      <c r="O104" s="1472"/>
      <c r="P104" s="1472"/>
      <c r="Q104" s="1472"/>
    </row>
    <row r="105" spans="7:22">
      <c r="G105" s="1467"/>
      <c r="N105" s="1471"/>
      <c r="O105" s="1472"/>
      <c r="P105" s="1472"/>
      <c r="Q105" s="1472"/>
    </row>
    <row r="106" spans="7:22">
      <c r="G106" s="1467"/>
      <c r="N106" s="1471"/>
      <c r="O106" s="1472"/>
      <c r="P106" s="1472"/>
      <c r="Q106" s="1472"/>
    </row>
    <row r="107" spans="7:22">
      <c r="G107" s="1467"/>
      <c r="N107" s="1471"/>
      <c r="O107" s="1472"/>
      <c r="P107" s="1472"/>
      <c r="Q107" s="1472"/>
    </row>
    <row r="108" spans="7:22">
      <c r="G108" s="1467"/>
      <c r="N108" s="1471"/>
      <c r="O108" s="1472"/>
      <c r="P108" s="1472"/>
      <c r="Q108" s="1472"/>
      <c r="S108" s="1467"/>
    </row>
    <row r="109" spans="7:22">
      <c r="G109" s="1467"/>
      <c r="N109" s="1471"/>
      <c r="O109" s="1472"/>
      <c r="P109" s="1472"/>
      <c r="Q109" s="1472"/>
      <c r="S109" s="1467"/>
    </row>
    <row r="110" spans="7:22">
      <c r="G110" s="1467"/>
      <c r="N110" s="1471"/>
      <c r="O110" s="1472"/>
      <c r="P110" s="1472"/>
      <c r="Q110" s="1472"/>
      <c r="S110" s="1467"/>
    </row>
    <row r="111" spans="7:22">
      <c r="G111" s="1467"/>
      <c r="N111" s="1471"/>
      <c r="O111" s="1472"/>
      <c r="P111" s="1472"/>
      <c r="Q111" s="1472"/>
      <c r="S111" s="1467"/>
    </row>
    <row r="112" spans="7:22">
      <c r="G112" s="1467"/>
      <c r="N112" s="1471"/>
      <c r="O112" s="1472"/>
      <c r="P112" s="1472"/>
      <c r="Q112" s="1472"/>
      <c r="S112" s="1467"/>
    </row>
    <row r="113" spans="7:19">
      <c r="G113" s="1467"/>
      <c r="N113" s="1471"/>
      <c r="O113" s="1472"/>
      <c r="P113" s="1472"/>
      <c r="Q113" s="1472"/>
      <c r="S113" s="1467"/>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34" activePane="bottomLeft" state="frozen"/>
      <selection activeCell="C50" sqref="C50"/>
      <selection pane="bottomLeft" activeCell="C1" sqref="C1:S1"/>
    </sheetView>
  </sheetViews>
  <sheetFormatPr defaultColWidth="9" defaultRowHeight="12.75"/>
  <cols>
    <col min="1" max="1" width="11.5" style="138"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9.125" style="27" customWidth="1"/>
    <col min="18" max="18" width="11.5" style="701" customWidth="1"/>
    <col min="19" max="19" width="10.125" style="138" customWidth="1"/>
    <col min="20" max="45" width="9" style="794"/>
    <col min="46" max="16384" width="9" style="138"/>
  </cols>
  <sheetData>
    <row r="1" spans="1:45" ht="14.25" customHeight="1" thickBot="1">
      <c r="A1" s="154"/>
      <c r="B1" s="1203" t="s">
        <v>3002</v>
      </c>
      <c r="C1" s="3709" t="s">
        <v>3003</v>
      </c>
      <c r="D1" s="3710"/>
      <c r="E1" s="3710"/>
      <c r="F1" s="3710"/>
      <c r="G1" s="3710"/>
      <c r="H1" s="3710"/>
      <c r="I1" s="3710"/>
      <c r="J1" s="3710"/>
      <c r="K1" s="3710"/>
      <c r="L1" s="3710"/>
      <c r="M1" s="3710"/>
      <c r="N1" s="3710"/>
      <c r="O1" s="3710"/>
      <c r="P1" s="3710"/>
      <c r="Q1" s="3710"/>
      <c r="R1" s="3710"/>
      <c r="S1" s="3711"/>
      <c r="T1" s="1203" t="s">
        <v>3004</v>
      </c>
    </row>
    <row r="2" spans="1:45" s="706" customFormat="1" ht="38.25">
      <c r="A2" s="1204"/>
      <c r="B2" s="702" t="s">
        <v>3005</v>
      </c>
      <c r="C2" s="703" t="str">
        <f t="shared" ref="C2:L2" si="0">C3&amp;"(含)"&amp;"-"&amp;D3</f>
        <v>0(含)-60</v>
      </c>
      <c r="D2" s="704" t="str">
        <f t="shared" si="0"/>
        <v>60(含)-120</v>
      </c>
      <c r="E2" s="704" t="str">
        <f t="shared" si="0"/>
        <v>120(含)-180</v>
      </c>
      <c r="F2" s="704" t="str">
        <f t="shared" si="0"/>
        <v>180(含)-240</v>
      </c>
      <c r="G2" s="704" t="str">
        <f t="shared" si="0"/>
        <v>240(含)-300</v>
      </c>
      <c r="H2" s="704" t="str">
        <f t="shared" si="0"/>
        <v>300(含)-360</v>
      </c>
      <c r="I2" s="704" t="str">
        <f t="shared" si="0"/>
        <v>360(含)-420</v>
      </c>
      <c r="J2" s="704" t="str">
        <f t="shared" si="0"/>
        <v>420(含)-480</v>
      </c>
      <c r="K2" s="704" t="str">
        <f t="shared" si="0"/>
        <v>480(含)-540</v>
      </c>
      <c r="L2" s="704" t="str">
        <f t="shared" si="0"/>
        <v>540(含)-600</v>
      </c>
      <c r="M2" s="704" t="str">
        <f t="shared" ref="M2" si="1">M3&amp;"(含)"&amp;"-"&amp;N3</f>
        <v>600(含)-660</v>
      </c>
      <c r="N2" s="704" t="str">
        <f t="shared" ref="N2" si="2">N3&amp;"(含)"&amp;"-"&amp;O3</f>
        <v>660(含)-720</v>
      </c>
      <c r="O2" s="704" t="str">
        <f t="shared" ref="O2" si="3">O3&amp;"(含)"&amp;"-"&amp;P3</f>
        <v>720(含)-780</v>
      </c>
      <c r="P2" s="704" t="str">
        <f t="shared" ref="P2" si="4">P3&amp;"(含)"&amp;"-"&amp;Q3</f>
        <v>780(含)-840</v>
      </c>
      <c r="Q2" s="704" t="str">
        <f t="shared" ref="Q2" si="5">Q3&amp;"(含)"&amp;"-"&amp;R3</f>
        <v>840(含)-900</v>
      </c>
      <c r="R2" s="704" t="str">
        <f t="shared" ref="R2" si="6">R3&amp;"(含)"&amp;"-"&amp;S3</f>
        <v>900(含)-960</v>
      </c>
      <c r="S2" s="1205" t="str">
        <f>S3&amp;"(含)"&amp;"-"</f>
        <v>960(含)-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v>60</v>
      </c>
      <c r="E3" s="709">
        <v>120</v>
      </c>
      <c r="F3" s="1700">
        <v>180</v>
      </c>
      <c r="G3" s="1700">
        <v>240</v>
      </c>
      <c r="H3" s="1700">
        <v>300</v>
      </c>
      <c r="I3" s="1700">
        <v>360</v>
      </c>
      <c r="J3" s="1700">
        <v>420</v>
      </c>
      <c r="K3" s="1700">
        <v>480</v>
      </c>
      <c r="L3" s="1701">
        <v>540</v>
      </c>
      <c r="M3" s="1702">
        <v>600</v>
      </c>
      <c r="N3" s="1702">
        <v>660</v>
      </c>
      <c r="O3" s="1700">
        <v>720</v>
      </c>
      <c r="P3" s="1700">
        <v>780</v>
      </c>
      <c r="Q3" s="1700">
        <v>840</v>
      </c>
      <c r="R3" s="1700">
        <v>900</v>
      </c>
      <c r="S3" s="1703">
        <v>960</v>
      </c>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v>100</v>
      </c>
      <c r="D4" s="1210">
        <v>99</v>
      </c>
      <c r="E4" s="1210">
        <v>98</v>
      </c>
      <c r="F4" s="1704">
        <v>97</v>
      </c>
      <c r="G4" s="1704">
        <v>96</v>
      </c>
      <c r="H4" s="1704">
        <v>95</v>
      </c>
      <c r="I4" s="1704">
        <v>94</v>
      </c>
      <c r="J4" s="1704">
        <v>93</v>
      </c>
      <c r="K4" s="1704">
        <v>92</v>
      </c>
      <c r="L4" s="1704">
        <v>91</v>
      </c>
      <c r="M4" s="1705">
        <v>90</v>
      </c>
      <c r="N4" s="1705">
        <v>89</v>
      </c>
      <c r="O4" s="1704">
        <v>88</v>
      </c>
      <c r="P4" s="1704">
        <v>87</v>
      </c>
      <c r="Q4" s="1704">
        <v>86</v>
      </c>
      <c r="R4" s="1704">
        <v>85</v>
      </c>
      <c r="S4" s="1706">
        <v>84</v>
      </c>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3179"/>
      <c r="C5" s="1215"/>
      <c r="D5" s="1216"/>
      <c r="E5" s="1216"/>
      <c r="F5" s="1707"/>
      <c r="G5" s="1707"/>
      <c r="H5" s="1707"/>
      <c r="I5" s="1707"/>
      <c r="J5" s="1707"/>
      <c r="K5" s="1707"/>
      <c r="L5" s="1708"/>
      <c r="M5" s="1709"/>
      <c r="N5" s="1709"/>
      <c r="O5" s="1707"/>
      <c r="P5" s="1707"/>
      <c r="Q5" s="1707"/>
      <c r="R5" s="1707"/>
      <c r="S5" s="1710"/>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58" t="s">
        <v>3006</v>
      </c>
      <c r="C7" s="1120"/>
      <c r="D7" s="1114"/>
      <c r="E7" s="1114"/>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58" t="s">
        <v>3007</v>
      </c>
      <c r="C9" s="1120"/>
      <c r="D9" s="1114"/>
      <c r="E9" s="1114"/>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57"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3179"/>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57" t="s">
        <v>3009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13.5" thickBot="1">
      <c r="A17" s="2896" t="s">
        <v>3010</v>
      </c>
      <c r="B17" s="3181" t="s">
        <v>3011</v>
      </c>
      <c r="C17" s="1230">
        <v>1</v>
      </c>
      <c r="D17" s="1230">
        <v>2</v>
      </c>
      <c r="E17" s="1230">
        <v>3</v>
      </c>
      <c r="F17" s="1230">
        <v>4</v>
      </c>
      <c r="G17" s="1230">
        <v>5</v>
      </c>
      <c r="H17" s="1230">
        <v>-1</v>
      </c>
      <c r="I17" s="1230">
        <v>-2</v>
      </c>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3181"/>
      <c r="C18" s="1230">
        <v>100</v>
      </c>
      <c r="D18" s="1230">
        <v>65</v>
      </c>
      <c r="E18" s="1230">
        <v>60</v>
      </c>
      <c r="F18" s="1230">
        <v>50</v>
      </c>
      <c r="G18" s="1230">
        <v>50</v>
      </c>
      <c r="H18" s="1230">
        <v>50</v>
      </c>
      <c r="I18" s="1230">
        <v>40</v>
      </c>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897" t="s">
        <v>3012</v>
      </c>
      <c r="E19" s="1780"/>
      <c r="F19" s="1780"/>
      <c r="G19" s="1780"/>
      <c r="H19" s="1276"/>
      <c r="I19" s="167"/>
      <c r="J19" s="167"/>
      <c r="K19" s="167"/>
      <c r="L19" s="167"/>
      <c r="M19" s="167"/>
      <c r="N19" s="167"/>
      <c r="O19" s="167"/>
      <c r="P19" s="167"/>
      <c r="Q19" s="167"/>
      <c r="R19" s="787"/>
      <c r="S19" s="137"/>
    </row>
    <row r="20" spans="1:45" ht="16.5" thickBot="1">
      <c r="A20" s="714" t="s">
        <v>3013</v>
      </c>
      <c r="B20" s="337" t="e">
        <f ca="1">IF(D20="——",S22,S22-F20)</f>
        <v>#REF!</v>
      </c>
      <c r="C20" s="167"/>
      <c r="D20" s="2898" t="s">
        <v>3014</v>
      </c>
      <c r="E20" s="1781"/>
      <c r="F20" s="1203" t="e">
        <f ca="1">SUMIF(INDIRECT("'"&amp;H20&amp;"'"&amp;"!A:A"),"承租人权益价值",INDIRECT("'"&amp;H20&amp;"'"&amp;"!c:c"))</f>
        <v>#REF!</v>
      </c>
      <c r="G20" s="1203" t="s">
        <v>3015</v>
      </c>
      <c r="H20" s="2899"/>
      <c r="I20" s="167"/>
      <c r="J20" s="167"/>
      <c r="K20" s="167"/>
      <c r="L20" s="167"/>
      <c r="M20" s="167"/>
      <c r="N20" s="167"/>
      <c r="O20" s="167"/>
      <c r="P20" s="167"/>
      <c r="Q20" s="167"/>
      <c r="R20" s="787"/>
      <c r="S20" s="167"/>
    </row>
    <row r="21" spans="1:45" ht="15.75">
      <c r="A21" s="714" t="s">
        <v>3016</v>
      </c>
      <c r="B21" s="337" t="e">
        <f ca="1">ROUND(B20*10000/B22,0)</f>
        <v>#REF!</v>
      </c>
      <c r="C21" s="167"/>
      <c r="D21" s="167"/>
      <c r="E21" s="167"/>
      <c r="F21" s="167"/>
      <c r="G21" s="167"/>
      <c r="H21" s="167"/>
      <c r="I21" s="167"/>
      <c r="J21" s="167"/>
      <c r="K21" s="167"/>
      <c r="L21" s="167"/>
      <c r="M21" s="167"/>
      <c r="N21" s="167"/>
      <c r="O21" s="167"/>
      <c r="P21" s="167"/>
      <c r="Q21" s="167"/>
      <c r="R21" s="787" t="s">
        <v>3539</v>
      </c>
      <c r="S21" s="3182" t="s">
        <v>3540</v>
      </c>
    </row>
    <row r="22" spans="1:45">
      <c r="A22" s="360" t="s">
        <v>3017</v>
      </c>
      <c r="B22" s="24">
        <f>SUM(B24:B10000)</f>
        <v>94331.870000000024</v>
      </c>
      <c r="C22" s="3484" t="s">
        <v>33</v>
      </c>
      <c r="D22" s="3485"/>
      <c r="E22" s="3485"/>
      <c r="F22" s="3485"/>
      <c r="G22" s="3485"/>
      <c r="H22" s="3485"/>
      <c r="I22" s="3485"/>
      <c r="J22" s="3485"/>
      <c r="K22" s="3485"/>
      <c r="L22" s="3485"/>
      <c r="M22" s="3485"/>
      <c r="N22" s="3485"/>
      <c r="O22" s="3485"/>
      <c r="P22" s="3485"/>
      <c r="Q22" s="3708"/>
      <c r="R22" s="715">
        <f>ROUND(S22*10000/B22,0)</f>
        <v>2306</v>
      </c>
      <c r="S22" s="24">
        <f>SUM(S24:S10000)</f>
        <v>21755.596799999992</v>
      </c>
    </row>
    <row r="23" spans="1:45" s="12" customFormat="1" ht="24">
      <c r="A23" s="11" t="s">
        <v>3018</v>
      </c>
      <c r="B23" s="11" t="s">
        <v>3019</v>
      </c>
      <c r="C23" s="11" t="s">
        <v>3020</v>
      </c>
      <c r="D23" s="11">
        <f>B5</f>
        <v>0</v>
      </c>
      <c r="E23" s="11" t="s">
        <v>3020</v>
      </c>
      <c r="F23" s="11" t="str">
        <f>B7</f>
        <v>修正项3</v>
      </c>
      <c r="G23" s="11" t="s">
        <v>3020</v>
      </c>
      <c r="H23" s="11" t="str">
        <f>B9</f>
        <v>修正项4</v>
      </c>
      <c r="I23" s="11" t="s">
        <v>3020</v>
      </c>
      <c r="J23" s="11" t="str">
        <f>B11</f>
        <v>修正项5</v>
      </c>
      <c r="K23" s="11" t="s">
        <v>3020</v>
      </c>
      <c r="L23" s="11">
        <f>B13</f>
        <v>0</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v>
      </c>
      <c r="C24" s="718">
        <v>1</v>
      </c>
      <c r="D24" s="719"/>
      <c r="E24" s="718">
        <v>1</v>
      </c>
      <c r="F24" s="719"/>
      <c r="G24" s="718">
        <v>1</v>
      </c>
      <c r="H24" s="719"/>
      <c r="I24" s="718">
        <v>1</v>
      </c>
      <c r="J24" s="719"/>
      <c r="K24" s="718">
        <v>1</v>
      </c>
      <c r="L24" s="719"/>
      <c r="M24" s="718">
        <v>1</v>
      </c>
      <c r="N24" s="719"/>
      <c r="O24" s="718">
        <v>1</v>
      </c>
      <c r="P24" s="719">
        <v>1</v>
      </c>
      <c r="Q24" s="718">
        <v>1</v>
      </c>
      <c r="R24" s="720">
        <v>0.52</v>
      </c>
      <c r="S24" s="718">
        <f t="shared" ref="S24:S55" si="11">ROUND(R24*B24,4)</f>
        <v>0.52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4.25">
      <c r="A25" s="3177">
        <v>101</v>
      </c>
      <c r="B25" s="3177">
        <v>46.37</v>
      </c>
      <c r="C25" s="24">
        <f t="shared" ref="C25:C88" si="12">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 t="shared" ref="R25:R56" si="13">IF(B25="",0,ROUND($R$24*C25*E25*G25*I25*K25*M25*O25*Q25,2))</f>
        <v>0.52</v>
      </c>
      <c r="S25" s="718">
        <f t="shared" si="11"/>
        <v>24.112400000000001</v>
      </c>
    </row>
    <row r="26" spans="1:45" ht="14.25">
      <c r="A26" s="3177">
        <v>102</v>
      </c>
      <c r="B26" s="3177">
        <v>41.19</v>
      </c>
      <c r="C26" s="24">
        <f t="shared" si="12"/>
        <v>1</v>
      </c>
      <c r="D26" s="719"/>
      <c r="E26" s="24">
        <f t="shared" ref="E26:E89" si="14">(SUMIF($5:$5,D26,$6:$6)-SUMIF($5:$5,$D$24,$6:$6)+100)/100</f>
        <v>1</v>
      </c>
      <c r="F26" s="719"/>
      <c r="G26" s="24">
        <f t="shared" ref="G26:G89" si="15">(SUMIF($7:$7,F26,$8:$8)-SUMIF($7:$7,$F$24,$8:$8)+100)/100</f>
        <v>1</v>
      </c>
      <c r="H26" s="719"/>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v>1</v>
      </c>
      <c r="Q26" s="24">
        <f t="shared" ref="Q26:Q89" si="20">(SUMIF($17:$17,P26,$18:$18)-SUMIF($17:$17,$P$24,$18:$18)+100)/100</f>
        <v>1</v>
      </c>
      <c r="R26" s="715">
        <f t="shared" si="13"/>
        <v>0.52</v>
      </c>
      <c r="S26" s="718">
        <f t="shared" si="11"/>
        <v>21.418800000000001</v>
      </c>
    </row>
    <row r="27" spans="1:45" ht="14.25">
      <c r="A27" s="3177">
        <v>103</v>
      </c>
      <c r="B27" s="3177">
        <v>29.63</v>
      </c>
      <c r="C27" s="24">
        <f t="shared" si="12"/>
        <v>1</v>
      </c>
      <c r="D27" s="719"/>
      <c r="E27" s="24">
        <f t="shared" si="14"/>
        <v>1</v>
      </c>
      <c r="F27" s="719"/>
      <c r="G27" s="24">
        <f t="shared" si="15"/>
        <v>1</v>
      </c>
      <c r="H27" s="719"/>
      <c r="I27" s="24">
        <f t="shared" si="16"/>
        <v>1</v>
      </c>
      <c r="J27" s="719"/>
      <c r="K27" s="24">
        <f t="shared" si="17"/>
        <v>1</v>
      </c>
      <c r="L27" s="719"/>
      <c r="M27" s="24">
        <f t="shared" si="18"/>
        <v>1</v>
      </c>
      <c r="N27" s="719"/>
      <c r="O27" s="24">
        <f t="shared" si="19"/>
        <v>1</v>
      </c>
      <c r="P27" s="719">
        <v>1</v>
      </c>
      <c r="Q27" s="24">
        <f t="shared" si="20"/>
        <v>1</v>
      </c>
      <c r="R27" s="715">
        <f t="shared" si="13"/>
        <v>0.52</v>
      </c>
      <c r="S27" s="718">
        <f t="shared" si="11"/>
        <v>15.4076</v>
      </c>
    </row>
    <row r="28" spans="1:45" ht="14.25">
      <c r="A28" s="3177">
        <v>104</v>
      </c>
      <c r="B28" s="3177">
        <v>32.25</v>
      </c>
      <c r="C28" s="24">
        <f t="shared" si="12"/>
        <v>1</v>
      </c>
      <c r="D28" s="719"/>
      <c r="E28" s="24">
        <f t="shared" si="14"/>
        <v>1</v>
      </c>
      <c r="F28" s="719"/>
      <c r="G28" s="24">
        <f t="shared" si="15"/>
        <v>1</v>
      </c>
      <c r="H28" s="719"/>
      <c r="I28" s="24">
        <f t="shared" si="16"/>
        <v>1</v>
      </c>
      <c r="J28" s="719"/>
      <c r="K28" s="24">
        <f t="shared" si="17"/>
        <v>1</v>
      </c>
      <c r="L28" s="719"/>
      <c r="M28" s="24">
        <f t="shared" si="18"/>
        <v>1</v>
      </c>
      <c r="N28" s="719"/>
      <c r="O28" s="24">
        <f t="shared" si="19"/>
        <v>1</v>
      </c>
      <c r="P28" s="719">
        <v>1</v>
      </c>
      <c r="Q28" s="24">
        <f t="shared" si="20"/>
        <v>1</v>
      </c>
      <c r="R28" s="715">
        <f t="shared" si="13"/>
        <v>0.52</v>
      </c>
      <c r="S28" s="718">
        <f t="shared" si="11"/>
        <v>16.77</v>
      </c>
    </row>
    <row r="29" spans="1:45" ht="14.25">
      <c r="A29" s="3177">
        <v>105</v>
      </c>
      <c r="B29" s="3177">
        <v>28</v>
      </c>
      <c r="C29" s="24">
        <f t="shared" si="12"/>
        <v>1</v>
      </c>
      <c r="D29" s="719"/>
      <c r="E29" s="24">
        <f t="shared" si="14"/>
        <v>1</v>
      </c>
      <c r="F29" s="719"/>
      <c r="G29" s="24">
        <f t="shared" si="15"/>
        <v>1</v>
      </c>
      <c r="H29" s="719"/>
      <c r="I29" s="24">
        <f t="shared" si="16"/>
        <v>1</v>
      </c>
      <c r="J29" s="719"/>
      <c r="K29" s="24">
        <f t="shared" si="17"/>
        <v>1</v>
      </c>
      <c r="L29" s="719"/>
      <c r="M29" s="24">
        <f t="shared" si="18"/>
        <v>1</v>
      </c>
      <c r="N29" s="719"/>
      <c r="O29" s="24">
        <f t="shared" si="19"/>
        <v>1</v>
      </c>
      <c r="P29" s="719">
        <v>1</v>
      </c>
      <c r="Q29" s="24">
        <f t="shared" si="20"/>
        <v>1</v>
      </c>
      <c r="R29" s="715">
        <f t="shared" si="13"/>
        <v>0.52</v>
      </c>
      <c r="S29" s="718">
        <f t="shared" si="11"/>
        <v>14.56</v>
      </c>
    </row>
    <row r="30" spans="1:45" ht="14.25">
      <c r="A30" s="3177">
        <v>106</v>
      </c>
      <c r="B30" s="3177">
        <v>18.579999999999998</v>
      </c>
      <c r="C30" s="24">
        <f t="shared" si="12"/>
        <v>1</v>
      </c>
      <c r="D30" s="719"/>
      <c r="E30" s="24">
        <f t="shared" si="14"/>
        <v>1</v>
      </c>
      <c r="F30" s="719"/>
      <c r="G30" s="24">
        <f t="shared" si="15"/>
        <v>1</v>
      </c>
      <c r="H30" s="719"/>
      <c r="I30" s="24">
        <f t="shared" si="16"/>
        <v>1</v>
      </c>
      <c r="J30" s="719"/>
      <c r="K30" s="24">
        <f t="shared" si="17"/>
        <v>1</v>
      </c>
      <c r="L30" s="719"/>
      <c r="M30" s="24">
        <f t="shared" si="18"/>
        <v>1</v>
      </c>
      <c r="N30" s="719"/>
      <c r="O30" s="24">
        <f t="shared" si="19"/>
        <v>1</v>
      </c>
      <c r="P30" s="719">
        <v>1</v>
      </c>
      <c r="Q30" s="24">
        <f t="shared" si="20"/>
        <v>1</v>
      </c>
      <c r="R30" s="715">
        <f t="shared" si="13"/>
        <v>0.52</v>
      </c>
      <c r="S30" s="718">
        <f t="shared" si="11"/>
        <v>9.6616</v>
      </c>
    </row>
    <row r="31" spans="1:45" ht="14.25">
      <c r="A31" s="3178">
        <v>-101</v>
      </c>
      <c r="B31" s="3177">
        <v>76.400000000000006</v>
      </c>
      <c r="C31" s="24">
        <f t="shared" si="12"/>
        <v>0.99</v>
      </c>
      <c r="D31" s="719"/>
      <c r="E31" s="24">
        <f t="shared" si="14"/>
        <v>1</v>
      </c>
      <c r="F31" s="719"/>
      <c r="G31" s="24">
        <f t="shared" si="15"/>
        <v>1</v>
      </c>
      <c r="H31" s="719"/>
      <c r="I31" s="24">
        <f t="shared" si="16"/>
        <v>1</v>
      </c>
      <c r="J31" s="719"/>
      <c r="K31" s="24">
        <f t="shared" si="17"/>
        <v>1</v>
      </c>
      <c r="L31" s="719"/>
      <c r="M31" s="24">
        <f t="shared" si="18"/>
        <v>1</v>
      </c>
      <c r="N31" s="719"/>
      <c r="O31" s="24">
        <f t="shared" si="19"/>
        <v>1</v>
      </c>
      <c r="P31" s="719">
        <v>-1</v>
      </c>
      <c r="Q31" s="24">
        <f t="shared" si="20"/>
        <v>0.5</v>
      </c>
      <c r="R31" s="715">
        <f t="shared" si="13"/>
        <v>0.26</v>
      </c>
      <c r="S31" s="718">
        <f t="shared" si="11"/>
        <v>19.864000000000001</v>
      </c>
    </row>
    <row r="32" spans="1:45" ht="14.25">
      <c r="A32" s="3178">
        <v>-104</v>
      </c>
      <c r="B32" s="3177">
        <v>65.89</v>
      </c>
      <c r="C32" s="24">
        <f t="shared" si="12"/>
        <v>0.99</v>
      </c>
      <c r="D32" s="719"/>
      <c r="E32" s="24">
        <f t="shared" si="14"/>
        <v>1</v>
      </c>
      <c r="F32" s="719"/>
      <c r="G32" s="24">
        <f t="shared" si="15"/>
        <v>1</v>
      </c>
      <c r="H32" s="719"/>
      <c r="I32" s="24">
        <f t="shared" si="16"/>
        <v>1</v>
      </c>
      <c r="J32" s="719"/>
      <c r="K32" s="24">
        <f t="shared" si="17"/>
        <v>1</v>
      </c>
      <c r="L32" s="719"/>
      <c r="M32" s="24">
        <f t="shared" si="18"/>
        <v>1</v>
      </c>
      <c r="N32" s="719"/>
      <c r="O32" s="24">
        <f t="shared" si="19"/>
        <v>1</v>
      </c>
      <c r="P32" s="719">
        <v>-1</v>
      </c>
      <c r="Q32" s="24">
        <f t="shared" si="20"/>
        <v>0.5</v>
      </c>
      <c r="R32" s="715">
        <f t="shared" si="13"/>
        <v>0.26</v>
      </c>
      <c r="S32" s="718">
        <f t="shared" si="11"/>
        <v>17.131399999999999</v>
      </c>
    </row>
    <row r="33" spans="1:19" ht="14.25">
      <c r="A33" s="3178">
        <v>-105</v>
      </c>
      <c r="B33" s="3177">
        <v>44.23</v>
      </c>
      <c r="C33" s="24">
        <f t="shared" si="12"/>
        <v>1</v>
      </c>
      <c r="D33" s="719"/>
      <c r="E33" s="24">
        <f t="shared" si="14"/>
        <v>1</v>
      </c>
      <c r="F33" s="719"/>
      <c r="G33" s="24">
        <f t="shared" si="15"/>
        <v>1</v>
      </c>
      <c r="H33" s="719"/>
      <c r="I33" s="24">
        <f t="shared" si="16"/>
        <v>1</v>
      </c>
      <c r="J33" s="719"/>
      <c r="K33" s="24">
        <f t="shared" si="17"/>
        <v>1</v>
      </c>
      <c r="L33" s="719"/>
      <c r="M33" s="24">
        <f t="shared" si="18"/>
        <v>1</v>
      </c>
      <c r="N33" s="719"/>
      <c r="O33" s="24">
        <f t="shared" si="19"/>
        <v>1</v>
      </c>
      <c r="P33" s="719">
        <v>-1</v>
      </c>
      <c r="Q33" s="24">
        <f t="shared" si="20"/>
        <v>0.5</v>
      </c>
      <c r="R33" s="715">
        <f t="shared" si="13"/>
        <v>0.26</v>
      </c>
      <c r="S33" s="718">
        <f t="shared" si="11"/>
        <v>11.4998</v>
      </c>
    </row>
    <row r="34" spans="1:19" ht="14.25">
      <c r="A34" s="3178">
        <v>-101</v>
      </c>
      <c r="B34" s="3177">
        <v>78.17</v>
      </c>
      <c r="C34" s="24">
        <f t="shared" si="12"/>
        <v>0.99</v>
      </c>
      <c r="D34" s="719"/>
      <c r="E34" s="24">
        <f t="shared" si="14"/>
        <v>1</v>
      </c>
      <c r="F34" s="719"/>
      <c r="G34" s="24">
        <f t="shared" si="15"/>
        <v>1</v>
      </c>
      <c r="H34" s="719"/>
      <c r="I34" s="24">
        <f t="shared" si="16"/>
        <v>1</v>
      </c>
      <c r="J34" s="719"/>
      <c r="K34" s="24">
        <f t="shared" si="17"/>
        <v>1</v>
      </c>
      <c r="L34" s="719"/>
      <c r="M34" s="24">
        <f t="shared" si="18"/>
        <v>1</v>
      </c>
      <c r="N34" s="719"/>
      <c r="O34" s="24">
        <f t="shared" si="19"/>
        <v>1</v>
      </c>
      <c r="P34" s="719">
        <v>-1</v>
      </c>
      <c r="Q34" s="24">
        <f t="shared" si="20"/>
        <v>0.5</v>
      </c>
      <c r="R34" s="715">
        <f t="shared" si="13"/>
        <v>0.26</v>
      </c>
      <c r="S34" s="718">
        <f t="shared" si="11"/>
        <v>20.324200000000001</v>
      </c>
    </row>
    <row r="35" spans="1:19" ht="14.25">
      <c r="A35" s="3178">
        <v>-104</v>
      </c>
      <c r="B35" s="3177">
        <v>67.42</v>
      </c>
      <c r="C35" s="24">
        <f t="shared" si="12"/>
        <v>0.99</v>
      </c>
      <c r="D35" s="719"/>
      <c r="E35" s="24">
        <f t="shared" si="14"/>
        <v>1</v>
      </c>
      <c r="F35" s="719"/>
      <c r="G35" s="24">
        <f t="shared" si="15"/>
        <v>1</v>
      </c>
      <c r="H35" s="719"/>
      <c r="I35" s="24">
        <f t="shared" si="16"/>
        <v>1</v>
      </c>
      <c r="J35" s="719"/>
      <c r="K35" s="24">
        <f t="shared" si="17"/>
        <v>1</v>
      </c>
      <c r="L35" s="719"/>
      <c r="M35" s="24">
        <f t="shared" si="18"/>
        <v>1</v>
      </c>
      <c r="N35" s="719"/>
      <c r="O35" s="24">
        <f t="shared" si="19"/>
        <v>1</v>
      </c>
      <c r="P35" s="719">
        <v>-1</v>
      </c>
      <c r="Q35" s="24">
        <f t="shared" si="20"/>
        <v>0.5</v>
      </c>
      <c r="R35" s="715">
        <f t="shared" si="13"/>
        <v>0.26</v>
      </c>
      <c r="S35" s="718">
        <f t="shared" si="11"/>
        <v>17.529199999999999</v>
      </c>
    </row>
    <row r="36" spans="1:19" ht="14.25">
      <c r="A36" s="3178">
        <v>-105</v>
      </c>
      <c r="B36" s="3177">
        <v>45.25</v>
      </c>
      <c r="C36" s="24">
        <f t="shared" si="12"/>
        <v>1</v>
      </c>
      <c r="D36" s="719"/>
      <c r="E36" s="24">
        <f t="shared" si="14"/>
        <v>1</v>
      </c>
      <c r="F36" s="719"/>
      <c r="G36" s="24">
        <f t="shared" si="15"/>
        <v>1</v>
      </c>
      <c r="H36" s="719"/>
      <c r="I36" s="24">
        <f t="shared" si="16"/>
        <v>1</v>
      </c>
      <c r="J36" s="719"/>
      <c r="K36" s="24">
        <f t="shared" si="17"/>
        <v>1</v>
      </c>
      <c r="L36" s="719"/>
      <c r="M36" s="24">
        <f t="shared" si="18"/>
        <v>1</v>
      </c>
      <c r="N36" s="719"/>
      <c r="O36" s="24">
        <f t="shared" si="19"/>
        <v>1</v>
      </c>
      <c r="P36" s="719">
        <v>-1</v>
      </c>
      <c r="Q36" s="24">
        <f t="shared" si="20"/>
        <v>0.5</v>
      </c>
      <c r="R36" s="715">
        <f t="shared" si="13"/>
        <v>0.26</v>
      </c>
      <c r="S36" s="718">
        <f t="shared" si="11"/>
        <v>11.765000000000001</v>
      </c>
    </row>
    <row r="37" spans="1:19" ht="14.25">
      <c r="A37" s="3177">
        <v>101</v>
      </c>
      <c r="B37" s="3177">
        <v>81.97</v>
      </c>
      <c r="C37" s="24">
        <f t="shared" si="12"/>
        <v>0.99</v>
      </c>
      <c r="D37" s="719"/>
      <c r="E37" s="24">
        <f t="shared" si="14"/>
        <v>1</v>
      </c>
      <c r="F37" s="719"/>
      <c r="G37" s="24">
        <f t="shared" si="15"/>
        <v>1</v>
      </c>
      <c r="H37" s="719"/>
      <c r="I37" s="24">
        <f t="shared" si="16"/>
        <v>1</v>
      </c>
      <c r="J37" s="719"/>
      <c r="K37" s="24">
        <f t="shared" si="17"/>
        <v>1</v>
      </c>
      <c r="L37" s="719"/>
      <c r="M37" s="24">
        <f t="shared" si="18"/>
        <v>1</v>
      </c>
      <c r="N37" s="719"/>
      <c r="O37" s="24">
        <f t="shared" si="19"/>
        <v>1</v>
      </c>
      <c r="P37" s="719">
        <v>1</v>
      </c>
      <c r="Q37" s="24">
        <f t="shared" si="20"/>
        <v>1</v>
      </c>
      <c r="R37" s="715">
        <f t="shared" si="13"/>
        <v>0.51</v>
      </c>
      <c r="S37" s="718">
        <f t="shared" si="11"/>
        <v>41.804699999999997</v>
      </c>
    </row>
    <row r="38" spans="1:19" ht="14.25">
      <c r="A38" s="3177">
        <v>102</v>
      </c>
      <c r="B38" s="3177">
        <v>31.3</v>
      </c>
      <c r="C38" s="24">
        <f t="shared" si="12"/>
        <v>1</v>
      </c>
      <c r="D38" s="719"/>
      <c r="E38" s="24">
        <f t="shared" si="14"/>
        <v>1</v>
      </c>
      <c r="F38" s="719"/>
      <c r="G38" s="24">
        <f t="shared" si="15"/>
        <v>1</v>
      </c>
      <c r="H38" s="719"/>
      <c r="I38" s="24">
        <f t="shared" si="16"/>
        <v>1</v>
      </c>
      <c r="J38" s="719"/>
      <c r="K38" s="24">
        <f t="shared" si="17"/>
        <v>1</v>
      </c>
      <c r="L38" s="719"/>
      <c r="M38" s="24">
        <f t="shared" si="18"/>
        <v>1</v>
      </c>
      <c r="N38" s="719"/>
      <c r="O38" s="24">
        <f t="shared" si="19"/>
        <v>1</v>
      </c>
      <c r="P38" s="719">
        <v>1</v>
      </c>
      <c r="Q38" s="24">
        <f t="shared" si="20"/>
        <v>1</v>
      </c>
      <c r="R38" s="715">
        <f t="shared" si="13"/>
        <v>0.52</v>
      </c>
      <c r="S38" s="718">
        <f t="shared" si="11"/>
        <v>16.276</v>
      </c>
    </row>
    <row r="39" spans="1:19" ht="14.25">
      <c r="A39" s="3177">
        <v>103</v>
      </c>
      <c r="B39" s="3177">
        <v>84.05</v>
      </c>
      <c r="C39" s="24">
        <f t="shared" si="12"/>
        <v>0.99</v>
      </c>
      <c r="D39" s="719"/>
      <c r="E39" s="24">
        <f t="shared" si="14"/>
        <v>1</v>
      </c>
      <c r="F39" s="719"/>
      <c r="G39" s="24">
        <f t="shared" si="15"/>
        <v>1</v>
      </c>
      <c r="H39" s="719"/>
      <c r="I39" s="24">
        <f t="shared" si="16"/>
        <v>1</v>
      </c>
      <c r="J39" s="719"/>
      <c r="K39" s="24">
        <f t="shared" si="17"/>
        <v>1</v>
      </c>
      <c r="L39" s="719"/>
      <c r="M39" s="24">
        <f t="shared" si="18"/>
        <v>1</v>
      </c>
      <c r="N39" s="719"/>
      <c r="O39" s="24">
        <f t="shared" si="19"/>
        <v>1</v>
      </c>
      <c r="P39" s="719">
        <v>1</v>
      </c>
      <c r="Q39" s="24">
        <f t="shared" si="20"/>
        <v>1</v>
      </c>
      <c r="R39" s="715">
        <f t="shared" si="13"/>
        <v>0.51</v>
      </c>
      <c r="S39" s="718">
        <f t="shared" si="11"/>
        <v>42.865499999999997</v>
      </c>
    </row>
    <row r="40" spans="1:19" ht="14.25">
      <c r="A40" s="3178">
        <v>-101</v>
      </c>
      <c r="B40" s="3177">
        <v>42.96</v>
      </c>
      <c r="C40" s="24">
        <f t="shared" si="12"/>
        <v>1</v>
      </c>
      <c r="D40" s="719"/>
      <c r="E40" s="24">
        <f t="shared" si="14"/>
        <v>1</v>
      </c>
      <c r="F40" s="719"/>
      <c r="G40" s="24">
        <f t="shared" si="15"/>
        <v>1</v>
      </c>
      <c r="H40" s="719"/>
      <c r="I40" s="24">
        <f t="shared" si="16"/>
        <v>1</v>
      </c>
      <c r="J40" s="719"/>
      <c r="K40" s="24">
        <f t="shared" si="17"/>
        <v>1</v>
      </c>
      <c r="L40" s="719"/>
      <c r="M40" s="24">
        <f t="shared" si="18"/>
        <v>1</v>
      </c>
      <c r="N40" s="719"/>
      <c r="O40" s="24">
        <f t="shared" si="19"/>
        <v>1</v>
      </c>
      <c r="P40" s="719">
        <v>-1</v>
      </c>
      <c r="Q40" s="24">
        <f t="shared" si="20"/>
        <v>0.5</v>
      </c>
      <c r="R40" s="715">
        <f t="shared" si="13"/>
        <v>0.26</v>
      </c>
      <c r="S40" s="718">
        <f t="shared" si="11"/>
        <v>11.169600000000001</v>
      </c>
    </row>
    <row r="41" spans="1:19" ht="14.25">
      <c r="A41" s="3178">
        <v>-102</v>
      </c>
      <c r="B41" s="3177">
        <v>49.03</v>
      </c>
      <c r="C41" s="24">
        <f t="shared" si="12"/>
        <v>1</v>
      </c>
      <c r="D41" s="719"/>
      <c r="E41" s="24">
        <f t="shared" si="14"/>
        <v>1</v>
      </c>
      <c r="F41" s="719"/>
      <c r="G41" s="24">
        <f t="shared" si="15"/>
        <v>1</v>
      </c>
      <c r="H41" s="719"/>
      <c r="I41" s="24">
        <f t="shared" si="16"/>
        <v>1</v>
      </c>
      <c r="J41" s="719"/>
      <c r="K41" s="24">
        <f t="shared" si="17"/>
        <v>1</v>
      </c>
      <c r="L41" s="719"/>
      <c r="M41" s="24">
        <f t="shared" si="18"/>
        <v>1</v>
      </c>
      <c r="N41" s="719"/>
      <c r="O41" s="24">
        <f t="shared" si="19"/>
        <v>1</v>
      </c>
      <c r="P41" s="719">
        <v>-1</v>
      </c>
      <c r="Q41" s="24">
        <f t="shared" si="20"/>
        <v>0.5</v>
      </c>
      <c r="R41" s="715">
        <f t="shared" si="13"/>
        <v>0.26</v>
      </c>
      <c r="S41" s="718">
        <f t="shared" si="11"/>
        <v>12.7478</v>
      </c>
    </row>
    <row r="42" spans="1:19" ht="14.25">
      <c r="A42" s="3178">
        <v>-103</v>
      </c>
      <c r="B42" s="3177">
        <v>49.03</v>
      </c>
      <c r="C42" s="24">
        <f t="shared" si="12"/>
        <v>1</v>
      </c>
      <c r="D42" s="719"/>
      <c r="E42" s="24">
        <f t="shared" si="14"/>
        <v>1</v>
      </c>
      <c r="F42" s="719"/>
      <c r="G42" s="24">
        <f t="shared" si="15"/>
        <v>1</v>
      </c>
      <c r="H42" s="719"/>
      <c r="I42" s="24">
        <f t="shared" si="16"/>
        <v>1</v>
      </c>
      <c r="J42" s="719"/>
      <c r="K42" s="24">
        <f t="shared" si="17"/>
        <v>1</v>
      </c>
      <c r="L42" s="719"/>
      <c r="M42" s="24">
        <f t="shared" si="18"/>
        <v>1</v>
      </c>
      <c r="N42" s="719"/>
      <c r="O42" s="24">
        <f t="shared" si="19"/>
        <v>1</v>
      </c>
      <c r="P42" s="719">
        <v>-1</v>
      </c>
      <c r="Q42" s="24">
        <f t="shared" si="20"/>
        <v>0.5</v>
      </c>
      <c r="R42" s="715">
        <f t="shared" si="13"/>
        <v>0.26</v>
      </c>
      <c r="S42" s="718">
        <f t="shared" si="11"/>
        <v>12.7478</v>
      </c>
    </row>
    <row r="43" spans="1:19" ht="14.25">
      <c r="A43" s="3178">
        <v>-104</v>
      </c>
      <c r="B43" s="3177">
        <v>45.26</v>
      </c>
      <c r="C43" s="24">
        <f t="shared" si="12"/>
        <v>1</v>
      </c>
      <c r="D43" s="719"/>
      <c r="E43" s="24">
        <f t="shared" si="14"/>
        <v>1</v>
      </c>
      <c r="F43" s="719"/>
      <c r="G43" s="24">
        <f t="shared" si="15"/>
        <v>1</v>
      </c>
      <c r="H43" s="719"/>
      <c r="I43" s="24">
        <f t="shared" si="16"/>
        <v>1</v>
      </c>
      <c r="J43" s="719"/>
      <c r="K43" s="24">
        <f t="shared" si="17"/>
        <v>1</v>
      </c>
      <c r="L43" s="719"/>
      <c r="M43" s="24">
        <f t="shared" si="18"/>
        <v>1</v>
      </c>
      <c r="N43" s="719"/>
      <c r="O43" s="24">
        <f t="shared" si="19"/>
        <v>1</v>
      </c>
      <c r="P43" s="719">
        <v>-1</v>
      </c>
      <c r="Q43" s="24">
        <f t="shared" si="20"/>
        <v>0.5</v>
      </c>
      <c r="R43" s="715">
        <f t="shared" si="13"/>
        <v>0.26</v>
      </c>
      <c r="S43" s="718">
        <f t="shared" si="11"/>
        <v>11.7676</v>
      </c>
    </row>
    <row r="44" spans="1:19" ht="14.25">
      <c r="A44" s="3178">
        <v>-105</v>
      </c>
      <c r="B44" s="3177">
        <v>90.91</v>
      </c>
      <c r="C44" s="24">
        <f t="shared" si="12"/>
        <v>0.99</v>
      </c>
      <c r="D44" s="719"/>
      <c r="E44" s="24">
        <f t="shared" si="14"/>
        <v>1</v>
      </c>
      <c r="F44" s="719"/>
      <c r="G44" s="24">
        <f t="shared" si="15"/>
        <v>1</v>
      </c>
      <c r="H44" s="719"/>
      <c r="I44" s="24">
        <f t="shared" si="16"/>
        <v>1</v>
      </c>
      <c r="J44" s="719"/>
      <c r="K44" s="24">
        <f t="shared" si="17"/>
        <v>1</v>
      </c>
      <c r="L44" s="719"/>
      <c r="M44" s="24">
        <f t="shared" si="18"/>
        <v>1</v>
      </c>
      <c r="N44" s="719"/>
      <c r="O44" s="24">
        <f t="shared" si="19"/>
        <v>1</v>
      </c>
      <c r="P44" s="719">
        <v>-1</v>
      </c>
      <c r="Q44" s="24">
        <f t="shared" si="20"/>
        <v>0.5</v>
      </c>
      <c r="R44" s="715">
        <f t="shared" si="13"/>
        <v>0.26</v>
      </c>
      <c r="S44" s="718">
        <f t="shared" si="11"/>
        <v>23.636600000000001</v>
      </c>
    </row>
    <row r="45" spans="1:19" ht="14.25">
      <c r="A45" s="3177">
        <v>101</v>
      </c>
      <c r="B45" s="3177">
        <v>45.95</v>
      </c>
      <c r="C45" s="24">
        <f t="shared" si="12"/>
        <v>1</v>
      </c>
      <c r="D45" s="719"/>
      <c r="E45" s="24">
        <f t="shared" si="14"/>
        <v>1</v>
      </c>
      <c r="F45" s="719"/>
      <c r="G45" s="24">
        <f t="shared" si="15"/>
        <v>1</v>
      </c>
      <c r="H45" s="719"/>
      <c r="I45" s="24">
        <f t="shared" si="16"/>
        <v>1</v>
      </c>
      <c r="J45" s="719"/>
      <c r="K45" s="24">
        <f t="shared" si="17"/>
        <v>1</v>
      </c>
      <c r="L45" s="719"/>
      <c r="M45" s="24">
        <f t="shared" si="18"/>
        <v>1</v>
      </c>
      <c r="N45" s="719"/>
      <c r="O45" s="24">
        <f t="shared" si="19"/>
        <v>1</v>
      </c>
      <c r="P45" s="719">
        <v>1</v>
      </c>
      <c r="Q45" s="24">
        <f t="shared" si="20"/>
        <v>1</v>
      </c>
      <c r="R45" s="715">
        <f t="shared" si="13"/>
        <v>0.52</v>
      </c>
      <c r="S45" s="718">
        <f t="shared" si="11"/>
        <v>23.893999999999998</v>
      </c>
    </row>
    <row r="46" spans="1:19" ht="14.25">
      <c r="A46" s="3177">
        <v>102</v>
      </c>
      <c r="B46" s="3177">
        <v>68.989999999999995</v>
      </c>
      <c r="C46" s="24">
        <f t="shared" si="12"/>
        <v>0.99</v>
      </c>
      <c r="D46" s="719"/>
      <c r="E46" s="24">
        <f t="shared" si="14"/>
        <v>1</v>
      </c>
      <c r="F46" s="719"/>
      <c r="G46" s="24">
        <f t="shared" si="15"/>
        <v>1</v>
      </c>
      <c r="H46" s="719"/>
      <c r="I46" s="24">
        <f t="shared" si="16"/>
        <v>1</v>
      </c>
      <c r="J46" s="719"/>
      <c r="K46" s="24">
        <f t="shared" si="17"/>
        <v>1</v>
      </c>
      <c r="L46" s="719"/>
      <c r="M46" s="24">
        <f t="shared" si="18"/>
        <v>1</v>
      </c>
      <c r="N46" s="719"/>
      <c r="O46" s="24">
        <f t="shared" si="19"/>
        <v>1</v>
      </c>
      <c r="P46" s="719">
        <v>1</v>
      </c>
      <c r="Q46" s="24">
        <f t="shared" si="20"/>
        <v>1</v>
      </c>
      <c r="R46" s="715">
        <f t="shared" si="13"/>
        <v>0.51</v>
      </c>
      <c r="S46" s="718">
        <f t="shared" si="11"/>
        <v>35.184899999999999</v>
      </c>
    </row>
    <row r="47" spans="1:19" ht="14.25">
      <c r="A47" s="3177">
        <v>103</v>
      </c>
      <c r="B47" s="3177">
        <v>31.91</v>
      </c>
      <c r="C47" s="24">
        <f t="shared" si="12"/>
        <v>1</v>
      </c>
      <c r="D47" s="719"/>
      <c r="E47" s="24">
        <f t="shared" si="14"/>
        <v>1</v>
      </c>
      <c r="F47" s="719"/>
      <c r="G47" s="24">
        <f t="shared" si="15"/>
        <v>1</v>
      </c>
      <c r="H47" s="719"/>
      <c r="I47" s="24">
        <f t="shared" si="16"/>
        <v>1</v>
      </c>
      <c r="J47" s="719"/>
      <c r="K47" s="24">
        <f t="shared" si="17"/>
        <v>1</v>
      </c>
      <c r="L47" s="719"/>
      <c r="M47" s="24">
        <f t="shared" si="18"/>
        <v>1</v>
      </c>
      <c r="N47" s="719"/>
      <c r="O47" s="24">
        <f t="shared" si="19"/>
        <v>1</v>
      </c>
      <c r="P47" s="719">
        <v>1</v>
      </c>
      <c r="Q47" s="24">
        <f t="shared" si="20"/>
        <v>1</v>
      </c>
      <c r="R47" s="715">
        <f t="shared" si="13"/>
        <v>0.52</v>
      </c>
      <c r="S47" s="718">
        <f t="shared" si="11"/>
        <v>16.5932</v>
      </c>
    </row>
    <row r="48" spans="1:19" ht="14.25">
      <c r="A48" s="3177">
        <v>104</v>
      </c>
      <c r="B48" s="3177">
        <v>68.989999999999995</v>
      </c>
      <c r="C48" s="24">
        <f t="shared" si="12"/>
        <v>0.99</v>
      </c>
      <c r="D48" s="719"/>
      <c r="E48" s="24">
        <f t="shared" si="14"/>
        <v>1</v>
      </c>
      <c r="F48" s="719"/>
      <c r="G48" s="24">
        <f t="shared" si="15"/>
        <v>1</v>
      </c>
      <c r="H48" s="719"/>
      <c r="I48" s="24">
        <f t="shared" si="16"/>
        <v>1</v>
      </c>
      <c r="J48" s="719"/>
      <c r="K48" s="24">
        <f t="shared" si="17"/>
        <v>1</v>
      </c>
      <c r="L48" s="719"/>
      <c r="M48" s="24">
        <f t="shared" si="18"/>
        <v>1</v>
      </c>
      <c r="N48" s="719"/>
      <c r="O48" s="24">
        <f t="shared" si="19"/>
        <v>1</v>
      </c>
      <c r="P48" s="719">
        <v>1</v>
      </c>
      <c r="Q48" s="24">
        <f t="shared" si="20"/>
        <v>1</v>
      </c>
      <c r="R48" s="715">
        <f t="shared" si="13"/>
        <v>0.51</v>
      </c>
      <c r="S48" s="718">
        <f t="shared" si="11"/>
        <v>35.184899999999999</v>
      </c>
    </row>
    <row r="49" spans="1:19" ht="14.25">
      <c r="A49" s="3177">
        <v>105</v>
      </c>
      <c r="B49" s="3177">
        <v>45.95</v>
      </c>
      <c r="C49" s="24">
        <f t="shared" si="12"/>
        <v>1</v>
      </c>
      <c r="D49" s="719"/>
      <c r="E49" s="24">
        <f t="shared" si="14"/>
        <v>1</v>
      </c>
      <c r="F49" s="719"/>
      <c r="G49" s="24">
        <f t="shared" si="15"/>
        <v>1</v>
      </c>
      <c r="H49" s="719"/>
      <c r="I49" s="24">
        <f t="shared" si="16"/>
        <v>1</v>
      </c>
      <c r="J49" s="719"/>
      <c r="K49" s="24">
        <f t="shared" si="17"/>
        <v>1</v>
      </c>
      <c r="L49" s="719"/>
      <c r="M49" s="24">
        <f t="shared" si="18"/>
        <v>1</v>
      </c>
      <c r="N49" s="719"/>
      <c r="O49" s="24">
        <f t="shared" si="19"/>
        <v>1</v>
      </c>
      <c r="P49" s="719">
        <v>1</v>
      </c>
      <c r="Q49" s="24">
        <f t="shared" si="20"/>
        <v>1</v>
      </c>
      <c r="R49" s="715">
        <f t="shared" si="13"/>
        <v>0.52</v>
      </c>
      <c r="S49" s="718">
        <f t="shared" si="11"/>
        <v>23.893999999999998</v>
      </c>
    </row>
    <row r="50" spans="1:19" ht="14.25">
      <c r="A50" s="3178">
        <v>-101</v>
      </c>
      <c r="B50" s="3177">
        <v>44.54</v>
      </c>
      <c r="C50" s="24">
        <f t="shared" si="12"/>
        <v>1</v>
      </c>
      <c r="D50" s="719"/>
      <c r="E50" s="24">
        <f t="shared" si="14"/>
        <v>1</v>
      </c>
      <c r="F50" s="719"/>
      <c r="G50" s="24">
        <f t="shared" si="15"/>
        <v>1</v>
      </c>
      <c r="H50" s="719"/>
      <c r="I50" s="24">
        <f t="shared" si="16"/>
        <v>1</v>
      </c>
      <c r="J50" s="719"/>
      <c r="K50" s="24">
        <f t="shared" si="17"/>
        <v>1</v>
      </c>
      <c r="L50" s="719"/>
      <c r="M50" s="24">
        <f t="shared" si="18"/>
        <v>1</v>
      </c>
      <c r="N50" s="719"/>
      <c r="O50" s="24">
        <f t="shared" si="19"/>
        <v>1</v>
      </c>
      <c r="P50" s="719">
        <v>-1</v>
      </c>
      <c r="Q50" s="24">
        <f t="shared" si="20"/>
        <v>0.5</v>
      </c>
      <c r="R50" s="715">
        <f t="shared" si="13"/>
        <v>0.26</v>
      </c>
      <c r="S50" s="718">
        <f t="shared" si="11"/>
        <v>11.580399999999999</v>
      </c>
    </row>
    <row r="51" spans="1:19" ht="14.25">
      <c r="A51" s="3178">
        <v>-102</v>
      </c>
      <c r="B51" s="3177">
        <v>66.31</v>
      </c>
      <c r="C51" s="24">
        <f t="shared" si="12"/>
        <v>0.99</v>
      </c>
      <c r="D51" s="719"/>
      <c r="E51" s="24">
        <f t="shared" si="14"/>
        <v>1</v>
      </c>
      <c r="F51" s="719"/>
      <c r="G51" s="24">
        <f t="shared" si="15"/>
        <v>1</v>
      </c>
      <c r="H51" s="719"/>
      <c r="I51" s="24">
        <f t="shared" si="16"/>
        <v>1</v>
      </c>
      <c r="J51" s="719"/>
      <c r="K51" s="24">
        <f t="shared" si="17"/>
        <v>1</v>
      </c>
      <c r="L51" s="719"/>
      <c r="M51" s="24">
        <f t="shared" si="18"/>
        <v>1</v>
      </c>
      <c r="N51" s="719"/>
      <c r="O51" s="24">
        <f t="shared" si="19"/>
        <v>1</v>
      </c>
      <c r="P51" s="719">
        <v>-1</v>
      </c>
      <c r="Q51" s="24">
        <f t="shared" si="20"/>
        <v>0.5</v>
      </c>
      <c r="R51" s="715">
        <f t="shared" si="13"/>
        <v>0.26</v>
      </c>
      <c r="S51" s="718">
        <f t="shared" si="11"/>
        <v>17.240600000000001</v>
      </c>
    </row>
    <row r="52" spans="1:19" ht="14.25">
      <c r="A52" s="3178">
        <v>-105</v>
      </c>
      <c r="B52" s="3177">
        <v>76.89</v>
      </c>
      <c r="C52" s="24">
        <f t="shared" si="12"/>
        <v>0.99</v>
      </c>
      <c r="D52" s="719"/>
      <c r="E52" s="24">
        <f t="shared" si="14"/>
        <v>1</v>
      </c>
      <c r="F52" s="719"/>
      <c r="G52" s="24">
        <f t="shared" si="15"/>
        <v>1</v>
      </c>
      <c r="H52" s="719"/>
      <c r="I52" s="24">
        <f t="shared" si="16"/>
        <v>1</v>
      </c>
      <c r="J52" s="719"/>
      <c r="K52" s="24">
        <f t="shared" si="17"/>
        <v>1</v>
      </c>
      <c r="L52" s="719"/>
      <c r="M52" s="24">
        <f t="shared" si="18"/>
        <v>1</v>
      </c>
      <c r="N52" s="719"/>
      <c r="O52" s="24">
        <f t="shared" si="19"/>
        <v>1</v>
      </c>
      <c r="P52" s="719">
        <v>-1</v>
      </c>
      <c r="Q52" s="24">
        <f t="shared" si="20"/>
        <v>0.5</v>
      </c>
      <c r="R52" s="715">
        <f t="shared" si="13"/>
        <v>0.26</v>
      </c>
      <c r="S52" s="718">
        <f t="shared" si="11"/>
        <v>19.991399999999999</v>
      </c>
    </row>
    <row r="53" spans="1:19" ht="14.25">
      <c r="A53" s="3177">
        <v>101</v>
      </c>
      <c r="B53" s="3177">
        <v>18.260000000000002</v>
      </c>
      <c r="C53" s="24">
        <f t="shared" si="12"/>
        <v>1</v>
      </c>
      <c r="D53" s="719"/>
      <c r="E53" s="24">
        <f t="shared" si="14"/>
        <v>1</v>
      </c>
      <c r="F53" s="719"/>
      <c r="G53" s="24">
        <f t="shared" si="15"/>
        <v>1</v>
      </c>
      <c r="H53" s="719"/>
      <c r="I53" s="24">
        <f t="shared" si="16"/>
        <v>1</v>
      </c>
      <c r="J53" s="719"/>
      <c r="K53" s="24">
        <f t="shared" si="17"/>
        <v>1</v>
      </c>
      <c r="L53" s="719"/>
      <c r="M53" s="24">
        <f t="shared" si="18"/>
        <v>1</v>
      </c>
      <c r="N53" s="719"/>
      <c r="O53" s="24">
        <f t="shared" si="19"/>
        <v>1</v>
      </c>
      <c r="P53" s="719">
        <v>1</v>
      </c>
      <c r="Q53" s="24">
        <f t="shared" si="20"/>
        <v>1</v>
      </c>
      <c r="R53" s="715">
        <f t="shared" si="13"/>
        <v>0.52</v>
      </c>
      <c r="S53" s="718">
        <f t="shared" si="11"/>
        <v>9.4952000000000005</v>
      </c>
    </row>
    <row r="54" spans="1:19" ht="14.25">
      <c r="A54" s="3177">
        <v>102</v>
      </c>
      <c r="B54" s="3177">
        <v>28.13</v>
      </c>
      <c r="C54" s="24">
        <f t="shared" si="12"/>
        <v>1</v>
      </c>
      <c r="D54" s="719"/>
      <c r="E54" s="24">
        <f t="shared" si="14"/>
        <v>1</v>
      </c>
      <c r="F54" s="719"/>
      <c r="G54" s="24">
        <f t="shared" si="15"/>
        <v>1</v>
      </c>
      <c r="H54" s="719"/>
      <c r="I54" s="24">
        <f t="shared" si="16"/>
        <v>1</v>
      </c>
      <c r="J54" s="719"/>
      <c r="K54" s="24">
        <f t="shared" si="17"/>
        <v>1</v>
      </c>
      <c r="L54" s="719"/>
      <c r="M54" s="24">
        <f t="shared" si="18"/>
        <v>1</v>
      </c>
      <c r="N54" s="719"/>
      <c r="O54" s="24">
        <f t="shared" si="19"/>
        <v>1</v>
      </c>
      <c r="P54" s="719">
        <v>1</v>
      </c>
      <c r="Q54" s="24">
        <f t="shared" si="20"/>
        <v>1</v>
      </c>
      <c r="R54" s="715">
        <f t="shared" si="13"/>
        <v>0.52</v>
      </c>
      <c r="S54" s="718">
        <f t="shared" si="11"/>
        <v>14.627599999999999</v>
      </c>
    </row>
    <row r="55" spans="1:19" ht="14.25">
      <c r="A55" s="3177">
        <v>103</v>
      </c>
      <c r="B55" s="3177">
        <v>32.31</v>
      </c>
      <c r="C55" s="24">
        <f t="shared" si="12"/>
        <v>1</v>
      </c>
      <c r="D55" s="719"/>
      <c r="E55" s="24">
        <f t="shared" si="14"/>
        <v>1</v>
      </c>
      <c r="F55" s="719"/>
      <c r="G55" s="24">
        <f t="shared" si="15"/>
        <v>1</v>
      </c>
      <c r="H55" s="719"/>
      <c r="I55" s="24">
        <f t="shared" si="16"/>
        <v>1</v>
      </c>
      <c r="J55" s="719"/>
      <c r="K55" s="24">
        <f t="shared" si="17"/>
        <v>1</v>
      </c>
      <c r="L55" s="719"/>
      <c r="M55" s="24">
        <f t="shared" si="18"/>
        <v>1</v>
      </c>
      <c r="N55" s="719"/>
      <c r="O55" s="24">
        <f t="shared" si="19"/>
        <v>1</v>
      </c>
      <c r="P55" s="719">
        <v>1</v>
      </c>
      <c r="Q55" s="24">
        <f t="shared" si="20"/>
        <v>1</v>
      </c>
      <c r="R55" s="715">
        <f t="shared" si="13"/>
        <v>0.52</v>
      </c>
      <c r="S55" s="718">
        <f t="shared" si="11"/>
        <v>16.801200000000001</v>
      </c>
    </row>
    <row r="56" spans="1:19" ht="14.25">
      <c r="A56" s="3177">
        <v>104</v>
      </c>
      <c r="B56" s="3177">
        <v>29.65</v>
      </c>
      <c r="C56" s="24">
        <f t="shared" si="12"/>
        <v>1</v>
      </c>
      <c r="D56" s="719"/>
      <c r="E56" s="24">
        <f t="shared" si="14"/>
        <v>1</v>
      </c>
      <c r="F56" s="719"/>
      <c r="G56" s="24">
        <f t="shared" si="15"/>
        <v>1</v>
      </c>
      <c r="H56" s="719"/>
      <c r="I56" s="24">
        <f t="shared" si="16"/>
        <v>1</v>
      </c>
      <c r="J56" s="719"/>
      <c r="K56" s="24">
        <f t="shared" si="17"/>
        <v>1</v>
      </c>
      <c r="L56" s="719"/>
      <c r="M56" s="24">
        <f t="shared" si="18"/>
        <v>1</v>
      </c>
      <c r="N56" s="719"/>
      <c r="O56" s="24">
        <f t="shared" si="19"/>
        <v>1</v>
      </c>
      <c r="P56" s="719">
        <v>1</v>
      </c>
      <c r="Q56" s="24">
        <f t="shared" si="20"/>
        <v>1</v>
      </c>
      <c r="R56" s="715">
        <f t="shared" si="13"/>
        <v>0.52</v>
      </c>
      <c r="S56" s="718">
        <f t="shared" ref="S56:S87" si="21">ROUND(R56*B56,4)</f>
        <v>15.417999999999999</v>
      </c>
    </row>
    <row r="57" spans="1:19" ht="14.25">
      <c r="A57" s="3177">
        <v>105</v>
      </c>
      <c r="B57" s="3177">
        <v>41.24</v>
      </c>
      <c r="C57" s="24">
        <f t="shared" si="12"/>
        <v>1</v>
      </c>
      <c r="D57" s="719"/>
      <c r="E57" s="24">
        <f t="shared" si="14"/>
        <v>1</v>
      </c>
      <c r="F57" s="719"/>
      <c r="G57" s="24">
        <f t="shared" si="15"/>
        <v>1</v>
      </c>
      <c r="H57" s="719"/>
      <c r="I57" s="24">
        <f t="shared" si="16"/>
        <v>1</v>
      </c>
      <c r="J57" s="719"/>
      <c r="K57" s="24">
        <f t="shared" si="17"/>
        <v>1</v>
      </c>
      <c r="L57" s="719"/>
      <c r="M57" s="24">
        <f t="shared" si="18"/>
        <v>1</v>
      </c>
      <c r="N57" s="719"/>
      <c r="O57" s="24">
        <f t="shared" si="19"/>
        <v>1</v>
      </c>
      <c r="P57" s="719">
        <v>1</v>
      </c>
      <c r="Q57" s="24">
        <f t="shared" si="20"/>
        <v>1</v>
      </c>
      <c r="R57" s="715">
        <f t="shared" ref="R57:R88" si="22">IF(B57="",0,ROUND($R$24*C57*E57*G57*I57*K57*M57*O57*Q57,2))</f>
        <v>0.52</v>
      </c>
      <c r="S57" s="718">
        <f t="shared" si="21"/>
        <v>21.444800000000001</v>
      </c>
    </row>
    <row r="58" spans="1:19" ht="14.25">
      <c r="A58" s="3177">
        <v>106</v>
      </c>
      <c r="B58" s="3177">
        <v>46.87</v>
      </c>
      <c r="C58" s="24">
        <f t="shared" si="12"/>
        <v>1</v>
      </c>
      <c r="D58" s="719"/>
      <c r="E58" s="24">
        <f t="shared" si="14"/>
        <v>1</v>
      </c>
      <c r="F58" s="719"/>
      <c r="G58" s="24">
        <f t="shared" si="15"/>
        <v>1</v>
      </c>
      <c r="H58" s="719"/>
      <c r="I58" s="24">
        <f t="shared" si="16"/>
        <v>1</v>
      </c>
      <c r="J58" s="719"/>
      <c r="K58" s="24">
        <f t="shared" si="17"/>
        <v>1</v>
      </c>
      <c r="L58" s="719"/>
      <c r="M58" s="24">
        <f t="shared" si="18"/>
        <v>1</v>
      </c>
      <c r="N58" s="719"/>
      <c r="O58" s="24">
        <f t="shared" si="19"/>
        <v>1</v>
      </c>
      <c r="P58" s="719">
        <v>1</v>
      </c>
      <c r="Q58" s="24">
        <f t="shared" si="20"/>
        <v>1</v>
      </c>
      <c r="R58" s="715">
        <f t="shared" si="22"/>
        <v>0.52</v>
      </c>
      <c r="S58" s="718">
        <f t="shared" si="21"/>
        <v>24.372399999999999</v>
      </c>
    </row>
    <row r="59" spans="1:19" ht="14.25">
      <c r="A59" s="3177">
        <v>101</v>
      </c>
      <c r="B59" s="3177">
        <v>51.47</v>
      </c>
      <c r="C59" s="24">
        <f t="shared" si="12"/>
        <v>1</v>
      </c>
      <c r="D59" s="719"/>
      <c r="E59" s="24">
        <f t="shared" si="14"/>
        <v>1</v>
      </c>
      <c r="F59" s="719"/>
      <c r="G59" s="24">
        <f t="shared" si="15"/>
        <v>1</v>
      </c>
      <c r="H59" s="719"/>
      <c r="I59" s="24">
        <f t="shared" si="16"/>
        <v>1</v>
      </c>
      <c r="J59" s="719"/>
      <c r="K59" s="24">
        <f t="shared" si="17"/>
        <v>1</v>
      </c>
      <c r="L59" s="719"/>
      <c r="M59" s="24">
        <f t="shared" si="18"/>
        <v>1</v>
      </c>
      <c r="N59" s="719"/>
      <c r="O59" s="24">
        <f t="shared" si="19"/>
        <v>1</v>
      </c>
      <c r="P59" s="719">
        <v>1</v>
      </c>
      <c r="Q59" s="24">
        <f t="shared" si="20"/>
        <v>1</v>
      </c>
      <c r="R59" s="715">
        <f t="shared" si="22"/>
        <v>0.52</v>
      </c>
      <c r="S59" s="718">
        <f t="shared" si="21"/>
        <v>26.764399999999998</v>
      </c>
    </row>
    <row r="60" spans="1:19" ht="14.25">
      <c r="A60" s="3177">
        <v>102</v>
      </c>
      <c r="B60" s="3177">
        <v>68.25</v>
      </c>
      <c r="C60" s="24">
        <f t="shared" si="12"/>
        <v>0.99</v>
      </c>
      <c r="D60" s="719"/>
      <c r="E60" s="24">
        <f t="shared" si="14"/>
        <v>1</v>
      </c>
      <c r="F60" s="719"/>
      <c r="G60" s="24">
        <f t="shared" si="15"/>
        <v>1</v>
      </c>
      <c r="H60" s="719"/>
      <c r="I60" s="24">
        <f t="shared" si="16"/>
        <v>1</v>
      </c>
      <c r="J60" s="719"/>
      <c r="K60" s="24">
        <f t="shared" si="17"/>
        <v>1</v>
      </c>
      <c r="L60" s="719"/>
      <c r="M60" s="24">
        <f t="shared" si="18"/>
        <v>1</v>
      </c>
      <c r="N60" s="719"/>
      <c r="O60" s="24">
        <f t="shared" si="19"/>
        <v>1</v>
      </c>
      <c r="P60" s="719">
        <v>1</v>
      </c>
      <c r="Q60" s="24">
        <f t="shared" si="20"/>
        <v>1</v>
      </c>
      <c r="R60" s="715">
        <f t="shared" si="22"/>
        <v>0.51</v>
      </c>
      <c r="S60" s="718">
        <f t="shared" si="21"/>
        <v>34.807499999999997</v>
      </c>
    </row>
    <row r="61" spans="1:19" ht="14.25">
      <c r="A61" s="3177">
        <v>103</v>
      </c>
      <c r="B61" s="3177">
        <v>46.83</v>
      </c>
      <c r="C61" s="24">
        <f t="shared" si="12"/>
        <v>1</v>
      </c>
      <c r="D61" s="719"/>
      <c r="E61" s="24">
        <f t="shared" si="14"/>
        <v>1</v>
      </c>
      <c r="F61" s="719"/>
      <c r="G61" s="24">
        <f t="shared" si="15"/>
        <v>1</v>
      </c>
      <c r="H61" s="719"/>
      <c r="I61" s="24">
        <f t="shared" si="16"/>
        <v>1</v>
      </c>
      <c r="J61" s="719"/>
      <c r="K61" s="24">
        <f t="shared" si="17"/>
        <v>1</v>
      </c>
      <c r="L61" s="719"/>
      <c r="M61" s="24">
        <f t="shared" si="18"/>
        <v>1</v>
      </c>
      <c r="N61" s="719"/>
      <c r="O61" s="24">
        <f t="shared" si="19"/>
        <v>1</v>
      </c>
      <c r="P61" s="719">
        <v>1</v>
      </c>
      <c r="Q61" s="24">
        <f t="shared" si="20"/>
        <v>1</v>
      </c>
      <c r="R61" s="715">
        <f t="shared" si="22"/>
        <v>0.52</v>
      </c>
      <c r="S61" s="718">
        <f t="shared" si="21"/>
        <v>24.351600000000001</v>
      </c>
    </row>
    <row r="62" spans="1:19" ht="14.25">
      <c r="A62" s="3177">
        <v>-101</v>
      </c>
      <c r="B62" s="3177">
        <v>45.38</v>
      </c>
      <c r="C62" s="24">
        <f t="shared" si="12"/>
        <v>1</v>
      </c>
      <c r="D62" s="719"/>
      <c r="E62" s="24">
        <f t="shared" si="14"/>
        <v>1</v>
      </c>
      <c r="F62" s="719"/>
      <c r="G62" s="24">
        <f t="shared" si="15"/>
        <v>1</v>
      </c>
      <c r="H62" s="719"/>
      <c r="I62" s="24">
        <f t="shared" si="16"/>
        <v>1</v>
      </c>
      <c r="J62" s="719"/>
      <c r="K62" s="24">
        <f t="shared" si="17"/>
        <v>1</v>
      </c>
      <c r="L62" s="719"/>
      <c r="M62" s="24">
        <f t="shared" si="18"/>
        <v>1</v>
      </c>
      <c r="N62" s="719"/>
      <c r="O62" s="24">
        <f t="shared" si="19"/>
        <v>1</v>
      </c>
      <c r="P62" s="719">
        <v>-1</v>
      </c>
      <c r="Q62" s="24">
        <f t="shared" si="20"/>
        <v>0.5</v>
      </c>
      <c r="R62" s="715">
        <f t="shared" si="22"/>
        <v>0.26</v>
      </c>
      <c r="S62" s="718">
        <f t="shared" si="21"/>
        <v>11.7988</v>
      </c>
    </row>
    <row r="63" spans="1:19" ht="14.25">
      <c r="A63" s="3177">
        <v>-102</v>
      </c>
      <c r="B63" s="3177">
        <v>67.63</v>
      </c>
      <c r="C63" s="24">
        <f t="shared" si="12"/>
        <v>0.99</v>
      </c>
      <c r="D63" s="719"/>
      <c r="E63" s="24">
        <f t="shared" si="14"/>
        <v>1</v>
      </c>
      <c r="F63" s="719"/>
      <c r="G63" s="24">
        <f t="shared" si="15"/>
        <v>1</v>
      </c>
      <c r="H63" s="719"/>
      <c r="I63" s="24">
        <f t="shared" si="16"/>
        <v>1</v>
      </c>
      <c r="J63" s="719"/>
      <c r="K63" s="24">
        <f t="shared" si="17"/>
        <v>1</v>
      </c>
      <c r="L63" s="719"/>
      <c r="M63" s="24">
        <f t="shared" si="18"/>
        <v>1</v>
      </c>
      <c r="N63" s="719"/>
      <c r="O63" s="24">
        <f t="shared" si="19"/>
        <v>1</v>
      </c>
      <c r="P63" s="719">
        <v>-1</v>
      </c>
      <c r="Q63" s="24">
        <f t="shared" si="20"/>
        <v>0.5</v>
      </c>
      <c r="R63" s="715">
        <f t="shared" si="22"/>
        <v>0.26</v>
      </c>
      <c r="S63" s="718">
        <f t="shared" si="21"/>
        <v>17.5838</v>
      </c>
    </row>
    <row r="64" spans="1:19" ht="14.25">
      <c r="A64" s="3177">
        <v>-103</v>
      </c>
      <c r="B64" s="3177">
        <v>127.16</v>
      </c>
      <c r="C64" s="24">
        <f t="shared" si="12"/>
        <v>0.98</v>
      </c>
      <c r="D64" s="719"/>
      <c r="E64" s="24">
        <f t="shared" si="14"/>
        <v>1</v>
      </c>
      <c r="F64" s="719"/>
      <c r="G64" s="24">
        <f t="shared" si="15"/>
        <v>1</v>
      </c>
      <c r="H64" s="719"/>
      <c r="I64" s="24">
        <f t="shared" si="16"/>
        <v>1</v>
      </c>
      <c r="J64" s="719"/>
      <c r="K64" s="24">
        <f t="shared" si="17"/>
        <v>1</v>
      </c>
      <c r="L64" s="719"/>
      <c r="M64" s="24">
        <f t="shared" si="18"/>
        <v>1</v>
      </c>
      <c r="N64" s="719"/>
      <c r="O64" s="24">
        <f t="shared" si="19"/>
        <v>1</v>
      </c>
      <c r="P64" s="719">
        <v>-1</v>
      </c>
      <c r="Q64" s="24">
        <f t="shared" si="20"/>
        <v>0.5</v>
      </c>
      <c r="R64" s="715">
        <f t="shared" si="22"/>
        <v>0.25</v>
      </c>
      <c r="S64" s="718">
        <f t="shared" si="21"/>
        <v>31.79</v>
      </c>
    </row>
    <row r="65" spans="1:19" ht="14.25">
      <c r="A65" s="3177">
        <v>-104</v>
      </c>
      <c r="B65" s="3177">
        <v>68.45</v>
      </c>
      <c r="C65" s="24">
        <f t="shared" si="12"/>
        <v>0.99</v>
      </c>
      <c r="D65" s="719"/>
      <c r="E65" s="24">
        <f t="shared" si="14"/>
        <v>1</v>
      </c>
      <c r="F65" s="719"/>
      <c r="G65" s="24">
        <f t="shared" si="15"/>
        <v>1</v>
      </c>
      <c r="H65" s="719"/>
      <c r="I65" s="24">
        <f t="shared" si="16"/>
        <v>1</v>
      </c>
      <c r="J65" s="719"/>
      <c r="K65" s="24">
        <f t="shared" si="17"/>
        <v>1</v>
      </c>
      <c r="L65" s="719"/>
      <c r="M65" s="24">
        <f t="shared" si="18"/>
        <v>1</v>
      </c>
      <c r="N65" s="719"/>
      <c r="O65" s="24">
        <f t="shared" si="19"/>
        <v>1</v>
      </c>
      <c r="P65" s="719">
        <v>-1</v>
      </c>
      <c r="Q65" s="24">
        <f t="shared" si="20"/>
        <v>0.5</v>
      </c>
      <c r="R65" s="715">
        <f t="shared" si="22"/>
        <v>0.26</v>
      </c>
      <c r="S65" s="718">
        <f t="shared" si="21"/>
        <v>17.797000000000001</v>
      </c>
    </row>
    <row r="66" spans="1:19" ht="14.25">
      <c r="A66" s="3177">
        <v>-101</v>
      </c>
      <c r="B66" s="3177">
        <v>37.880000000000003</v>
      </c>
      <c r="C66" s="24">
        <f t="shared" si="12"/>
        <v>1</v>
      </c>
      <c r="D66" s="719"/>
      <c r="E66" s="24">
        <f t="shared" si="14"/>
        <v>1</v>
      </c>
      <c r="F66" s="719"/>
      <c r="G66" s="24">
        <f t="shared" si="15"/>
        <v>1</v>
      </c>
      <c r="H66" s="719"/>
      <c r="I66" s="24">
        <f t="shared" si="16"/>
        <v>1</v>
      </c>
      <c r="J66" s="719"/>
      <c r="K66" s="24">
        <f t="shared" si="17"/>
        <v>1</v>
      </c>
      <c r="L66" s="719"/>
      <c r="M66" s="24">
        <f t="shared" si="18"/>
        <v>1</v>
      </c>
      <c r="N66" s="719"/>
      <c r="O66" s="24">
        <f t="shared" si="19"/>
        <v>1</v>
      </c>
      <c r="P66" s="719">
        <v>-1</v>
      </c>
      <c r="Q66" s="24">
        <f t="shared" si="20"/>
        <v>0.5</v>
      </c>
      <c r="R66" s="715">
        <f t="shared" si="22"/>
        <v>0.26</v>
      </c>
      <c r="S66" s="718">
        <f t="shared" si="21"/>
        <v>9.8488000000000007</v>
      </c>
    </row>
    <row r="67" spans="1:19" ht="14.25">
      <c r="A67" s="3177">
        <v>-102</v>
      </c>
      <c r="B67" s="3177">
        <v>67.989999999999995</v>
      </c>
      <c r="C67" s="24">
        <f t="shared" si="12"/>
        <v>0.99</v>
      </c>
      <c r="D67" s="719"/>
      <c r="E67" s="24">
        <f t="shared" si="14"/>
        <v>1</v>
      </c>
      <c r="F67" s="719"/>
      <c r="G67" s="24">
        <f t="shared" si="15"/>
        <v>1</v>
      </c>
      <c r="H67" s="719"/>
      <c r="I67" s="24">
        <f t="shared" si="16"/>
        <v>1</v>
      </c>
      <c r="J67" s="719"/>
      <c r="K67" s="24">
        <f t="shared" si="17"/>
        <v>1</v>
      </c>
      <c r="L67" s="719"/>
      <c r="M67" s="24">
        <f t="shared" si="18"/>
        <v>1</v>
      </c>
      <c r="N67" s="719"/>
      <c r="O67" s="24">
        <f t="shared" si="19"/>
        <v>1</v>
      </c>
      <c r="P67" s="719">
        <v>-1</v>
      </c>
      <c r="Q67" s="24">
        <f t="shared" si="20"/>
        <v>0.5</v>
      </c>
      <c r="R67" s="715">
        <f t="shared" si="22"/>
        <v>0.26</v>
      </c>
      <c r="S67" s="718">
        <f t="shared" si="21"/>
        <v>17.677399999999999</v>
      </c>
    </row>
    <row r="68" spans="1:19" ht="14.25">
      <c r="A68" s="3177">
        <v>-105</v>
      </c>
      <c r="B68" s="3177">
        <v>78.84</v>
      </c>
      <c r="C68" s="24">
        <f t="shared" si="12"/>
        <v>0.99</v>
      </c>
      <c r="D68" s="719"/>
      <c r="E68" s="24">
        <f t="shared" si="14"/>
        <v>1</v>
      </c>
      <c r="F68" s="719"/>
      <c r="G68" s="24">
        <f t="shared" si="15"/>
        <v>1</v>
      </c>
      <c r="H68" s="719"/>
      <c r="I68" s="24">
        <f t="shared" si="16"/>
        <v>1</v>
      </c>
      <c r="J68" s="719"/>
      <c r="K68" s="24">
        <f t="shared" si="17"/>
        <v>1</v>
      </c>
      <c r="L68" s="719"/>
      <c r="M68" s="24">
        <f t="shared" si="18"/>
        <v>1</v>
      </c>
      <c r="N68" s="719"/>
      <c r="O68" s="24">
        <f t="shared" si="19"/>
        <v>1</v>
      </c>
      <c r="P68" s="719">
        <v>-1</v>
      </c>
      <c r="Q68" s="24">
        <f t="shared" si="20"/>
        <v>0.5</v>
      </c>
      <c r="R68" s="715">
        <f t="shared" si="22"/>
        <v>0.26</v>
      </c>
      <c r="S68" s="718">
        <f t="shared" si="21"/>
        <v>20.4984</v>
      </c>
    </row>
    <row r="69" spans="1:19">
      <c r="A69" s="158"/>
      <c r="B69" s="59"/>
      <c r="C69" s="24">
        <f t="shared" si="12"/>
        <v>1</v>
      </c>
      <c r="D69" s="719"/>
      <c r="E69" s="24">
        <f t="shared" si="14"/>
        <v>1</v>
      </c>
      <c r="F69" s="719"/>
      <c r="G69" s="24">
        <f t="shared" si="15"/>
        <v>1</v>
      </c>
      <c r="H69" s="719"/>
      <c r="I69" s="24">
        <f t="shared" si="16"/>
        <v>1</v>
      </c>
      <c r="J69" s="719"/>
      <c r="K69" s="24">
        <f t="shared" si="17"/>
        <v>1</v>
      </c>
      <c r="L69" s="719"/>
      <c r="M69" s="24">
        <f t="shared" si="18"/>
        <v>1</v>
      </c>
      <c r="N69" s="719"/>
      <c r="O69" s="24">
        <f t="shared" si="19"/>
        <v>1</v>
      </c>
      <c r="P69" s="719"/>
      <c r="Q69" s="24">
        <f t="shared" si="20"/>
        <v>0</v>
      </c>
      <c r="R69" s="715">
        <f t="shared" si="22"/>
        <v>0</v>
      </c>
      <c r="S69" s="718">
        <f t="shared" si="21"/>
        <v>0</v>
      </c>
    </row>
    <row r="70" spans="1:19" ht="14.25">
      <c r="A70" s="3177">
        <v>101</v>
      </c>
      <c r="B70" s="3177">
        <v>28</v>
      </c>
      <c r="C70" s="24">
        <f t="shared" si="12"/>
        <v>1</v>
      </c>
      <c r="D70" s="719"/>
      <c r="E70" s="24">
        <f t="shared" si="14"/>
        <v>1</v>
      </c>
      <c r="F70" s="719"/>
      <c r="G70" s="24">
        <f t="shared" si="15"/>
        <v>1</v>
      </c>
      <c r="H70" s="719"/>
      <c r="I70" s="24">
        <f t="shared" si="16"/>
        <v>1</v>
      </c>
      <c r="J70" s="719"/>
      <c r="K70" s="24">
        <f t="shared" si="17"/>
        <v>1</v>
      </c>
      <c r="L70" s="719"/>
      <c r="M70" s="24">
        <f t="shared" si="18"/>
        <v>1</v>
      </c>
      <c r="N70" s="719"/>
      <c r="O70" s="24">
        <f t="shared" si="19"/>
        <v>1</v>
      </c>
      <c r="P70" s="719">
        <v>1</v>
      </c>
      <c r="Q70" s="24">
        <f t="shared" si="20"/>
        <v>1</v>
      </c>
      <c r="R70" s="715">
        <f t="shared" si="22"/>
        <v>0.52</v>
      </c>
      <c r="S70" s="718">
        <f t="shared" si="21"/>
        <v>14.56</v>
      </c>
    </row>
    <row r="71" spans="1:19" ht="14.25">
      <c r="A71" s="3177">
        <v>102</v>
      </c>
      <c r="B71" s="3177">
        <v>27.52</v>
      </c>
      <c r="C71" s="24">
        <f t="shared" si="12"/>
        <v>1</v>
      </c>
      <c r="D71" s="719"/>
      <c r="E71" s="24">
        <f t="shared" si="14"/>
        <v>1</v>
      </c>
      <c r="F71" s="719"/>
      <c r="G71" s="24">
        <f t="shared" si="15"/>
        <v>1</v>
      </c>
      <c r="H71" s="719"/>
      <c r="I71" s="24">
        <f t="shared" si="16"/>
        <v>1</v>
      </c>
      <c r="J71" s="719"/>
      <c r="K71" s="24">
        <f t="shared" si="17"/>
        <v>1</v>
      </c>
      <c r="L71" s="719"/>
      <c r="M71" s="24">
        <f t="shared" si="18"/>
        <v>1</v>
      </c>
      <c r="N71" s="719"/>
      <c r="O71" s="24">
        <f t="shared" si="19"/>
        <v>1</v>
      </c>
      <c r="P71" s="719">
        <v>1</v>
      </c>
      <c r="Q71" s="24">
        <f t="shared" si="20"/>
        <v>1</v>
      </c>
      <c r="R71" s="715">
        <f t="shared" si="22"/>
        <v>0.52</v>
      </c>
      <c r="S71" s="718">
        <f t="shared" si="21"/>
        <v>14.3104</v>
      </c>
    </row>
    <row r="72" spans="1:19" ht="14.25">
      <c r="A72" s="3177">
        <v>201</v>
      </c>
      <c r="B72" s="3177">
        <v>1038.92</v>
      </c>
      <c r="C72" s="24">
        <f t="shared" si="12"/>
        <v>0.84</v>
      </c>
      <c r="D72" s="719"/>
      <c r="E72" s="24">
        <f t="shared" si="14"/>
        <v>1</v>
      </c>
      <c r="F72" s="719"/>
      <c r="G72" s="24">
        <f t="shared" si="15"/>
        <v>1</v>
      </c>
      <c r="H72" s="719"/>
      <c r="I72" s="24">
        <f t="shared" si="16"/>
        <v>1</v>
      </c>
      <c r="J72" s="719"/>
      <c r="K72" s="24">
        <f t="shared" si="17"/>
        <v>1</v>
      </c>
      <c r="L72" s="719"/>
      <c r="M72" s="24">
        <f t="shared" si="18"/>
        <v>1</v>
      </c>
      <c r="N72" s="719"/>
      <c r="O72" s="24">
        <f t="shared" si="19"/>
        <v>1</v>
      </c>
      <c r="P72" s="719">
        <v>2</v>
      </c>
      <c r="Q72" s="24">
        <f t="shared" si="20"/>
        <v>0.65</v>
      </c>
      <c r="R72" s="715">
        <f t="shared" si="22"/>
        <v>0.28000000000000003</v>
      </c>
      <c r="S72" s="718">
        <f t="shared" si="21"/>
        <v>290.89760000000001</v>
      </c>
    </row>
    <row r="73" spans="1:19" ht="14.25">
      <c r="A73" s="3177">
        <v>101</v>
      </c>
      <c r="B73" s="3177">
        <v>5.31</v>
      </c>
      <c r="C73" s="24">
        <f t="shared" si="12"/>
        <v>1</v>
      </c>
      <c r="D73" s="719"/>
      <c r="E73" s="24">
        <f t="shared" si="14"/>
        <v>1</v>
      </c>
      <c r="F73" s="719"/>
      <c r="G73" s="24">
        <f t="shared" si="15"/>
        <v>1</v>
      </c>
      <c r="H73" s="719"/>
      <c r="I73" s="24">
        <f t="shared" si="16"/>
        <v>1</v>
      </c>
      <c r="J73" s="719"/>
      <c r="K73" s="24">
        <f t="shared" si="17"/>
        <v>1</v>
      </c>
      <c r="L73" s="719"/>
      <c r="M73" s="24">
        <f t="shared" si="18"/>
        <v>1</v>
      </c>
      <c r="N73" s="719"/>
      <c r="O73" s="24">
        <f t="shared" si="19"/>
        <v>1</v>
      </c>
      <c r="P73" s="719">
        <v>1</v>
      </c>
      <c r="Q73" s="24">
        <f t="shared" si="20"/>
        <v>1</v>
      </c>
      <c r="R73" s="715">
        <f t="shared" si="22"/>
        <v>0.52</v>
      </c>
      <c r="S73" s="718">
        <f t="shared" si="21"/>
        <v>2.7612000000000001</v>
      </c>
    </row>
    <row r="74" spans="1:19" ht="14.25">
      <c r="A74" s="3177">
        <v>201</v>
      </c>
      <c r="B74" s="3177">
        <v>839.49</v>
      </c>
      <c r="C74" s="24">
        <f t="shared" si="12"/>
        <v>0.87</v>
      </c>
      <c r="D74" s="719"/>
      <c r="E74" s="24">
        <f t="shared" si="14"/>
        <v>1</v>
      </c>
      <c r="F74" s="719"/>
      <c r="G74" s="24">
        <f t="shared" si="15"/>
        <v>1</v>
      </c>
      <c r="H74" s="719"/>
      <c r="I74" s="24">
        <f t="shared" si="16"/>
        <v>1</v>
      </c>
      <c r="J74" s="719"/>
      <c r="K74" s="24">
        <f t="shared" si="17"/>
        <v>1</v>
      </c>
      <c r="L74" s="719"/>
      <c r="M74" s="24">
        <f t="shared" si="18"/>
        <v>1</v>
      </c>
      <c r="N74" s="719"/>
      <c r="O74" s="24">
        <f t="shared" si="19"/>
        <v>1</v>
      </c>
      <c r="P74" s="719">
        <v>2</v>
      </c>
      <c r="Q74" s="24">
        <f t="shared" si="20"/>
        <v>0.65</v>
      </c>
      <c r="R74" s="715">
        <f t="shared" si="22"/>
        <v>0.28999999999999998</v>
      </c>
      <c r="S74" s="718">
        <f t="shared" si="21"/>
        <v>243.4521</v>
      </c>
    </row>
    <row r="75" spans="1:19" ht="14.25">
      <c r="A75" s="3177">
        <v>101</v>
      </c>
      <c r="B75" s="3177">
        <v>109.36</v>
      </c>
      <c r="C75" s="24">
        <f t="shared" si="12"/>
        <v>0.99</v>
      </c>
      <c r="D75" s="719"/>
      <c r="E75" s="24">
        <f t="shared" si="14"/>
        <v>1</v>
      </c>
      <c r="F75" s="719"/>
      <c r="G75" s="24">
        <f t="shared" si="15"/>
        <v>1</v>
      </c>
      <c r="H75" s="719"/>
      <c r="I75" s="24">
        <f t="shared" si="16"/>
        <v>1</v>
      </c>
      <c r="J75" s="719"/>
      <c r="K75" s="24">
        <f t="shared" si="17"/>
        <v>1</v>
      </c>
      <c r="L75" s="719"/>
      <c r="M75" s="24">
        <f t="shared" si="18"/>
        <v>1</v>
      </c>
      <c r="N75" s="719"/>
      <c r="O75" s="24">
        <f t="shared" si="19"/>
        <v>1</v>
      </c>
      <c r="P75" s="719">
        <v>1</v>
      </c>
      <c r="Q75" s="24">
        <f t="shared" si="20"/>
        <v>1</v>
      </c>
      <c r="R75" s="715">
        <f t="shared" si="22"/>
        <v>0.51</v>
      </c>
      <c r="S75" s="718">
        <f t="shared" si="21"/>
        <v>55.773600000000002</v>
      </c>
    </row>
    <row r="76" spans="1:19" ht="14.25">
      <c r="A76" s="3177">
        <v>103</v>
      </c>
      <c r="B76" s="3177">
        <v>48.49</v>
      </c>
      <c r="C76" s="24">
        <f t="shared" si="12"/>
        <v>1</v>
      </c>
      <c r="D76" s="719"/>
      <c r="E76" s="24">
        <f t="shared" si="14"/>
        <v>1</v>
      </c>
      <c r="F76" s="719"/>
      <c r="G76" s="24">
        <f t="shared" si="15"/>
        <v>1</v>
      </c>
      <c r="H76" s="719"/>
      <c r="I76" s="24">
        <f t="shared" si="16"/>
        <v>1</v>
      </c>
      <c r="J76" s="719"/>
      <c r="K76" s="24">
        <f t="shared" si="17"/>
        <v>1</v>
      </c>
      <c r="L76" s="719"/>
      <c r="M76" s="24">
        <f t="shared" si="18"/>
        <v>1</v>
      </c>
      <c r="N76" s="719"/>
      <c r="O76" s="24">
        <f t="shared" si="19"/>
        <v>1</v>
      </c>
      <c r="P76" s="719">
        <v>1</v>
      </c>
      <c r="Q76" s="24">
        <f t="shared" si="20"/>
        <v>1</v>
      </c>
      <c r="R76" s="715">
        <f t="shared" si="22"/>
        <v>0.52</v>
      </c>
      <c r="S76" s="718">
        <f t="shared" si="21"/>
        <v>25.2148</v>
      </c>
    </row>
    <row r="77" spans="1:19" ht="14.25">
      <c r="A77" s="3177">
        <v>201</v>
      </c>
      <c r="B77" s="3177">
        <v>284.56</v>
      </c>
      <c r="C77" s="24">
        <f t="shared" si="12"/>
        <v>0.96</v>
      </c>
      <c r="D77" s="719"/>
      <c r="E77" s="24">
        <f t="shared" si="14"/>
        <v>1</v>
      </c>
      <c r="F77" s="719"/>
      <c r="G77" s="24">
        <f t="shared" si="15"/>
        <v>1</v>
      </c>
      <c r="H77" s="719"/>
      <c r="I77" s="24">
        <f t="shared" si="16"/>
        <v>1</v>
      </c>
      <c r="J77" s="719"/>
      <c r="K77" s="24">
        <f t="shared" si="17"/>
        <v>1</v>
      </c>
      <c r="L77" s="719"/>
      <c r="M77" s="24">
        <f t="shared" si="18"/>
        <v>1</v>
      </c>
      <c r="N77" s="719"/>
      <c r="O77" s="24">
        <f t="shared" si="19"/>
        <v>1</v>
      </c>
      <c r="P77" s="719">
        <v>2</v>
      </c>
      <c r="Q77" s="24">
        <f t="shared" si="20"/>
        <v>0.65</v>
      </c>
      <c r="R77" s="715">
        <f t="shared" si="22"/>
        <v>0.32</v>
      </c>
      <c r="S77" s="718">
        <f t="shared" si="21"/>
        <v>91.059200000000004</v>
      </c>
    </row>
    <row r="78" spans="1:19" ht="14.25">
      <c r="A78" s="3177">
        <v>301</v>
      </c>
      <c r="B78" s="3177">
        <v>289.57</v>
      </c>
      <c r="C78" s="24">
        <f t="shared" si="12"/>
        <v>0.96</v>
      </c>
      <c r="D78" s="719"/>
      <c r="E78" s="24">
        <f t="shared" si="14"/>
        <v>1</v>
      </c>
      <c r="F78" s="719"/>
      <c r="G78" s="24">
        <f t="shared" si="15"/>
        <v>1</v>
      </c>
      <c r="H78" s="719"/>
      <c r="I78" s="24">
        <f t="shared" si="16"/>
        <v>1</v>
      </c>
      <c r="J78" s="719"/>
      <c r="K78" s="24">
        <f t="shared" si="17"/>
        <v>1</v>
      </c>
      <c r="L78" s="719"/>
      <c r="M78" s="24">
        <f t="shared" si="18"/>
        <v>1</v>
      </c>
      <c r="N78" s="719"/>
      <c r="O78" s="24">
        <f t="shared" si="19"/>
        <v>1</v>
      </c>
      <c r="P78" s="719">
        <v>3</v>
      </c>
      <c r="Q78" s="24">
        <f t="shared" si="20"/>
        <v>0.6</v>
      </c>
      <c r="R78" s="715">
        <f t="shared" si="22"/>
        <v>0.3</v>
      </c>
      <c r="S78" s="718">
        <f t="shared" si="21"/>
        <v>86.870999999999995</v>
      </c>
    </row>
    <row r="79" spans="1:19" ht="14.25">
      <c r="A79" s="3177">
        <v>401</v>
      </c>
      <c r="B79" s="3177">
        <v>288.62</v>
      </c>
      <c r="C79" s="24">
        <f t="shared" si="12"/>
        <v>0.96</v>
      </c>
      <c r="D79" s="719"/>
      <c r="E79" s="24">
        <f t="shared" si="14"/>
        <v>1</v>
      </c>
      <c r="F79" s="719"/>
      <c r="G79" s="24">
        <f t="shared" si="15"/>
        <v>1</v>
      </c>
      <c r="H79" s="719"/>
      <c r="I79" s="24">
        <f t="shared" si="16"/>
        <v>1</v>
      </c>
      <c r="J79" s="719"/>
      <c r="K79" s="24">
        <f t="shared" si="17"/>
        <v>1</v>
      </c>
      <c r="L79" s="719"/>
      <c r="M79" s="24">
        <f t="shared" si="18"/>
        <v>1</v>
      </c>
      <c r="N79" s="719"/>
      <c r="O79" s="24">
        <f t="shared" si="19"/>
        <v>1</v>
      </c>
      <c r="P79" s="719">
        <v>4</v>
      </c>
      <c r="Q79" s="24">
        <f t="shared" si="20"/>
        <v>0.5</v>
      </c>
      <c r="R79" s="715">
        <f t="shared" si="22"/>
        <v>0.25</v>
      </c>
      <c r="S79" s="718">
        <f t="shared" si="21"/>
        <v>72.155000000000001</v>
      </c>
    </row>
    <row r="80" spans="1:19" ht="14.25">
      <c r="A80" s="3177">
        <v>101</v>
      </c>
      <c r="B80" s="3177">
        <v>103.15</v>
      </c>
      <c r="C80" s="24">
        <f t="shared" si="12"/>
        <v>0.99</v>
      </c>
      <c r="D80" s="719"/>
      <c r="E80" s="24">
        <f t="shared" si="14"/>
        <v>1</v>
      </c>
      <c r="F80" s="719"/>
      <c r="G80" s="24">
        <f t="shared" si="15"/>
        <v>1</v>
      </c>
      <c r="H80" s="719"/>
      <c r="I80" s="24">
        <f t="shared" si="16"/>
        <v>1</v>
      </c>
      <c r="J80" s="719"/>
      <c r="K80" s="24">
        <f t="shared" si="17"/>
        <v>1</v>
      </c>
      <c r="L80" s="719"/>
      <c r="M80" s="24">
        <f t="shared" si="18"/>
        <v>1</v>
      </c>
      <c r="N80" s="719"/>
      <c r="O80" s="24">
        <f t="shared" si="19"/>
        <v>1</v>
      </c>
      <c r="P80" s="719">
        <v>1</v>
      </c>
      <c r="Q80" s="24">
        <f t="shared" si="20"/>
        <v>1</v>
      </c>
      <c r="R80" s="715">
        <f t="shared" si="22"/>
        <v>0.51</v>
      </c>
      <c r="S80" s="718">
        <f t="shared" si="21"/>
        <v>52.606499999999997</v>
      </c>
    </row>
    <row r="81" spans="1:19" ht="14.25">
      <c r="A81" s="3177">
        <v>103</v>
      </c>
      <c r="B81" s="3177">
        <v>38.21</v>
      </c>
      <c r="C81" s="24">
        <f t="shared" si="12"/>
        <v>1</v>
      </c>
      <c r="D81" s="719"/>
      <c r="E81" s="24">
        <f t="shared" si="14"/>
        <v>1</v>
      </c>
      <c r="F81" s="719"/>
      <c r="G81" s="24">
        <f t="shared" si="15"/>
        <v>1</v>
      </c>
      <c r="H81" s="719"/>
      <c r="I81" s="24">
        <f t="shared" si="16"/>
        <v>1</v>
      </c>
      <c r="J81" s="719"/>
      <c r="K81" s="24">
        <f t="shared" si="17"/>
        <v>1</v>
      </c>
      <c r="L81" s="719"/>
      <c r="M81" s="24">
        <f t="shared" si="18"/>
        <v>1</v>
      </c>
      <c r="N81" s="719"/>
      <c r="O81" s="24">
        <f t="shared" si="19"/>
        <v>1</v>
      </c>
      <c r="P81" s="719">
        <v>1</v>
      </c>
      <c r="Q81" s="24">
        <f t="shared" si="20"/>
        <v>1</v>
      </c>
      <c r="R81" s="715">
        <f t="shared" si="22"/>
        <v>0.52</v>
      </c>
      <c r="S81" s="718">
        <f t="shared" si="21"/>
        <v>19.869199999999999</v>
      </c>
    </row>
    <row r="82" spans="1:19" ht="14.25">
      <c r="A82" s="3177">
        <v>104</v>
      </c>
      <c r="B82" s="3177">
        <v>45.04</v>
      </c>
      <c r="C82" s="24">
        <f t="shared" si="12"/>
        <v>1</v>
      </c>
      <c r="D82" s="719"/>
      <c r="E82" s="24">
        <f t="shared" si="14"/>
        <v>1</v>
      </c>
      <c r="F82" s="719"/>
      <c r="G82" s="24">
        <f t="shared" si="15"/>
        <v>1</v>
      </c>
      <c r="H82" s="719"/>
      <c r="I82" s="24">
        <f t="shared" si="16"/>
        <v>1</v>
      </c>
      <c r="J82" s="719"/>
      <c r="K82" s="24">
        <f t="shared" si="17"/>
        <v>1</v>
      </c>
      <c r="L82" s="719"/>
      <c r="M82" s="24">
        <f t="shared" si="18"/>
        <v>1</v>
      </c>
      <c r="N82" s="719"/>
      <c r="O82" s="24">
        <f t="shared" si="19"/>
        <v>1</v>
      </c>
      <c r="P82" s="719">
        <v>1</v>
      </c>
      <c r="Q82" s="24">
        <f t="shared" si="20"/>
        <v>1</v>
      </c>
      <c r="R82" s="715">
        <f t="shared" si="22"/>
        <v>0.52</v>
      </c>
      <c r="S82" s="718">
        <f t="shared" si="21"/>
        <v>23.4208</v>
      </c>
    </row>
    <row r="83" spans="1:19" ht="14.25">
      <c r="A83" s="3177">
        <v>201</v>
      </c>
      <c r="B83" s="3177">
        <v>380.65</v>
      </c>
      <c r="C83" s="24">
        <f t="shared" si="12"/>
        <v>0.94</v>
      </c>
      <c r="D83" s="719"/>
      <c r="E83" s="24">
        <f t="shared" si="14"/>
        <v>1</v>
      </c>
      <c r="F83" s="719"/>
      <c r="G83" s="24">
        <f t="shared" si="15"/>
        <v>1</v>
      </c>
      <c r="H83" s="719"/>
      <c r="I83" s="24">
        <f t="shared" si="16"/>
        <v>1</v>
      </c>
      <c r="J83" s="719"/>
      <c r="K83" s="24">
        <f t="shared" si="17"/>
        <v>1</v>
      </c>
      <c r="L83" s="719"/>
      <c r="M83" s="24">
        <f t="shared" si="18"/>
        <v>1</v>
      </c>
      <c r="N83" s="719"/>
      <c r="O83" s="24">
        <f t="shared" si="19"/>
        <v>1</v>
      </c>
      <c r="P83" s="719">
        <v>2</v>
      </c>
      <c r="Q83" s="24">
        <f t="shared" si="20"/>
        <v>0.65</v>
      </c>
      <c r="R83" s="715">
        <f t="shared" si="22"/>
        <v>0.32</v>
      </c>
      <c r="S83" s="718">
        <f t="shared" si="21"/>
        <v>121.80800000000001</v>
      </c>
    </row>
    <row r="84" spans="1:19" ht="14.25">
      <c r="A84" s="3177">
        <v>301</v>
      </c>
      <c r="B84" s="3177">
        <v>364.65</v>
      </c>
      <c r="C84" s="24">
        <f t="shared" si="12"/>
        <v>0.94</v>
      </c>
      <c r="D84" s="719"/>
      <c r="E84" s="24">
        <f t="shared" si="14"/>
        <v>1</v>
      </c>
      <c r="F84" s="719"/>
      <c r="G84" s="24">
        <f t="shared" si="15"/>
        <v>1</v>
      </c>
      <c r="H84" s="719"/>
      <c r="I84" s="24">
        <f t="shared" si="16"/>
        <v>1</v>
      </c>
      <c r="J84" s="719"/>
      <c r="K84" s="24">
        <f t="shared" si="17"/>
        <v>1</v>
      </c>
      <c r="L84" s="719"/>
      <c r="M84" s="24">
        <f t="shared" si="18"/>
        <v>1</v>
      </c>
      <c r="N84" s="719"/>
      <c r="O84" s="24">
        <f t="shared" si="19"/>
        <v>1</v>
      </c>
      <c r="P84" s="719">
        <v>3</v>
      </c>
      <c r="Q84" s="24">
        <f t="shared" si="20"/>
        <v>0.6</v>
      </c>
      <c r="R84" s="715">
        <f t="shared" si="22"/>
        <v>0.28999999999999998</v>
      </c>
      <c r="S84" s="718">
        <f t="shared" si="21"/>
        <v>105.74850000000001</v>
      </c>
    </row>
    <row r="85" spans="1:19" ht="14.25">
      <c r="A85" s="3177">
        <v>401</v>
      </c>
      <c r="B85" s="3177">
        <v>323.95999999999998</v>
      </c>
      <c r="C85" s="24">
        <f t="shared" si="12"/>
        <v>0.95</v>
      </c>
      <c r="D85" s="719"/>
      <c r="E85" s="24">
        <f t="shared" si="14"/>
        <v>1</v>
      </c>
      <c r="F85" s="719"/>
      <c r="G85" s="24">
        <f t="shared" si="15"/>
        <v>1</v>
      </c>
      <c r="H85" s="719"/>
      <c r="I85" s="24">
        <f t="shared" si="16"/>
        <v>1</v>
      </c>
      <c r="J85" s="719"/>
      <c r="K85" s="24">
        <f t="shared" si="17"/>
        <v>1</v>
      </c>
      <c r="L85" s="719"/>
      <c r="M85" s="24">
        <f t="shared" si="18"/>
        <v>1</v>
      </c>
      <c r="N85" s="719"/>
      <c r="O85" s="24">
        <f t="shared" si="19"/>
        <v>1</v>
      </c>
      <c r="P85" s="719">
        <v>4</v>
      </c>
      <c r="Q85" s="24">
        <f t="shared" si="20"/>
        <v>0.5</v>
      </c>
      <c r="R85" s="715">
        <f t="shared" si="22"/>
        <v>0.25</v>
      </c>
      <c r="S85" s="718">
        <f t="shared" si="21"/>
        <v>80.989999999999995</v>
      </c>
    </row>
    <row r="86" spans="1:19" ht="14.25">
      <c r="A86" s="3177">
        <v>101</v>
      </c>
      <c r="B86" s="3177">
        <v>77</v>
      </c>
      <c r="C86" s="24">
        <f t="shared" si="12"/>
        <v>0.99</v>
      </c>
      <c r="D86" s="719"/>
      <c r="E86" s="24">
        <f t="shared" si="14"/>
        <v>1</v>
      </c>
      <c r="F86" s="719"/>
      <c r="G86" s="24">
        <f t="shared" si="15"/>
        <v>1</v>
      </c>
      <c r="H86" s="719"/>
      <c r="I86" s="24">
        <f t="shared" si="16"/>
        <v>1</v>
      </c>
      <c r="J86" s="719"/>
      <c r="K86" s="24">
        <f t="shared" si="17"/>
        <v>1</v>
      </c>
      <c r="L86" s="719"/>
      <c r="M86" s="24">
        <f t="shared" si="18"/>
        <v>1</v>
      </c>
      <c r="N86" s="719"/>
      <c r="O86" s="24">
        <f t="shared" si="19"/>
        <v>1</v>
      </c>
      <c r="P86" s="719">
        <v>1</v>
      </c>
      <c r="Q86" s="24">
        <f t="shared" si="20"/>
        <v>1</v>
      </c>
      <c r="R86" s="715">
        <f t="shared" si="22"/>
        <v>0.51</v>
      </c>
      <c r="S86" s="718">
        <f t="shared" si="21"/>
        <v>39.270000000000003</v>
      </c>
    </row>
    <row r="87" spans="1:19" ht="14.25">
      <c r="A87" s="3177">
        <v>102</v>
      </c>
      <c r="B87" s="3177">
        <v>65.319999999999993</v>
      </c>
      <c r="C87" s="24">
        <f t="shared" si="12"/>
        <v>0.99</v>
      </c>
      <c r="D87" s="719"/>
      <c r="E87" s="24">
        <f t="shared" si="14"/>
        <v>1</v>
      </c>
      <c r="F87" s="719"/>
      <c r="G87" s="24">
        <f t="shared" si="15"/>
        <v>1</v>
      </c>
      <c r="H87" s="719"/>
      <c r="I87" s="24">
        <f t="shared" si="16"/>
        <v>1</v>
      </c>
      <c r="J87" s="719"/>
      <c r="K87" s="24">
        <f t="shared" si="17"/>
        <v>1</v>
      </c>
      <c r="L87" s="719"/>
      <c r="M87" s="24">
        <f t="shared" si="18"/>
        <v>1</v>
      </c>
      <c r="N87" s="719"/>
      <c r="O87" s="24">
        <f t="shared" si="19"/>
        <v>1</v>
      </c>
      <c r="P87" s="719">
        <v>1</v>
      </c>
      <c r="Q87" s="24">
        <f t="shared" si="20"/>
        <v>1</v>
      </c>
      <c r="R87" s="715">
        <f t="shared" si="22"/>
        <v>0.51</v>
      </c>
      <c r="S87" s="718">
        <f t="shared" si="21"/>
        <v>33.313200000000002</v>
      </c>
    </row>
    <row r="88" spans="1:19" ht="14.25">
      <c r="A88" s="3177">
        <v>201</v>
      </c>
      <c r="B88" s="3177">
        <v>456.71</v>
      </c>
      <c r="C88" s="24">
        <f t="shared" si="12"/>
        <v>0.93</v>
      </c>
      <c r="D88" s="719"/>
      <c r="E88" s="24">
        <f t="shared" si="14"/>
        <v>1</v>
      </c>
      <c r="F88" s="719"/>
      <c r="G88" s="24">
        <f t="shared" si="15"/>
        <v>1</v>
      </c>
      <c r="H88" s="719"/>
      <c r="I88" s="24">
        <f t="shared" si="16"/>
        <v>1</v>
      </c>
      <c r="J88" s="719"/>
      <c r="K88" s="24">
        <f t="shared" si="17"/>
        <v>1</v>
      </c>
      <c r="L88" s="719"/>
      <c r="M88" s="24">
        <f t="shared" si="18"/>
        <v>1</v>
      </c>
      <c r="N88" s="719"/>
      <c r="O88" s="24">
        <f t="shared" si="19"/>
        <v>1</v>
      </c>
      <c r="P88" s="719">
        <v>2</v>
      </c>
      <c r="Q88" s="24">
        <f t="shared" si="20"/>
        <v>0.65</v>
      </c>
      <c r="R88" s="715">
        <f t="shared" si="22"/>
        <v>0.31</v>
      </c>
      <c r="S88" s="718">
        <f t="shared" ref="S88:S119" si="23">ROUND(R88*B88,4)</f>
        <v>141.58009999999999</v>
      </c>
    </row>
    <row r="89" spans="1:19" ht="14.25">
      <c r="A89" s="3177">
        <v>301</v>
      </c>
      <c r="B89" s="3177">
        <v>445.43</v>
      </c>
      <c r="C89" s="24">
        <f t="shared" ref="C89:C152" si="24">IF(B89="",1,(LOOKUP(B89,$3:$3,$4:$4)-LOOKUP($B$24,$3:$3,$4:$4)+100)/100)</f>
        <v>0.93</v>
      </c>
      <c r="D89" s="719"/>
      <c r="E89" s="24">
        <f t="shared" si="14"/>
        <v>1</v>
      </c>
      <c r="F89" s="719"/>
      <c r="G89" s="24">
        <f t="shared" si="15"/>
        <v>1</v>
      </c>
      <c r="H89" s="719"/>
      <c r="I89" s="24">
        <f t="shared" si="16"/>
        <v>1</v>
      </c>
      <c r="J89" s="719"/>
      <c r="K89" s="24">
        <f t="shared" si="17"/>
        <v>1</v>
      </c>
      <c r="L89" s="719"/>
      <c r="M89" s="24">
        <f t="shared" si="18"/>
        <v>1</v>
      </c>
      <c r="N89" s="719"/>
      <c r="O89" s="24">
        <f t="shared" si="19"/>
        <v>1</v>
      </c>
      <c r="P89" s="719">
        <v>3</v>
      </c>
      <c r="Q89" s="24">
        <f t="shared" si="20"/>
        <v>0.6</v>
      </c>
      <c r="R89" s="715">
        <f t="shared" ref="R89:R120" si="25">IF(B89="",0,ROUND($R$24*C89*E89*G89*I89*K89*M89*O89*Q89,2))</f>
        <v>0.28999999999999998</v>
      </c>
      <c r="S89" s="718">
        <f t="shared" si="23"/>
        <v>129.1747</v>
      </c>
    </row>
    <row r="90" spans="1:19" ht="14.25">
      <c r="A90" s="3180">
        <v>401</v>
      </c>
      <c r="B90" s="3180">
        <v>401.14</v>
      </c>
      <c r="C90" s="24">
        <f t="shared" si="24"/>
        <v>0.94</v>
      </c>
      <c r="D90" s="719"/>
      <c r="E90" s="24">
        <f t="shared" ref="E90:E153" si="26">(SUMIF($5:$5,D90,$6:$6)-SUMIF($5:$5,$D$24,$6:$6)+100)/100</f>
        <v>1</v>
      </c>
      <c r="F90" s="719"/>
      <c r="G90" s="24">
        <f t="shared" ref="G90:G153" si="27">(SUMIF($7:$7,F90,$8:$8)-SUMIF($7:$7,$F$24,$8:$8)+100)/100</f>
        <v>1</v>
      </c>
      <c r="H90" s="719"/>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v>4</v>
      </c>
      <c r="Q90" s="24">
        <f t="shared" ref="Q90:Q153" si="32">(SUMIF($17:$17,P90,$18:$18)-SUMIF($17:$17,$P$24,$18:$18)+100)/100</f>
        <v>0.5</v>
      </c>
      <c r="R90" s="715">
        <f t="shared" si="25"/>
        <v>0.24</v>
      </c>
      <c r="S90" s="718">
        <f t="shared" si="23"/>
        <v>96.273600000000002</v>
      </c>
    </row>
    <row r="91" spans="1:19">
      <c r="A91" s="158"/>
      <c r="B91" s="59"/>
      <c r="C91" s="24">
        <f t="shared" si="24"/>
        <v>1</v>
      </c>
      <c r="D91" s="719"/>
      <c r="E91" s="24">
        <f t="shared" si="26"/>
        <v>1</v>
      </c>
      <c r="F91" s="719"/>
      <c r="G91" s="24">
        <f t="shared" si="27"/>
        <v>1</v>
      </c>
      <c r="H91" s="719"/>
      <c r="I91" s="24">
        <f t="shared" si="28"/>
        <v>1</v>
      </c>
      <c r="J91" s="719"/>
      <c r="K91" s="24">
        <f t="shared" si="29"/>
        <v>1</v>
      </c>
      <c r="L91" s="719"/>
      <c r="M91" s="24">
        <f t="shared" si="30"/>
        <v>1</v>
      </c>
      <c r="N91" s="719"/>
      <c r="O91" s="24">
        <f t="shared" si="31"/>
        <v>1</v>
      </c>
      <c r="P91" s="719"/>
      <c r="Q91" s="24">
        <f t="shared" si="32"/>
        <v>0</v>
      </c>
      <c r="R91" s="715">
        <f t="shared" si="25"/>
        <v>0</v>
      </c>
      <c r="S91" s="718">
        <f t="shared" si="23"/>
        <v>0</v>
      </c>
    </row>
    <row r="92" spans="1:19" ht="14.25">
      <c r="A92" s="3177">
        <v>101</v>
      </c>
      <c r="B92" s="3177">
        <v>22.08</v>
      </c>
      <c r="C92" s="24">
        <f t="shared" si="24"/>
        <v>1</v>
      </c>
      <c r="D92" s="719"/>
      <c r="E92" s="24">
        <f t="shared" si="26"/>
        <v>1</v>
      </c>
      <c r="F92" s="719"/>
      <c r="G92" s="24">
        <f t="shared" si="27"/>
        <v>1</v>
      </c>
      <c r="H92" s="719"/>
      <c r="I92" s="24">
        <f t="shared" si="28"/>
        <v>1</v>
      </c>
      <c r="J92" s="719"/>
      <c r="K92" s="24">
        <f t="shared" si="29"/>
        <v>1</v>
      </c>
      <c r="L92" s="719"/>
      <c r="M92" s="24">
        <f t="shared" si="30"/>
        <v>1</v>
      </c>
      <c r="N92" s="719"/>
      <c r="O92" s="24">
        <f t="shared" si="31"/>
        <v>1</v>
      </c>
      <c r="P92" s="719">
        <v>1</v>
      </c>
      <c r="Q92" s="24">
        <f t="shared" si="32"/>
        <v>1</v>
      </c>
      <c r="R92" s="715">
        <f t="shared" si="25"/>
        <v>0.52</v>
      </c>
      <c r="S92" s="718">
        <f t="shared" si="23"/>
        <v>11.4816</v>
      </c>
    </row>
    <row r="93" spans="1:19" ht="14.25">
      <c r="A93" s="3177">
        <v>102</v>
      </c>
      <c r="B93" s="3177">
        <v>128.94999999999999</v>
      </c>
      <c r="C93" s="24">
        <f t="shared" si="24"/>
        <v>0.98</v>
      </c>
      <c r="D93" s="719"/>
      <c r="E93" s="24">
        <f t="shared" si="26"/>
        <v>1</v>
      </c>
      <c r="F93" s="719"/>
      <c r="G93" s="24">
        <f t="shared" si="27"/>
        <v>1</v>
      </c>
      <c r="H93" s="719"/>
      <c r="I93" s="24">
        <f t="shared" si="28"/>
        <v>1</v>
      </c>
      <c r="J93" s="719"/>
      <c r="K93" s="24">
        <f t="shared" si="29"/>
        <v>1</v>
      </c>
      <c r="L93" s="719"/>
      <c r="M93" s="24">
        <f t="shared" si="30"/>
        <v>1</v>
      </c>
      <c r="N93" s="719"/>
      <c r="O93" s="24">
        <f t="shared" si="31"/>
        <v>1</v>
      </c>
      <c r="P93" s="719">
        <v>1</v>
      </c>
      <c r="Q93" s="24">
        <f t="shared" si="32"/>
        <v>1</v>
      </c>
      <c r="R93" s="715">
        <f t="shared" si="25"/>
        <v>0.51</v>
      </c>
      <c r="S93" s="718">
        <f t="shared" si="23"/>
        <v>65.764499999999998</v>
      </c>
    </row>
    <row r="94" spans="1:19" ht="14.25">
      <c r="A94" s="3177">
        <v>104</v>
      </c>
      <c r="B94" s="3177">
        <v>135.4</v>
      </c>
      <c r="C94" s="24">
        <f t="shared" si="24"/>
        <v>0.98</v>
      </c>
      <c r="D94" s="719"/>
      <c r="E94" s="24">
        <f t="shared" si="26"/>
        <v>1</v>
      </c>
      <c r="F94" s="719"/>
      <c r="G94" s="24">
        <f t="shared" si="27"/>
        <v>1</v>
      </c>
      <c r="H94" s="719"/>
      <c r="I94" s="24">
        <f t="shared" si="28"/>
        <v>1</v>
      </c>
      <c r="J94" s="719"/>
      <c r="K94" s="24">
        <f t="shared" si="29"/>
        <v>1</v>
      </c>
      <c r="L94" s="719"/>
      <c r="M94" s="24">
        <f t="shared" si="30"/>
        <v>1</v>
      </c>
      <c r="N94" s="719"/>
      <c r="O94" s="24">
        <f t="shared" si="31"/>
        <v>1</v>
      </c>
      <c r="P94" s="719">
        <v>1</v>
      </c>
      <c r="Q94" s="24">
        <f t="shared" si="32"/>
        <v>1</v>
      </c>
      <c r="R94" s="715">
        <f t="shared" si="25"/>
        <v>0.51</v>
      </c>
      <c r="S94" s="718">
        <f t="shared" si="23"/>
        <v>69.054000000000002</v>
      </c>
    </row>
    <row r="95" spans="1:19" ht="14.25">
      <c r="A95" s="3177">
        <v>105</v>
      </c>
      <c r="B95" s="3177">
        <v>61.94</v>
      </c>
      <c r="C95" s="24">
        <f t="shared" si="24"/>
        <v>0.99</v>
      </c>
      <c r="D95" s="719"/>
      <c r="E95" s="24">
        <f t="shared" si="26"/>
        <v>1</v>
      </c>
      <c r="F95" s="719"/>
      <c r="G95" s="24">
        <f t="shared" si="27"/>
        <v>1</v>
      </c>
      <c r="H95" s="719"/>
      <c r="I95" s="24">
        <f t="shared" si="28"/>
        <v>1</v>
      </c>
      <c r="J95" s="719"/>
      <c r="K95" s="24">
        <f t="shared" si="29"/>
        <v>1</v>
      </c>
      <c r="L95" s="719"/>
      <c r="M95" s="24">
        <f t="shared" si="30"/>
        <v>1</v>
      </c>
      <c r="N95" s="719"/>
      <c r="O95" s="24">
        <f t="shared" si="31"/>
        <v>1</v>
      </c>
      <c r="P95" s="719">
        <v>1</v>
      </c>
      <c r="Q95" s="24">
        <f t="shared" si="32"/>
        <v>1</v>
      </c>
      <c r="R95" s="715">
        <f t="shared" si="25"/>
        <v>0.51</v>
      </c>
      <c r="S95" s="718">
        <f t="shared" si="23"/>
        <v>31.589400000000001</v>
      </c>
    </row>
    <row r="96" spans="1:19" ht="14.25">
      <c r="A96" s="3177">
        <v>201</v>
      </c>
      <c r="B96" s="3177">
        <v>478.18</v>
      </c>
      <c r="C96" s="24">
        <f t="shared" si="24"/>
        <v>0.93</v>
      </c>
      <c r="D96" s="719"/>
      <c r="E96" s="24">
        <f t="shared" si="26"/>
        <v>1</v>
      </c>
      <c r="F96" s="719"/>
      <c r="G96" s="24">
        <f t="shared" si="27"/>
        <v>1</v>
      </c>
      <c r="H96" s="719"/>
      <c r="I96" s="24">
        <f t="shared" si="28"/>
        <v>1</v>
      </c>
      <c r="J96" s="719"/>
      <c r="K96" s="24">
        <f t="shared" si="29"/>
        <v>1</v>
      </c>
      <c r="L96" s="719"/>
      <c r="M96" s="24">
        <f t="shared" si="30"/>
        <v>1</v>
      </c>
      <c r="N96" s="719"/>
      <c r="O96" s="24">
        <f t="shared" si="31"/>
        <v>1</v>
      </c>
      <c r="P96" s="719">
        <v>2</v>
      </c>
      <c r="Q96" s="24">
        <f t="shared" si="32"/>
        <v>0.65</v>
      </c>
      <c r="R96" s="715">
        <f t="shared" si="25"/>
        <v>0.31</v>
      </c>
      <c r="S96" s="718">
        <f t="shared" si="23"/>
        <v>148.23580000000001</v>
      </c>
    </row>
    <row r="97" spans="1:19" ht="14.25">
      <c r="A97" s="3177">
        <v>301</v>
      </c>
      <c r="B97" s="3177">
        <v>478.6</v>
      </c>
      <c r="C97" s="24">
        <f t="shared" si="24"/>
        <v>0.93</v>
      </c>
      <c r="D97" s="719"/>
      <c r="E97" s="24">
        <f t="shared" si="26"/>
        <v>1</v>
      </c>
      <c r="F97" s="719"/>
      <c r="G97" s="24">
        <f t="shared" si="27"/>
        <v>1</v>
      </c>
      <c r="H97" s="719"/>
      <c r="I97" s="24">
        <f t="shared" si="28"/>
        <v>1</v>
      </c>
      <c r="J97" s="719"/>
      <c r="K97" s="24">
        <f t="shared" si="29"/>
        <v>1</v>
      </c>
      <c r="L97" s="719"/>
      <c r="M97" s="24">
        <f t="shared" si="30"/>
        <v>1</v>
      </c>
      <c r="N97" s="719"/>
      <c r="O97" s="24">
        <f t="shared" si="31"/>
        <v>1</v>
      </c>
      <c r="P97" s="719">
        <v>3</v>
      </c>
      <c r="Q97" s="24">
        <f t="shared" si="32"/>
        <v>0.6</v>
      </c>
      <c r="R97" s="715">
        <f t="shared" si="25"/>
        <v>0.28999999999999998</v>
      </c>
      <c r="S97" s="718">
        <f t="shared" si="23"/>
        <v>138.79400000000001</v>
      </c>
    </row>
    <row r="98" spans="1:19" ht="14.25">
      <c r="A98" s="3177">
        <v>401</v>
      </c>
      <c r="B98" s="3177">
        <v>478.52</v>
      </c>
      <c r="C98" s="24">
        <f t="shared" si="24"/>
        <v>0.93</v>
      </c>
      <c r="D98" s="719"/>
      <c r="E98" s="24">
        <f t="shared" si="26"/>
        <v>1</v>
      </c>
      <c r="F98" s="719"/>
      <c r="G98" s="24">
        <f t="shared" si="27"/>
        <v>1</v>
      </c>
      <c r="H98" s="719"/>
      <c r="I98" s="24">
        <f t="shared" si="28"/>
        <v>1</v>
      </c>
      <c r="J98" s="719"/>
      <c r="K98" s="24">
        <f t="shared" si="29"/>
        <v>1</v>
      </c>
      <c r="L98" s="719"/>
      <c r="M98" s="24">
        <f t="shared" si="30"/>
        <v>1</v>
      </c>
      <c r="N98" s="719"/>
      <c r="O98" s="24">
        <f t="shared" si="31"/>
        <v>1</v>
      </c>
      <c r="P98" s="719">
        <v>4</v>
      </c>
      <c r="Q98" s="24">
        <f t="shared" si="32"/>
        <v>0.5</v>
      </c>
      <c r="R98" s="715">
        <f t="shared" si="25"/>
        <v>0.24</v>
      </c>
      <c r="S98" s="718">
        <f t="shared" si="23"/>
        <v>114.84480000000001</v>
      </c>
    </row>
    <row r="99" spans="1:19" ht="14.25">
      <c r="A99" s="3177">
        <v>102</v>
      </c>
      <c r="B99" s="3177">
        <v>62.98</v>
      </c>
      <c r="C99" s="24">
        <f t="shared" si="24"/>
        <v>0.99</v>
      </c>
      <c r="D99" s="719"/>
      <c r="E99" s="24">
        <f t="shared" si="26"/>
        <v>1</v>
      </c>
      <c r="F99" s="719"/>
      <c r="G99" s="24">
        <f t="shared" si="27"/>
        <v>1</v>
      </c>
      <c r="H99" s="719"/>
      <c r="I99" s="24">
        <f t="shared" si="28"/>
        <v>1</v>
      </c>
      <c r="J99" s="719"/>
      <c r="K99" s="24">
        <f t="shared" si="29"/>
        <v>1</v>
      </c>
      <c r="L99" s="719"/>
      <c r="M99" s="24">
        <f t="shared" si="30"/>
        <v>1</v>
      </c>
      <c r="N99" s="719"/>
      <c r="O99" s="24">
        <f t="shared" si="31"/>
        <v>1</v>
      </c>
      <c r="P99" s="719">
        <v>1</v>
      </c>
      <c r="Q99" s="24">
        <f t="shared" si="32"/>
        <v>1</v>
      </c>
      <c r="R99" s="715">
        <f t="shared" si="25"/>
        <v>0.51</v>
      </c>
      <c r="S99" s="718">
        <f t="shared" si="23"/>
        <v>32.119799999999998</v>
      </c>
    </row>
    <row r="100" spans="1:19" ht="14.25">
      <c r="A100" s="3177">
        <v>104</v>
      </c>
      <c r="B100" s="3177">
        <v>44.73</v>
      </c>
      <c r="C100" s="24">
        <f t="shared" si="24"/>
        <v>1</v>
      </c>
      <c r="D100" s="719"/>
      <c r="E100" s="24">
        <f t="shared" si="26"/>
        <v>1</v>
      </c>
      <c r="F100" s="719"/>
      <c r="G100" s="24">
        <f t="shared" si="27"/>
        <v>1</v>
      </c>
      <c r="H100" s="719"/>
      <c r="I100" s="24">
        <f t="shared" si="28"/>
        <v>1</v>
      </c>
      <c r="J100" s="719"/>
      <c r="K100" s="24">
        <f t="shared" si="29"/>
        <v>1</v>
      </c>
      <c r="L100" s="719"/>
      <c r="M100" s="24">
        <f t="shared" si="30"/>
        <v>1</v>
      </c>
      <c r="N100" s="719"/>
      <c r="O100" s="24">
        <f t="shared" si="31"/>
        <v>1</v>
      </c>
      <c r="P100" s="719">
        <v>1</v>
      </c>
      <c r="Q100" s="24">
        <f t="shared" si="32"/>
        <v>1</v>
      </c>
      <c r="R100" s="715">
        <f t="shared" si="25"/>
        <v>0.52</v>
      </c>
      <c r="S100" s="718">
        <f t="shared" si="23"/>
        <v>23.259599999999999</v>
      </c>
    </row>
    <row r="101" spans="1:19" ht="14.25">
      <c r="A101" s="3177">
        <v>105</v>
      </c>
      <c r="B101" s="3177">
        <v>63.12</v>
      </c>
      <c r="C101" s="24">
        <f t="shared" si="24"/>
        <v>0.99</v>
      </c>
      <c r="D101" s="719"/>
      <c r="E101" s="24">
        <f t="shared" si="26"/>
        <v>1</v>
      </c>
      <c r="F101" s="719"/>
      <c r="G101" s="24">
        <f t="shared" si="27"/>
        <v>1</v>
      </c>
      <c r="H101" s="719"/>
      <c r="I101" s="24">
        <f t="shared" si="28"/>
        <v>1</v>
      </c>
      <c r="J101" s="719"/>
      <c r="K101" s="24">
        <f t="shared" si="29"/>
        <v>1</v>
      </c>
      <c r="L101" s="719"/>
      <c r="M101" s="24">
        <f t="shared" si="30"/>
        <v>1</v>
      </c>
      <c r="N101" s="719"/>
      <c r="O101" s="24">
        <f t="shared" si="31"/>
        <v>1</v>
      </c>
      <c r="P101" s="719">
        <v>1</v>
      </c>
      <c r="Q101" s="24">
        <f t="shared" si="32"/>
        <v>1</v>
      </c>
      <c r="R101" s="715">
        <f t="shared" si="25"/>
        <v>0.51</v>
      </c>
      <c r="S101" s="718">
        <f t="shared" si="23"/>
        <v>32.191200000000002</v>
      </c>
    </row>
    <row r="102" spans="1:19" ht="14.25">
      <c r="A102" s="3177">
        <v>106</v>
      </c>
      <c r="B102" s="3177">
        <v>64.400000000000006</v>
      </c>
      <c r="C102" s="24">
        <f t="shared" si="24"/>
        <v>0.99</v>
      </c>
      <c r="D102" s="719"/>
      <c r="E102" s="24">
        <f t="shared" si="26"/>
        <v>1</v>
      </c>
      <c r="F102" s="719"/>
      <c r="G102" s="24">
        <f t="shared" si="27"/>
        <v>1</v>
      </c>
      <c r="H102" s="719"/>
      <c r="I102" s="24">
        <f t="shared" si="28"/>
        <v>1</v>
      </c>
      <c r="J102" s="719"/>
      <c r="K102" s="24">
        <f t="shared" si="29"/>
        <v>1</v>
      </c>
      <c r="L102" s="719"/>
      <c r="M102" s="24">
        <f t="shared" si="30"/>
        <v>1</v>
      </c>
      <c r="N102" s="719"/>
      <c r="O102" s="24">
        <f t="shared" si="31"/>
        <v>1</v>
      </c>
      <c r="P102" s="719">
        <v>1</v>
      </c>
      <c r="Q102" s="24">
        <f t="shared" si="32"/>
        <v>1</v>
      </c>
      <c r="R102" s="715">
        <f t="shared" si="25"/>
        <v>0.51</v>
      </c>
      <c r="S102" s="718">
        <f t="shared" si="23"/>
        <v>32.844000000000001</v>
      </c>
    </row>
    <row r="103" spans="1:19" ht="14.25">
      <c r="A103" s="3177">
        <v>107</v>
      </c>
      <c r="B103" s="3177">
        <v>15.85</v>
      </c>
      <c r="C103" s="24">
        <f t="shared" si="24"/>
        <v>1</v>
      </c>
      <c r="D103" s="719"/>
      <c r="E103" s="24">
        <f t="shared" si="26"/>
        <v>1</v>
      </c>
      <c r="F103" s="719"/>
      <c r="G103" s="24">
        <f t="shared" si="27"/>
        <v>1</v>
      </c>
      <c r="H103" s="719"/>
      <c r="I103" s="24">
        <f t="shared" si="28"/>
        <v>1</v>
      </c>
      <c r="J103" s="719"/>
      <c r="K103" s="24">
        <f t="shared" si="29"/>
        <v>1</v>
      </c>
      <c r="L103" s="719"/>
      <c r="M103" s="24">
        <f t="shared" si="30"/>
        <v>1</v>
      </c>
      <c r="N103" s="719"/>
      <c r="O103" s="24">
        <f t="shared" si="31"/>
        <v>1</v>
      </c>
      <c r="P103" s="719">
        <v>1</v>
      </c>
      <c r="Q103" s="24">
        <f t="shared" si="32"/>
        <v>1</v>
      </c>
      <c r="R103" s="715">
        <f t="shared" si="25"/>
        <v>0.52</v>
      </c>
      <c r="S103" s="718">
        <f t="shared" si="23"/>
        <v>8.2420000000000009</v>
      </c>
    </row>
    <row r="104" spans="1:19" ht="14.25">
      <c r="A104" s="3177">
        <v>201</v>
      </c>
      <c r="B104" s="3177">
        <v>748.67</v>
      </c>
      <c r="C104" s="24">
        <f t="shared" si="24"/>
        <v>0.88</v>
      </c>
      <c r="D104" s="719"/>
      <c r="E104" s="24">
        <f t="shared" si="26"/>
        <v>1</v>
      </c>
      <c r="F104" s="719"/>
      <c r="G104" s="24">
        <f t="shared" si="27"/>
        <v>1</v>
      </c>
      <c r="H104" s="719"/>
      <c r="I104" s="24">
        <f t="shared" si="28"/>
        <v>1</v>
      </c>
      <c r="J104" s="719"/>
      <c r="K104" s="24">
        <f t="shared" si="29"/>
        <v>1</v>
      </c>
      <c r="L104" s="719"/>
      <c r="M104" s="24">
        <f t="shared" si="30"/>
        <v>1</v>
      </c>
      <c r="N104" s="719"/>
      <c r="O104" s="24">
        <f t="shared" si="31"/>
        <v>1</v>
      </c>
      <c r="P104" s="719">
        <v>2</v>
      </c>
      <c r="Q104" s="24">
        <f t="shared" si="32"/>
        <v>0.65</v>
      </c>
      <c r="R104" s="715">
        <f t="shared" si="25"/>
        <v>0.3</v>
      </c>
      <c r="S104" s="718">
        <f t="shared" si="23"/>
        <v>224.601</v>
      </c>
    </row>
    <row r="105" spans="1:19" ht="14.25">
      <c r="A105" s="3177">
        <v>301</v>
      </c>
      <c r="B105" s="3177">
        <v>765.57</v>
      </c>
      <c r="C105" s="24">
        <f t="shared" si="24"/>
        <v>0.88</v>
      </c>
      <c r="D105" s="719"/>
      <c r="E105" s="24">
        <f t="shared" si="26"/>
        <v>1</v>
      </c>
      <c r="F105" s="719"/>
      <c r="G105" s="24">
        <f t="shared" si="27"/>
        <v>1</v>
      </c>
      <c r="H105" s="719"/>
      <c r="I105" s="24">
        <f t="shared" si="28"/>
        <v>1</v>
      </c>
      <c r="J105" s="719"/>
      <c r="K105" s="24">
        <f t="shared" si="29"/>
        <v>1</v>
      </c>
      <c r="L105" s="719"/>
      <c r="M105" s="24">
        <f t="shared" si="30"/>
        <v>1</v>
      </c>
      <c r="N105" s="719"/>
      <c r="O105" s="24">
        <f t="shared" si="31"/>
        <v>1</v>
      </c>
      <c r="P105" s="719">
        <v>3</v>
      </c>
      <c r="Q105" s="24">
        <f t="shared" si="32"/>
        <v>0.6</v>
      </c>
      <c r="R105" s="715">
        <f t="shared" si="25"/>
        <v>0.27</v>
      </c>
      <c r="S105" s="718">
        <f t="shared" si="23"/>
        <v>206.7039</v>
      </c>
    </row>
    <row r="106" spans="1:19" ht="14.25">
      <c r="A106" s="3177">
        <v>401</v>
      </c>
      <c r="B106" s="3177">
        <v>680.75</v>
      </c>
      <c r="C106" s="24">
        <f t="shared" si="24"/>
        <v>0.89</v>
      </c>
      <c r="D106" s="719"/>
      <c r="E106" s="24">
        <f t="shared" si="26"/>
        <v>1</v>
      </c>
      <c r="F106" s="719"/>
      <c r="G106" s="24">
        <f t="shared" si="27"/>
        <v>1</v>
      </c>
      <c r="H106" s="719"/>
      <c r="I106" s="24">
        <f t="shared" si="28"/>
        <v>1</v>
      </c>
      <c r="J106" s="719"/>
      <c r="K106" s="24">
        <f t="shared" si="29"/>
        <v>1</v>
      </c>
      <c r="L106" s="719"/>
      <c r="M106" s="24">
        <f t="shared" si="30"/>
        <v>1</v>
      </c>
      <c r="N106" s="719"/>
      <c r="O106" s="24">
        <f t="shared" si="31"/>
        <v>1</v>
      </c>
      <c r="P106" s="719">
        <v>4</v>
      </c>
      <c r="Q106" s="24">
        <f t="shared" si="32"/>
        <v>0.5</v>
      </c>
      <c r="R106" s="715">
        <f t="shared" si="25"/>
        <v>0.23</v>
      </c>
      <c r="S106" s="718">
        <f t="shared" si="23"/>
        <v>156.57249999999999</v>
      </c>
    </row>
    <row r="107" spans="1:19" ht="14.25">
      <c r="A107" s="3177">
        <v>201</v>
      </c>
      <c r="B107" s="3177">
        <v>1175.9000000000001</v>
      </c>
      <c r="C107" s="24">
        <f t="shared" si="24"/>
        <v>0.84</v>
      </c>
      <c r="D107" s="719"/>
      <c r="E107" s="24">
        <f t="shared" si="26"/>
        <v>1</v>
      </c>
      <c r="F107" s="719"/>
      <c r="G107" s="24">
        <f t="shared" si="27"/>
        <v>1</v>
      </c>
      <c r="H107" s="719"/>
      <c r="I107" s="24">
        <f t="shared" si="28"/>
        <v>1</v>
      </c>
      <c r="J107" s="719"/>
      <c r="K107" s="24">
        <f t="shared" si="29"/>
        <v>1</v>
      </c>
      <c r="L107" s="719"/>
      <c r="M107" s="24">
        <f t="shared" si="30"/>
        <v>1</v>
      </c>
      <c r="N107" s="719"/>
      <c r="O107" s="24">
        <f t="shared" si="31"/>
        <v>1</v>
      </c>
      <c r="P107" s="719">
        <v>2</v>
      </c>
      <c r="Q107" s="24">
        <f t="shared" si="32"/>
        <v>0.65</v>
      </c>
      <c r="R107" s="715">
        <f t="shared" si="25"/>
        <v>0.28000000000000003</v>
      </c>
      <c r="S107" s="718">
        <f t="shared" si="23"/>
        <v>329.25200000000001</v>
      </c>
    </row>
    <row r="108" spans="1:19" ht="14.25">
      <c r="A108" s="3177">
        <v>301</v>
      </c>
      <c r="B108" s="3177">
        <v>2065.16</v>
      </c>
      <c r="C108" s="24">
        <f t="shared" si="24"/>
        <v>0.84</v>
      </c>
      <c r="D108" s="719"/>
      <c r="E108" s="24">
        <f t="shared" si="26"/>
        <v>1</v>
      </c>
      <c r="F108" s="719"/>
      <c r="G108" s="24">
        <f t="shared" si="27"/>
        <v>1</v>
      </c>
      <c r="H108" s="719"/>
      <c r="I108" s="24">
        <f t="shared" si="28"/>
        <v>1</v>
      </c>
      <c r="J108" s="719"/>
      <c r="K108" s="24">
        <f t="shared" si="29"/>
        <v>1</v>
      </c>
      <c r="L108" s="719"/>
      <c r="M108" s="24">
        <f t="shared" si="30"/>
        <v>1</v>
      </c>
      <c r="N108" s="719"/>
      <c r="O108" s="24">
        <f t="shared" si="31"/>
        <v>1</v>
      </c>
      <c r="P108" s="719">
        <v>3</v>
      </c>
      <c r="Q108" s="24">
        <f t="shared" si="32"/>
        <v>0.6</v>
      </c>
      <c r="R108" s="715">
        <f t="shared" si="25"/>
        <v>0.26</v>
      </c>
      <c r="S108" s="718">
        <f t="shared" si="23"/>
        <v>536.94159999999999</v>
      </c>
    </row>
    <row r="109" spans="1:19" ht="14.25">
      <c r="A109" s="3177">
        <v>401</v>
      </c>
      <c r="B109" s="3177">
        <v>3363.01</v>
      </c>
      <c r="C109" s="24">
        <f t="shared" si="24"/>
        <v>0.84</v>
      </c>
      <c r="D109" s="719"/>
      <c r="E109" s="24">
        <f t="shared" si="26"/>
        <v>1</v>
      </c>
      <c r="F109" s="719"/>
      <c r="G109" s="24">
        <f t="shared" si="27"/>
        <v>1</v>
      </c>
      <c r="H109" s="719"/>
      <c r="I109" s="24">
        <f t="shared" si="28"/>
        <v>1</v>
      </c>
      <c r="J109" s="719"/>
      <c r="K109" s="24">
        <f t="shared" si="29"/>
        <v>1</v>
      </c>
      <c r="L109" s="719"/>
      <c r="M109" s="24">
        <f t="shared" si="30"/>
        <v>1</v>
      </c>
      <c r="N109" s="719"/>
      <c r="O109" s="24">
        <f t="shared" si="31"/>
        <v>1</v>
      </c>
      <c r="P109" s="719">
        <v>4</v>
      </c>
      <c r="Q109" s="24">
        <f t="shared" si="32"/>
        <v>0.5</v>
      </c>
      <c r="R109" s="715">
        <f t="shared" si="25"/>
        <v>0.22</v>
      </c>
      <c r="S109" s="718">
        <f t="shared" si="23"/>
        <v>739.86220000000003</v>
      </c>
    </row>
    <row r="110" spans="1:19" ht="14.25">
      <c r="A110" s="3177">
        <v>101</v>
      </c>
      <c r="B110" s="3177">
        <v>8.8800000000000008</v>
      </c>
      <c r="C110" s="24">
        <f t="shared" si="24"/>
        <v>1</v>
      </c>
      <c r="D110" s="719"/>
      <c r="E110" s="24">
        <f t="shared" si="26"/>
        <v>1</v>
      </c>
      <c r="F110" s="719"/>
      <c r="G110" s="24">
        <f t="shared" si="27"/>
        <v>1</v>
      </c>
      <c r="H110" s="719"/>
      <c r="I110" s="24">
        <f t="shared" si="28"/>
        <v>1</v>
      </c>
      <c r="J110" s="719"/>
      <c r="K110" s="24">
        <f t="shared" si="29"/>
        <v>1</v>
      </c>
      <c r="L110" s="719"/>
      <c r="M110" s="24">
        <f t="shared" si="30"/>
        <v>1</v>
      </c>
      <c r="N110" s="719"/>
      <c r="O110" s="24">
        <f t="shared" si="31"/>
        <v>1</v>
      </c>
      <c r="P110" s="719">
        <v>1</v>
      </c>
      <c r="Q110" s="24">
        <f t="shared" si="32"/>
        <v>1</v>
      </c>
      <c r="R110" s="715">
        <f t="shared" si="25"/>
        <v>0.52</v>
      </c>
      <c r="S110" s="718">
        <f t="shared" si="23"/>
        <v>4.6176000000000004</v>
      </c>
    </row>
    <row r="111" spans="1:19" ht="14.25">
      <c r="A111" s="3177">
        <v>102</v>
      </c>
      <c r="B111" s="3177">
        <v>46.33</v>
      </c>
      <c r="C111" s="24">
        <f t="shared" si="24"/>
        <v>1</v>
      </c>
      <c r="D111" s="719"/>
      <c r="E111" s="24">
        <f t="shared" si="26"/>
        <v>1</v>
      </c>
      <c r="F111" s="719"/>
      <c r="G111" s="24">
        <f t="shared" si="27"/>
        <v>1</v>
      </c>
      <c r="H111" s="719"/>
      <c r="I111" s="24">
        <f t="shared" si="28"/>
        <v>1</v>
      </c>
      <c r="J111" s="719"/>
      <c r="K111" s="24">
        <f t="shared" si="29"/>
        <v>1</v>
      </c>
      <c r="L111" s="719"/>
      <c r="M111" s="24">
        <f t="shared" si="30"/>
        <v>1</v>
      </c>
      <c r="N111" s="719"/>
      <c r="O111" s="24">
        <f t="shared" si="31"/>
        <v>1</v>
      </c>
      <c r="P111" s="719">
        <v>1</v>
      </c>
      <c r="Q111" s="24">
        <f t="shared" si="32"/>
        <v>1</v>
      </c>
      <c r="R111" s="715">
        <f t="shared" si="25"/>
        <v>0.52</v>
      </c>
      <c r="S111" s="718">
        <f t="shared" si="23"/>
        <v>24.0916</v>
      </c>
    </row>
    <row r="112" spans="1:19" ht="14.25">
      <c r="A112" s="3177">
        <v>104</v>
      </c>
      <c r="B112" s="3177">
        <v>46.64</v>
      </c>
      <c r="C112" s="24">
        <f t="shared" si="24"/>
        <v>1</v>
      </c>
      <c r="D112" s="719"/>
      <c r="E112" s="24">
        <f t="shared" si="26"/>
        <v>1</v>
      </c>
      <c r="F112" s="719"/>
      <c r="G112" s="24">
        <f t="shared" si="27"/>
        <v>1</v>
      </c>
      <c r="H112" s="719"/>
      <c r="I112" s="24">
        <f t="shared" si="28"/>
        <v>1</v>
      </c>
      <c r="J112" s="719"/>
      <c r="K112" s="24">
        <f t="shared" si="29"/>
        <v>1</v>
      </c>
      <c r="L112" s="719"/>
      <c r="M112" s="24">
        <f t="shared" si="30"/>
        <v>1</v>
      </c>
      <c r="N112" s="719"/>
      <c r="O112" s="24">
        <f t="shared" si="31"/>
        <v>1</v>
      </c>
      <c r="P112" s="719">
        <v>1</v>
      </c>
      <c r="Q112" s="24">
        <f t="shared" si="32"/>
        <v>1</v>
      </c>
      <c r="R112" s="715">
        <f t="shared" si="25"/>
        <v>0.52</v>
      </c>
      <c r="S112" s="718">
        <f t="shared" si="23"/>
        <v>24.252800000000001</v>
      </c>
    </row>
    <row r="113" spans="1:19" ht="14.25">
      <c r="A113" s="3177">
        <v>105</v>
      </c>
      <c r="B113" s="3177">
        <v>61.66</v>
      </c>
      <c r="C113" s="24">
        <f t="shared" si="24"/>
        <v>0.99</v>
      </c>
      <c r="D113" s="719"/>
      <c r="E113" s="24">
        <f t="shared" si="26"/>
        <v>1</v>
      </c>
      <c r="F113" s="719"/>
      <c r="G113" s="24">
        <f t="shared" si="27"/>
        <v>1</v>
      </c>
      <c r="H113" s="719"/>
      <c r="I113" s="24">
        <f t="shared" si="28"/>
        <v>1</v>
      </c>
      <c r="J113" s="719"/>
      <c r="K113" s="24">
        <f t="shared" si="29"/>
        <v>1</v>
      </c>
      <c r="L113" s="719"/>
      <c r="M113" s="24">
        <f t="shared" si="30"/>
        <v>1</v>
      </c>
      <c r="N113" s="719"/>
      <c r="O113" s="24">
        <f t="shared" si="31"/>
        <v>1</v>
      </c>
      <c r="P113" s="719">
        <v>1</v>
      </c>
      <c r="Q113" s="24">
        <f t="shared" si="32"/>
        <v>1</v>
      </c>
      <c r="R113" s="715">
        <f t="shared" si="25"/>
        <v>0.51</v>
      </c>
      <c r="S113" s="718">
        <f t="shared" si="23"/>
        <v>31.4466</v>
      </c>
    </row>
    <row r="114" spans="1:19" ht="14.25">
      <c r="A114" s="3177">
        <v>201</v>
      </c>
      <c r="B114" s="3177">
        <v>523.98</v>
      </c>
      <c r="C114" s="24">
        <f t="shared" si="24"/>
        <v>0.92</v>
      </c>
      <c r="D114" s="719"/>
      <c r="E114" s="24">
        <f t="shared" si="26"/>
        <v>1</v>
      </c>
      <c r="F114" s="719"/>
      <c r="G114" s="24">
        <f t="shared" si="27"/>
        <v>1</v>
      </c>
      <c r="H114" s="719"/>
      <c r="I114" s="24">
        <f t="shared" si="28"/>
        <v>1</v>
      </c>
      <c r="J114" s="719"/>
      <c r="K114" s="24">
        <f t="shared" si="29"/>
        <v>1</v>
      </c>
      <c r="L114" s="719"/>
      <c r="M114" s="24">
        <f t="shared" si="30"/>
        <v>1</v>
      </c>
      <c r="N114" s="719"/>
      <c r="O114" s="24">
        <f t="shared" si="31"/>
        <v>1</v>
      </c>
      <c r="P114" s="719">
        <v>2</v>
      </c>
      <c r="Q114" s="24">
        <f t="shared" si="32"/>
        <v>0.65</v>
      </c>
      <c r="R114" s="715">
        <f t="shared" si="25"/>
        <v>0.31</v>
      </c>
      <c r="S114" s="718">
        <f t="shared" si="23"/>
        <v>162.43379999999999</v>
      </c>
    </row>
    <row r="115" spans="1:19" ht="14.25">
      <c r="A115" s="3177">
        <v>301</v>
      </c>
      <c r="B115" s="3177">
        <v>523.36</v>
      </c>
      <c r="C115" s="24">
        <f t="shared" si="24"/>
        <v>0.92</v>
      </c>
      <c r="D115" s="719"/>
      <c r="E115" s="24">
        <f t="shared" si="26"/>
        <v>1</v>
      </c>
      <c r="F115" s="719"/>
      <c r="G115" s="24">
        <f t="shared" si="27"/>
        <v>1</v>
      </c>
      <c r="H115" s="719"/>
      <c r="I115" s="24">
        <f t="shared" si="28"/>
        <v>1</v>
      </c>
      <c r="J115" s="719"/>
      <c r="K115" s="24">
        <f t="shared" si="29"/>
        <v>1</v>
      </c>
      <c r="L115" s="719"/>
      <c r="M115" s="24">
        <f t="shared" si="30"/>
        <v>1</v>
      </c>
      <c r="N115" s="719"/>
      <c r="O115" s="24">
        <f t="shared" si="31"/>
        <v>1</v>
      </c>
      <c r="P115" s="719">
        <v>3</v>
      </c>
      <c r="Q115" s="24">
        <f t="shared" si="32"/>
        <v>0.6</v>
      </c>
      <c r="R115" s="715">
        <f t="shared" si="25"/>
        <v>0.28999999999999998</v>
      </c>
      <c r="S115" s="718">
        <f t="shared" si="23"/>
        <v>151.77440000000001</v>
      </c>
    </row>
    <row r="116" spans="1:19" ht="14.25">
      <c r="A116" s="3177">
        <v>401</v>
      </c>
      <c r="B116" s="3177">
        <v>465.77</v>
      </c>
      <c r="C116" s="24">
        <f t="shared" si="24"/>
        <v>0.93</v>
      </c>
      <c r="D116" s="719"/>
      <c r="E116" s="24">
        <f t="shared" si="26"/>
        <v>1</v>
      </c>
      <c r="F116" s="719"/>
      <c r="G116" s="24">
        <f t="shared" si="27"/>
        <v>1</v>
      </c>
      <c r="H116" s="719"/>
      <c r="I116" s="24">
        <f t="shared" si="28"/>
        <v>1</v>
      </c>
      <c r="J116" s="719"/>
      <c r="K116" s="24">
        <f t="shared" si="29"/>
        <v>1</v>
      </c>
      <c r="L116" s="719"/>
      <c r="M116" s="24">
        <f t="shared" si="30"/>
        <v>1</v>
      </c>
      <c r="N116" s="719"/>
      <c r="O116" s="24">
        <f t="shared" si="31"/>
        <v>1</v>
      </c>
      <c r="P116" s="719">
        <v>4</v>
      </c>
      <c r="Q116" s="24">
        <f t="shared" si="32"/>
        <v>0.5</v>
      </c>
      <c r="R116" s="715">
        <f t="shared" si="25"/>
        <v>0.24</v>
      </c>
      <c r="S116" s="718">
        <f t="shared" si="23"/>
        <v>111.7848</v>
      </c>
    </row>
    <row r="117" spans="1:19" ht="14.25">
      <c r="A117" s="3177">
        <v>107</v>
      </c>
      <c r="B117" s="3177">
        <v>63.63</v>
      </c>
      <c r="C117" s="24">
        <f t="shared" si="24"/>
        <v>0.99</v>
      </c>
      <c r="D117" s="719"/>
      <c r="E117" s="24">
        <f t="shared" si="26"/>
        <v>1</v>
      </c>
      <c r="F117" s="719"/>
      <c r="G117" s="24">
        <f t="shared" si="27"/>
        <v>1</v>
      </c>
      <c r="H117" s="719"/>
      <c r="I117" s="24">
        <f t="shared" si="28"/>
        <v>1</v>
      </c>
      <c r="J117" s="719"/>
      <c r="K117" s="24">
        <f t="shared" si="29"/>
        <v>1</v>
      </c>
      <c r="L117" s="719"/>
      <c r="M117" s="24">
        <f t="shared" si="30"/>
        <v>1</v>
      </c>
      <c r="N117" s="719"/>
      <c r="O117" s="24">
        <f t="shared" si="31"/>
        <v>1</v>
      </c>
      <c r="P117" s="719">
        <v>1</v>
      </c>
      <c r="Q117" s="24">
        <f t="shared" si="32"/>
        <v>1</v>
      </c>
      <c r="R117" s="715">
        <f t="shared" si="25"/>
        <v>0.51</v>
      </c>
      <c r="S117" s="718">
        <f t="shared" si="23"/>
        <v>32.451300000000003</v>
      </c>
    </row>
    <row r="118" spans="1:19" ht="14.25">
      <c r="A118" s="3177">
        <v>108</v>
      </c>
      <c r="B118" s="3177">
        <v>8.3000000000000007</v>
      </c>
      <c r="C118" s="24">
        <f t="shared" si="24"/>
        <v>1</v>
      </c>
      <c r="D118" s="719"/>
      <c r="E118" s="24">
        <f t="shared" si="26"/>
        <v>1</v>
      </c>
      <c r="F118" s="719"/>
      <c r="G118" s="24">
        <f t="shared" si="27"/>
        <v>1</v>
      </c>
      <c r="H118" s="719"/>
      <c r="I118" s="24">
        <f t="shared" si="28"/>
        <v>1</v>
      </c>
      <c r="J118" s="719"/>
      <c r="K118" s="24">
        <f t="shared" si="29"/>
        <v>1</v>
      </c>
      <c r="L118" s="719"/>
      <c r="M118" s="24">
        <f t="shared" si="30"/>
        <v>1</v>
      </c>
      <c r="N118" s="719"/>
      <c r="O118" s="24">
        <f t="shared" si="31"/>
        <v>1</v>
      </c>
      <c r="P118" s="719">
        <v>1</v>
      </c>
      <c r="Q118" s="24">
        <f t="shared" si="32"/>
        <v>1</v>
      </c>
      <c r="R118" s="715">
        <f t="shared" si="25"/>
        <v>0.52</v>
      </c>
      <c r="S118" s="718">
        <f t="shared" si="23"/>
        <v>4.3159999999999998</v>
      </c>
    </row>
    <row r="119" spans="1:19" ht="14.25">
      <c r="A119" s="3177">
        <v>109</v>
      </c>
      <c r="B119" s="3177">
        <v>22.91</v>
      </c>
      <c r="C119" s="24">
        <f t="shared" si="24"/>
        <v>1</v>
      </c>
      <c r="D119" s="719"/>
      <c r="E119" s="24">
        <f t="shared" si="26"/>
        <v>1</v>
      </c>
      <c r="F119" s="719"/>
      <c r="G119" s="24">
        <f t="shared" si="27"/>
        <v>1</v>
      </c>
      <c r="H119" s="719"/>
      <c r="I119" s="24">
        <f t="shared" si="28"/>
        <v>1</v>
      </c>
      <c r="J119" s="719"/>
      <c r="K119" s="24">
        <f t="shared" si="29"/>
        <v>1</v>
      </c>
      <c r="L119" s="719"/>
      <c r="M119" s="24">
        <f t="shared" si="30"/>
        <v>1</v>
      </c>
      <c r="N119" s="719"/>
      <c r="O119" s="24">
        <f t="shared" si="31"/>
        <v>1</v>
      </c>
      <c r="P119" s="719">
        <v>1</v>
      </c>
      <c r="Q119" s="24">
        <f t="shared" si="32"/>
        <v>1</v>
      </c>
      <c r="R119" s="715">
        <f t="shared" si="25"/>
        <v>0.52</v>
      </c>
      <c r="S119" s="718">
        <f t="shared" si="23"/>
        <v>11.9132</v>
      </c>
    </row>
    <row r="120" spans="1:19" ht="14.25">
      <c r="A120" s="3177">
        <v>110</v>
      </c>
      <c r="B120" s="3177">
        <v>16.07</v>
      </c>
      <c r="C120" s="24">
        <f t="shared" si="24"/>
        <v>1</v>
      </c>
      <c r="D120" s="719"/>
      <c r="E120" s="24">
        <f t="shared" si="26"/>
        <v>1</v>
      </c>
      <c r="F120" s="719"/>
      <c r="G120" s="24">
        <f t="shared" si="27"/>
        <v>1</v>
      </c>
      <c r="H120" s="719"/>
      <c r="I120" s="24">
        <f t="shared" si="28"/>
        <v>1</v>
      </c>
      <c r="J120" s="719"/>
      <c r="K120" s="24">
        <f t="shared" si="29"/>
        <v>1</v>
      </c>
      <c r="L120" s="719"/>
      <c r="M120" s="24">
        <f t="shared" si="30"/>
        <v>1</v>
      </c>
      <c r="N120" s="719"/>
      <c r="O120" s="24">
        <f t="shared" si="31"/>
        <v>1</v>
      </c>
      <c r="P120" s="719">
        <v>1</v>
      </c>
      <c r="Q120" s="24">
        <f t="shared" si="32"/>
        <v>1</v>
      </c>
      <c r="R120" s="715">
        <f t="shared" si="25"/>
        <v>0.52</v>
      </c>
      <c r="S120" s="718">
        <f t="shared" ref="S120:S151" si="33">ROUND(R120*B120,4)</f>
        <v>8.3564000000000007</v>
      </c>
    </row>
    <row r="121" spans="1:19" ht="14.25">
      <c r="A121" s="3177">
        <v>202</v>
      </c>
      <c r="B121" s="3177">
        <v>354.56</v>
      </c>
      <c r="C121" s="24">
        <f t="shared" si="24"/>
        <v>0.95</v>
      </c>
      <c r="D121" s="719"/>
      <c r="E121" s="24">
        <f t="shared" si="26"/>
        <v>1</v>
      </c>
      <c r="F121" s="719"/>
      <c r="G121" s="24">
        <f t="shared" si="27"/>
        <v>1</v>
      </c>
      <c r="H121" s="719"/>
      <c r="I121" s="24">
        <f t="shared" si="28"/>
        <v>1</v>
      </c>
      <c r="J121" s="719"/>
      <c r="K121" s="24">
        <f t="shared" si="29"/>
        <v>1</v>
      </c>
      <c r="L121" s="719"/>
      <c r="M121" s="24">
        <f t="shared" si="30"/>
        <v>1</v>
      </c>
      <c r="N121" s="719"/>
      <c r="O121" s="24">
        <f t="shared" si="31"/>
        <v>1</v>
      </c>
      <c r="P121" s="719">
        <v>2</v>
      </c>
      <c r="Q121" s="24">
        <f t="shared" si="32"/>
        <v>0.65</v>
      </c>
      <c r="R121" s="715">
        <f t="shared" ref="R121:R152" si="34">IF(B121="",0,ROUND($R$24*C121*E121*G121*I121*K121*M121*O121*Q121,2))</f>
        <v>0.32</v>
      </c>
      <c r="S121" s="718">
        <f t="shared" si="33"/>
        <v>113.4592</v>
      </c>
    </row>
    <row r="122" spans="1:19" ht="14.25">
      <c r="A122" s="3177">
        <v>302</v>
      </c>
      <c r="B122" s="3177">
        <v>385.18</v>
      </c>
      <c r="C122" s="24">
        <f t="shared" si="24"/>
        <v>0.94</v>
      </c>
      <c r="D122" s="719"/>
      <c r="E122" s="24">
        <f t="shared" si="26"/>
        <v>1</v>
      </c>
      <c r="F122" s="719"/>
      <c r="G122" s="24">
        <f t="shared" si="27"/>
        <v>1</v>
      </c>
      <c r="H122" s="719"/>
      <c r="I122" s="24">
        <f t="shared" si="28"/>
        <v>1</v>
      </c>
      <c r="J122" s="719"/>
      <c r="K122" s="24">
        <f t="shared" si="29"/>
        <v>1</v>
      </c>
      <c r="L122" s="719"/>
      <c r="M122" s="24">
        <f t="shared" si="30"/>
        <v>1</v>
      </c>
      <c r="N122" s="719"/>
      <c r="O122" s="24">
        <f t="shared" si="31"/>
        <v>1</v>
      </c>
      <c r="P122" s="719">
        <v>3</v>
      </c>
      <c r="Q122" s="24">
        <f t="shared" si="32"/>
        <v>0.6</v>
      </c>
      <c r="R122" s="715">
        <f t="shared" si="34"/>
        <v>0.28999999999999998</v>
      </c>
      <c r="S122" s="718">
        <f t="shared" si="33"/>
        <v>111.7022</v>
      </c>
    </row>
    <row r="123" spans="1:19" ht="14.25">
      <c r="A123" s="3177">
        <v>402</v>
      </c>
      <c r="B123" s="3177">
        <v>354.56</v>
      </c>
      <c r="C123" s="24">
        <f t="shared" si="24"/>
        <v>0.95</v>
      </c>
      <c r="D123" s="719"/>
      <c r="E123" s="24">
        <f t="shared" si="26"/>
        <v>1</v>
      </c>
      <c r="F123" s="719"/>
      <c r="G123" s="24">
        <f t="shared" si="27"/>
        <v>1</v>
      </c>
      <c r="H123" s="719"/>
      <c r="I123" s="24">
        <f t="shared" si="28"/>
        <v>1</v>
      </c>
      <c r="J123" s="719"/>
      <c r="K123" s="24">
        <f t="shared" si="29"/>
        <v>1</v>
      </c>
      <c r="L123" s="719"/>
      <c r="M123" s="24">
        <f t="shared" si="30"/>
        <v>1</v>
      </c>
      <c r="N123" s="719"/>
      <c r="O123" s="24">
        <f t="shared" si="31"/>
        <v>1</v>
      </c>
      <c r="P123" s="719">
        <v>4</v>
      </c>
      <c r="Q123" s="24">
        <f t="shared" si="32"/>
        <v>0.5</v>
      </c>
      <c r="R123" s="715">
        <f t="shared" si="34"/>
        <v>0.25</v>
      </c>
      <c r="S123" s="718">
        <f t="shared" si="33"/>
        <v>88.64</v>
      </c>
    </row>
    <row r="124" spans="1:19" ht="14.25">
      <c r="A124" s="3177">
        <v>112</v>
      </c>
      <c r="B124" s="3177">
        <v>49.13</v>
      </c>
      <c r="C124" s="24">
        <f t="shared" si="24"/>
        <v>1</v>
      </c>
      <c r="D124" s="719"/>
      <c r="E124" s="24">
        <f t="shared" si="26"/>
        <v>1</v>
      </c>
      <c r="F124" s="719"/>
      <c r="G124" s="24">
        <f t="shared" si="27"/>
        <v>1</v>
      </c>
      <c r="H124" s="719"/>
      <c r="I124" s="24">
        <f t="shared" si="28"/>
        <v>1</v>
      </c>
      <c r="J124" s="719"/>
      <c r="K124" s="24">
        <f t="shared" si="29"/>
        <v>1</v>
      </c>
      <c r="L124" s="719"/>
      <c r="M124" s="24">
        <f t="shared" si="30"/>
        <v>1</v>
      </c>
      <c r="N124" s="719"/>
      <c r="O124" s="24">
        <f t="shared" si="31"/>
        <v>1</v>
      </c>
      <c r="P124" s="719">
        <v>1</v>
      </c>
      <c r="Q124" s="24">
        <f t="shared" si="32"/>
        <v>1</v>
      </c>
      <c r="R124" s="715">
        <f t="shared" si="34"/>
        <v>0.52</v>
      </c>
      <c r="S124" s="718">
        <f t="shared" si="33"/>
        <v>25.547599999999999</v>
      </c>
    </row>
    <row r="125" spans="1:19" ht="14.25">
      <c r="A125" s="3177">
        <v>113</v>
      </c>
      <c r="B125" s="3177">
        <v>126.59</v>
      </c>
      <c r="C125" s="24">
        <f t="shared" si="24"/>
        <v>0.98</v>
      </c>
      <c r="D125" s="719"/>
      <c r="E125" s="24">
        <f t="shared" si="26"/>
        <v>1</v>
      </c>
      <c r="F125" s="719"/>
      <c r="G125" s="24">
        <f t="shared" si="27"/>
        <v>1</v>
      </c>
      <c r="H125" s="719"/>
      <c r="I125" s="24">
        <f t="shared" si="28"/>
        <v>1</v>
      </c>
      <c r="J125" s="719"/>
      <c r="K125" s="24">
        <f t="shared" si="29"/>
        <v>1</v>
      </c>
      <c r="L125" s="719"/>
      <c r="M125" s="24">
        <f t="shared" si="30"/>
        <v>1</v>
      </c>
      <c r="N125" s="719"/>
      <c r="O125" s="24">
        <f t="shared" si="31"/>
        <v>1</v>
      </c>
      <c r="P125" s="719">
        <v>1</v>
      </c>
      <c r="Q125" s="24">
        <f t="shared" si="32"/>
        <v>1</v>
      </c>
      <c r="R125" s="715">
        <f t="shared" si="34"/>
        <v>0.51</v>
      </c>
      <c r="S125" s="718">
        <f t="shared" si="33"/>
        <v>64.560900000000004</v>
      </c>
    </row>
    <row r="126" spans="1:19" ht="14.25">
      <c r="A126" s="3177">
        <v>114</v>
      </c>
      <c r="B126" s="3177">
        <v>8.56</v>
      </c>
      <c r="C126" s="24">
        <f t="shared" si="24"/>
        <v>1</v>
      </c>
      <c r="D126" s="719"/>
      <c r="E126" s="24">
        <f t="shared" si="26"/>
        <v>1</v>
      </c>
      <c r="F126" s="719"/>
      <c r="G126" s="24">
        <f t="shared" si="27"/>
        <v>1</v>
      </c>
      <c r="H126" s="719"/>
      <c r="I126" s="24">
        <f t="shared" si="28"/>
        <v>1</v>
      </c>
      <c r="J126" s="719"/>
      <c r="K126" s="24">
        <f t="shared" si="29"/>
        <v>1</v>
      </c>
      <c r="L126" s="719"/>
      <c r="M126" s="24">
        <f t="shared" si="30"/>
        <v>1</v>
      </c>
      <c r="N126" s="719"/>
      <c r="O126" s="24">
        <f t="shared" si="31"/>
        <v>1</v>
      </c>
      <c r="P126" s="719">
        <v>1</v>
      </c>
      <c r="Q126" s="24">
        <f t="shared" si="32"/>
        <v>1</v>
      </c>
      <c r="R126" s="715">
        <f t="shared" si="34"/>
        <v>0.52</v>
      </c>
      <c r="S126" s="718">
        <f t="shared" si="33"/>
        <v>4.4512</v>
      </c>
    </row>
    <row r="127" spans="1:19" ht="14.25">
      <c r="A127" s="3177">
        <v>115</v>
      </c>
      <c r="B127" s="3177">
        <v>28.54</v>
      </c>
      <c r="C127" s="24">
        <f t="shared" si="24"/>
        <v>1</v>
      </c>
      <c r="D127" s="719"/>
      <c r="E127" s="24">
        <f t="shared" si="26"/>
        <v>1</v>
      </c>
      <c r="F127" s="719"/>
      <c r="G127" s="24">
        <f t="shared" si="27"/>
        <v>1</v>
      </c>
      <c r="H127" s="719"/>
      <c r="I127" s="24">
        <f t="shared" si="28"/>
        <v>1</v>
      </c>
      <c r="J127" s="719"/>
      <c r="K127" s="24">
        <f t="shared" si="29"/>
        <v>1</v>
      </c>
      <c r="L127" s="719"/>
      <c r="M127" s="24">
        <f t="shared" si="30"/>
        <v>1</v>
      </c>
      <c r="N127" s="719"/>
      <c r="O127" s="24">
        <f t="shared" si="31"/>
        <v>1</v>
      </c>
      <c r="P127" s="719">
        <v>1</v>
      </c>
      <c r="Q127" s="24">
        <f t="shared" si="32"/>
        <v>1</v>
      </c>
      <c r="R127" s="715">
        <f t="shared" si="34"/>
        <v>0.52</v>
      </c>
      <c r="S127" s="718">
        <f t="shared" si="33"/>
        <v>14.8408</v>
      </c>
    </row>
    <row r="128" spans="1:19" ht="14.25">
      <c r="A128" s="3177">
        <v>203</v>
      </c>
      <c r="B128" s="3177">
        <v>485.92</v>
      </c>
      <c r="C128" s="24">
        <f t="shared" si="24"/>
        <v>0.92</v>
      </c>
      <c r="D128" s="719"/>
      <c r="E128" s="24">
        <f t="shared" si="26"/>
        <v>1</v>
      </c>
      <c r="F128" s="719"/>
      <c r="G128" s="24">
        <f t="shared" si="27"/>
        <v>1</v>
      </c>
      <c r="H128" s="719"/>
      <c r="I128" s="24">
        <f t="shared" si="28"/>
        <v>1</v>
      </c>
      <c r="J128" s="719"/>
      <c r="K128" s="24">
        <f t="shared" si="29"/>
        <v>1</v>
      </c>
      <c r="L128" s="719"/>
      <c r="M128" s="24">
        <f t="shared" si="30"/>
        <v>1</v>
      </c>
      <c r="N128" s="719"/>
      <c r="O128" s="24">
        <f t="shared" si="31"/>
        <v>1</v>
      </c>
      <c r="P128" s="719">
        <v>2</v>
      </c>
      <c r="Q128" s="24">
        <f t="shared" si="32"/>
        <v>0.65</v>
      </c>
      <c r="R128" s="715">
        <f t="shared" si="34"/>
        <v>0.31</v>
      </c>
      <c r="S128" s="718">
        <f t="shared" si="33"/>
        <v>150.6352</v>
      </c>
    </row>
    <row r="129" spans="1:19" ht="14.25">
      <c r="A129" s="3177">
        <v>303</v>
      </c>
      <c r="B129" s="3177">
        <v>500.94</v>
      </c>
      <c r="C129" s="24">
        <f t="shared" si="24"/>
        <v>0.92</v>
      </c>
      <c r="D129" s="719"/>
      <c r="E129" s="24">
        <f t="shared" si="26"/>
        <v>1</v>
      </c>
      <c r="F129" s="719"/>
      <c r="G129" s="24">
        <f t="shared" si="27"/>
        <v>1</v>
      </c>
      <c r="H129" s="719"/>
      <c r="I129" s="24">
        <f t="shared" si="28"/>
        <v>1</v>
      </c>
      <c r="J129" s="719"/>
      <c r="K129" s="24">
        <f t="shared" si="29"/>
        <v>1</v>
      </c>
      <c r="L129" s="719"/>
      <c r="M129" s="24">
        <f t="shared" si="30"/>
        <v>1</v>
      </c>
      <c r="N129" s="719"/>
      <c r="O129" s="24">
        <f t="shared" si="31"/>
        <v>1</v>
      </c>
      <c r="P129" s="719">
        <v>3</v>
      </c>
      <c r="Q129" s="24">
        <f t="shared" si="32"/>
        <v>0.6</v>
      </c>
      <c r="R129" s="715">
        <f t="shared" si="34"/>
        <v>0.28999999999999998</v>
      </c>
      <c r="S129" s="718">
        <f t="shared" si="33"/>
        <v>145.27260000000001</v>
      </c>
    </row>
    <row r="130" spans="1:19" ht="14.25">
      <c r="A130" s="3180">
        <v>403</v>
      </c>
      <c r="B130" s="3180">
        <v>444.85</v>
      </c>
      <c r="C130" s="24">
        <f t="shared" si="24"/>
        <v>0.93</v>
      </c>
      <c r="D130" s="719"/>
      <c r="E130" s="24">
        <f t="shared" si="26"/>
        <v>1</v>
      </c>
      <c r="F130" s="719"/>
      <c r="G130" s="24">
        <f t="shared" si="27"/>
        <v>1</v>
      </c>
      <c r="H130" s="719"/>
      <c r="I130" s="24">
        <f t="shared" si="28"/>
        <v>1</v>
      </c>
      <c r="J130" s="719"/>
      <c r="K130" s="24">
        <f t="shared" si="29"/>
        <v>1</v>
      </c>
      <c r="L130" s="719"/>
      <c r="M130" s="24">
        <f t="shared" si="30"/>
        <v>1</v>
      </c>
      <c r="N130" s="719"/>
      <c r="O130" s="24">
        <f t="shared" si="31"/>
        <v>1</v>
      </c>
      <c r="P130" s="719">
        <v>4</v>
      </c>
      <c r="Q130" s="24">
        <f t="shared" si="32"/>
        <v>0.5</v>
      </c>
      <c r="R130" s="715">
        <f t="shared" si="34"/>
        <v>0.24</v>
      </c>
      <c r="S130" s="718">
        <f t="shared" si="33"/>
        <v>106.764</v>
      </c>
    </row>
    <row r="131" spans="1:19">
      <c r="A131" s="158"/>
      <c r="B131" s="59"/>
      <c r="C131" s="24">
        <f t="shared" si="24"/>
        <v>1</v>
      </c>
      <c r="D131" s="719"/>
      <c r="E131" s="24">
        <f t="shared" si="26"/>
        <v>1</v>
      </c>
      <c r="F131" s="719"/>
      <c r="G131" s="24">
        <f t="shared" si="27"/>
        <v>1</v>
      </c>
      <c r="H131" s="719"/>
      <c r="I131" s="24">
        <f t="shared" si="28"/>
        <v>1</v>
      </c>
      <c r="J131" s="719"/>
      <c r="K131" s="24">
        <f t="shared" si="29"/>
        <v>1</v>
      </c>
      <c r="L131" s="719"/>
      <c r="M131" s="24">
        <f t="shared" si="30"/>
        <v>1</v>
      </c>
      <c r="N131" s="719"/>
      <c r="O131" s="24">
        <f t="shared" si="31"/>
        <v>1</v>
      </c>
      <c r="P131" s="719"/>
      <c r="Q131" s="24">
        <f t="shared" si="32"/>
        <v>0</v>
      </c>
      <c r="R131" s="715">
        <f t="shared" si="34"/>
        <v>0</v>
      </c>
      <c r="S131" s="718">
        <f t="shared" si="33"/>
        <v>0</v>
      </c>
    </row>
    <row r="132" spans="1:19" ht="14.25">
      <c r="A132" s="3177">
        <v>101</v>
      </c>
      <c r="B132" s="3177">
        <v>17.66</v>
      </c>
      <c r="C132" s="24">
        <f t="shared" si="24"/>
        <v>1</v>
      </c>
      <c r="D132" s="719"/>
      <c r="E132" s="24">
        <f t="shared" si="26"/>
        <v>1</v>
      </c>
      <c r="F132" s="719"/>
      <c r="G132" s="24">
        <f t="shared" si="27"/>
        <v>1</v>
      </c>
      <c r="H132" s="719"/>
      <c r="I132" s="24">
        <f t="shared" si="28"/>
        <v>1</v>
      </c>
      <c r="J132" s="719"/>
      <c r="K132" s="24">
        <f t="shared" si="29"/>
        <v>1</v>
      </c>
      <c r="L132" s="719"/>
      <c r="M132" s="24">
        <f t="shared" si="30"/>
        <v>1</v>
      </c>
      <c r="N132" s="719"/>
      <c r="O132" s="24">
        <f t="shared" si="31"/>
        <v>1</v>
      </c>
      <c r="P132" s="719">
        <v>1</v>
      </c>
      <c r="Q132" s="24">
        <f t="shared" si="32"/>
        <v>1</v>
      </c>
      <c r="R132" s="715">
        <f t="shared" si="34"/>
        <v>0.52</v>
      </c>
      <c r="S132" s="718">
        <f t="shared" si="33"/>
        <v>9.1831999999999994</v>
      </c>
    </row>
    <row r="133" spans="1:19" ht="14.25">
      <c r="A133" s="3177">
        <v>103</v>
      </c>
      <c r="B133" s="3177">
        <v>152.38</v>
      </c>
      <c r="C133" s="24">
        <f t="shared" si="24"/>
        <v>0.98</v>
      </c>
      <c r="D133" s="719"/>
      <c r="E133" s="24">
        <f t="shared" si="26"/>
        <v>1</v>
      </c>
      <c r="F133" s="719"/>
      <c r="G133" s="24">
        <f t="shared" si="27"/>
        <v>1</v>
      </c>
      <c r="H133" s="719"/>
      <c r="I133" s="24">
        <f t="shared" si="28"/>
        <v>1</v>
      </c>
      <c r="J133" s="719"/>
      <c r="K133" s="24">
        <f t="shared" si="29"/>
        <v>1</v>
      </c>
      <c r="L133" s="719"/>
      <c r="M133" s="24">
        <f t="shared" si="30"/>
        <v>1</v>
      </c>
      <c r="N133" s="719"/>
      <c r="O133" s="24">
        <f t="shared" si="31"/>
        <v>1</v>
      </c>
      <c r="P133" s="719">
        <v>1</v>
      </c>
      <c r="Q133" s="24">
        <f t="shared" si="32"/>
        <v>1</v>
      </c>
      <c r="R133" s="715">
        <f t="shared" si="34"/>
        <v>0.51</v>
      </c>
      <c r="S133" s="718">
        <f t="shared" si="33"/>
        <v>77.713800000000006</v>
      </c>
    </row>
    <row r="134" spans="1:19" ht="14.25">
      <c r="A134" s="3177">
        <v>106</v>
      </c>
      <c r="B134" s="3177">
        <v>16.29</v>
      </c>
      <c r="C134" s="24">
        <f t="shared" si="24"/>
        <v>1</v>
      </c>
      <c r="D134" s="719"/>
      <c r="E134" s="24">
        <f t="shared" si="26"/>
        <v>1</v>
      </c>
      <c r="F134" s="719"/>
      <c r="G134" s="24">
        <f t="shared" si="27"/>
        <v>1</v>
      </c>
      <c r="H134" s="719"/>
      <c r="I134" s="24">
        <f t="shared" si="28"/>
        <v>1</v>
      </c>
      <c r="J134" s="719"/>
      <c r="K134" s="24">
        <f t="shared" si="29"/>
        <v>1</v>
      </c>
      <c r="L134" s="719"/>
      <c r="M134" s="24">
        <f t="shared" si="30"/>
        <v>1</v>
      </c>
      <c r="N134" s="719"/>
      <c r="O134" s="24">
        <f t="shared" si="31"/>
        <v>1</v>
      </c>
      <c r="P134" s="719">
        <v>1</v>
      </c>
      <c r="Q134" s="24">
        <f t="shared" si="32"/>
        <v>1</v>
      </c>
      <c r="R134" s="715">
        <f t="shared" si="34"/>
        <v>0.52</v>
      </c>
      <c r="S134" s="718">
        <f t="shared" si="33"/>
        <v>8.4708000000000006</v>
      </c>
    </row>
    <row r="135" spans="1:19" ht="14.25">
      <c r="A135" s="3177">
        <v>107</v>
      </c>
      <c r="B135" s="3177">
        <v>34.81</v>
      </c>
      <c r="C135" s="24">
        <f t="shared" si="24"/>
        <v>1</v>
      </c>
      <c r="D135" s="719"/>
      <c r="E135" s="24">
        <f t="shared" si="26"/>
        <v>1</v>
      </c>
      <c r="F135" s="719"/>
      <c r="G135" s="24">
        <f t="shared" si="27"/>
        <v>1</v>
      </c>
      <c r="H135" s="719"/>
      <c r="I135" s="24">
        <f t="shared" si="28"/>
        <v>1</v>
      </c>
      <c r="J135" s="719"/>
      <c r="K135" s="24">
        <f t="shared" si="29"/>
        <v>1</v>
      </c>
      <c r="L135" s="719"/>
      <c r="M135" s="24">
        <f t="shared" si="30"/>
        <v>1</v>
      </c>
      <c r="N135" s="719"/>
      <c r="O135" s="24">
        <f t="shared" si="31"/>
        <v>1</v>
      </c>
      <c r="P135" s="719">
        <v>1</v>
      </c>
      <c r="Q135" s="24">
        <f t="shared" si="32"/>
        <v>1</v>
      </c>
      <c r="R135" s="715">
        <f t="shared" si="34"/>
        <v>0.52</v>
      </c>
      <c r="S135" s="718">
        <f t="shared" si="33"/>
        <v>18.101199999999999</v>
      </c>
    </row>
    <row r="136" spans="1:19" ht="14.25">
      <c r="A136" s="3177">
        <v>108</v>
      </c>
      <c r="B136" s="3177">
        <v>43.95</v>
      </c>
      <c r="C136" s="24">
        <f t="shared" si="24"/>
        <v>1</v>
      </c>
      <c r="D136" s="719"/>
      <c r="E136" s="24">
        <f t="shared" si="26"/>
        <v>1</v>
      </c>
      <c r="F136" s="719"/>
      <c r="G136" s="24">
        <f t="shared" si="27"/>
        <v>1</v>
      </c>
      <c r="H136" s="719"/>
      <c r="I136" s="24">
        <f t="shared" si="28"/>
        <v>1</v>
      </c>
      <c r="J136" s="719"/>
      <c r="K136" s="24">
        <f t="shared" si="29"/>
        <v>1</v>
      </c>
      <c r="L136" s="719"/>
      <c r="M136" s="24">
        <f t="shared" si="30"/>
        <v>1</v>
      </c>
      <c r="N136" s="719"/>
      <c r="O136" s="24">
        <f t="shared" si="31"/>
        <v>1</v>
      </c>
      <c r="P136" s="719">
        <v>1</v>
      </c>
      <c r="Q136" s="24">
        <f t="shared" si="32"/>
        <v>1</v>
      </c>
      <c r="R136" s="715">
        <f t="shared" si="34"/>
        <v>0.52</v>
      </c>
      <c r="S136" s="718">
        <f t="shared" si="33"/>
        <v>22.853999999999999</v>
      </c>
    </row>
    <row r="137" spans="1:19" ht="14.25">
      <c r="A137" s="3177">
        <v>109</v>
      </c>
      <c r="B137" s="3177">
        <v>10.89</v>
      </c>
      <c r="C137" s="24">
        <f t="shared" si="24"/>
        <v>1</v>
      </c>
      <c r="D137" s="719"/>
      <c r="E137" s="24">
        <f t="shared" si="26"/>
        <v>1</v>
      </c>
      <c r="F137" s="719"/>
      <c r="G137" s="24">
        <f t="shared" si="27"/>
        <v>1</v>
      </c>
      <c r="H137" s="719"/>
      <c r="I137" s="24">
        <f t="shared" si="28"/>
        <v>1</v>
      </c>
      <c r="J137" s="719"/>
      <c r="K137" s="24">
        <f t="shared" si="29"/>
        <v>1</v>
      </c>
      <c r="L137" s="719"/>
      <c r="M137" s="24">
        <f t="shared" si="30"/>
        <v>1</v>
      </c>
      <c r="N137" s="719"/>
      <c r="O137" s="24">
        <f t="shared" si="31"/>
        <v>1</v>
      </c>
      <c r="P137" s="719">
        <v>1</v>
      </c>
      <c r="Q137" s="24">
        <f t="shared" si="32"/>
        <v>1</v>
      </c>
      <c r="R137" s="715">
        <f t="shared" si="34"/>
        <v>0.52</v>
      </c>
      <c r="S137" s="718">
        <f t="shared" si="33"/>
        <v>5.6627999999999998</v>
      </c>
    </row>
    <row r="138" spans="1:19" ht="14.25">
      <c r="A138" s="3177">
        <v>110</v>
      </c>
      <c r="B138" s="3177">
        <v>54.63</v>
      </c>
      <c r="C138" s="24">
        <f t="shared" si="24"/>
        <v>1</v>
      </c>
      <c r="D138" s="719"/>
      <c r="E138" s="24">
        <f t="shared" si="26"/>
        <v>1</v>
      </c>
      <c r="F138" s="719"/>
      <c r="G138" s="24">
        <f t="shared" si="27"/>
        <v>1</v>
      </c>
      <c r="H138" s="719"/>
      <c r="I138" s="24">
        <f t="shared" si="28"/>
        <v>1</v>
      </c>
      <c r="J138" s="719"/>
      <c r="K138" s="24">
        <f t="shared" si="29"/>
        <v>1</v>
      </c>
      <c r="L138" s="719"/>
      <c r="M138" s="24">
        <f t="shared" si="30"/>
        <v>1</v>
      </c>
      <c r="N138" s="719"/>
      <c r="O138" s="24">
        <f t="shared" si="31"/>
        <v>1</v>
      </c>
      <c r="P138" s="719">
        <v>1</v>
      </c>
      <c r="Q138" s="24">
        <f t="shared" si="32"/>
        <v>1</v>
      </c>
      <c r="R138" s="715">
        <f t="shared" si="34"/>
        <v>0.52</v>
      </c>
      <c r="S138" s="718">
        <f t="shared" si="33"/>
        <v>28.407599999999999</v>
      </c>
    </row>
    <row r="139" spans="1:19" ht="14.25">
      <c r="A139" s="3177">
        <v>111</v>
      </c>
      <c r="B139" s="3177">
        <v>39.67</v>
      </c>
      <c r="C139" s="24">
        <f t="shared" si="24"/>
        <v>1</v>
      </c>
      <c r="D139" s="719"/>
      <c r="E139" s="24">
        <f t="shared" si="26"/>
        <v>1</v>
      </c>
      <c r="F139" s="719"/>
      <c r="G139" s="24">
        <f t="shared" si="27"/>
        <v>1</v>
      </c>
      <c r="H139" s="719"/>
      <c r="I139" s="24">
        <f t="shared" si="28"/>
        <v>1</v>
      </c>
      <c r="J139" s="719"/>
      <c r="K139" s="24">
        <f t="shared" si="29"/>
        <v>1</v>
      </c>
      <c r="L139" s="719"/>
      <c r="M139" s="24">
        <f t="shared" si="30"/>
        <v>1</v>
      </c>
      <c r="N139" s="719"/>
      <c r="O139" s="24">
        <f t="shared" si="31"/>
        <v>1</v>
      </c>
      <c r="P139" s="719">
        <v>1</v>
      </c>
      <c r="Q139" s="24">
        <f t="shared" si="32"/>
        <v>1</v>
      </c>
      <c r="R139" s="715">
        <f t="shared" si="34"/>
        <v>0.52</v>
      </c>
      <c r="S139" s="718">
        <f t="shared" si="33"/>
        <v>20.628399999999999</v>
      </c>
    </row>
    <row r="140" spans="1:19" ht="14.25">
      <c r="A140" s="3177">
        <v>112</v>
      </c>
      <c r="B140" s="3177">
        <v>33.9</v>
      </c>
      <c r="C140" s="24">
        <f t="shared" si="24"/>
        <v>1</v>
      </c>
      <c r="D140" s="719"/>
      <c r="E140" s="24">
        <f t="shared" si="26"/>
        <v>1</v>
      </c>
      <c r="F140" s="719"/>
      <c r="G140" s="24">
        <f t="shared" si="27"/>
        <v>1</v>
      </c>
      <c r="H140" s="719"/>
      <c r="I140" s="24">
        <f t="shared" si="28"/>
        <v>1</v>
      </c>
      <c r="J140" s="719"/>
      <c r="K140" s="24">
        <f t="shared" si="29"/>
        <v>1</v>
      </c>
      <c r="L140" s="719"/>
      <c r="M140" s="24">
        <f t="shared" si="30"/>
        <v>1</v>
      </c>
      <c r="N140" s="719"/>
      <c r="O140" s="24">
        <f t="shared" si="31"/>
        <v>1</v>
      </c>
      <c r="P140" s="719">
        <v>1</v>
      </c>
      <c r="Q140" s="24">
        <f t="shared" si="32"/>
        <v>1</v>
      </c>
      <c r="R140" s="715">
        <f t="shared" si="34"/>
        <v>0.52</v>
      </c>
      <c r="S140" s="718">
        <f t="shared" si="33"/>
        <v>17.628</v>
      </c>
    </row>
    <row r="141" spans="1:19" ht="14.25">
      <c r="A141" s="3177">
        <v>113</v>
      </c>
      <c r="B141" s="3177">
        <v>10.86</v>
      </c>
      <c r="C141" s="24">
        <f t="shared" si="24"/>
        <v>1</v>
      </c>
      <c r="D141" s="719"/>
      <c r="E141" s="24">
        <f t="shared" si="26"/>
        <v>1</v>
      </c>
      <c r="F141" s="719"/>
      <c r="G141" s="24">
        <f t="shared" si="27"/>
        <v>1</v>
      </c>
      <c r="H141" s="719"/>
      <c r="I141" s="24">
        <f t="shared" si="28"/>
        <v>1</v>
      </c>
      <c r="J141" s="719"/>
      <c r="K141" s="24">
        <f t="shared" si="29"/>
        <v>1</v>
      </c>
      <c r="L141" s="719"/>
      <c r="M141" s="24">
        <f t="shared" si="30"/>
        <v>1</v>
      </c>
      <c r="N141" s="719"/>
      <c r="O141" s="24">
        <f t="shared" si="31"/>
        <v>1</v>
      </c>
      <c r="P141" s="719">
        <v>1</v>
      </c>
      <c r="Q141" s="24">
        <f t="shared" si="32"/>
        <v>1</v>
      </c>
      <c r="R141" s="715">
        <f t="shared" si="34"/>
        <v>0.52</v>
      </c>
      <c r="S141" s="718">
        <f t="shared" si="33"/>
        <v>5.6471999999999998</v>
      </c>
    </row>
    <row r="142" spans="1:19" ht="14.25">
      <c r="A142" s="3177">
        <v>114</v>
      </c>
      <c r="B142" s="3177">
        <v>110.53</v>
      </c>
      <c r="C142" s="24">
        <f t="shared" si="24"/>
        <v>0.99</v>
      </c>
      <c r="D142" s="719"/>
      <c r="E142" s="24">
        <f t="shared" si="26"/>
        <v>1</v>
      </c>
      <c r="F142" s="719"/>
      <c r="G142" s="24">
        <f t="shared" si="27"/>
        <v>1</v>
      </c>
      <c r="H142" s="719"/>
      <c r="I142" s="24">
        <f t="shared" si="28"/>
        <v>1</v>
      </c>
      <c r="J142" s="719"/>
      <c r="K142" s="24">
        <f t="shared" si="29"/>
        <v>1</v>
      </c>
      <c r="L142" s="719"/>
      <c r="M142" s="24">
        <f t="shared" si="30"/>
        <v>1</v>
      </c>
      <c r="N142" s="719"/>
      <c r="O142" s="24">
        <f t="shared" si="31"/>
        <v>1</v>
      </c>
      <c r="P142" s="719">
        <v>1</v>
      </c>
      <c r="Q142" s="24">
        <f t="shared" si="32"/>
        <v>1</v>
      </c>
      <c r="R142" s="715">
        <f t="shared" si="34"/>
        <v>0.51</v>
      </c>
      <c r="S142" s="718">
        <f t="shared" si="33"/>
        <v>56.3703</v>
      </c>
    </row>
    <row r="143" spans="1:19" ht="14.25">
      <c r="A143" s="3177">
        <v>115</v>
      </c>
      <c r="B143" s="3177">
        <v>7.01</v>
      </c>
      <c r="C143" s="24">
        <f t="shared" si="24"/>
        <v>1</v>
      </c>
      <c r="D143" s="719"/>
      <c r="E143" s="24">
        <f t="shared" si="26"/>
        <v>1</v>
      </c>
      <c r="F143" s="719"/>
      <c r="G143" s="24">
        <f t="shared" si="27"/>
        <v>1</v>
      </c>
      <c r="H143" s="719"/>
      <c r="I143" s="24">
        <f t="shared" si="28"/>
        <v>1</v>
      </c>
      <c r="J143" s="719"/>
      <c r="K143" s="24">
        <f t="shared" si="29"/>
        <v>1</v>
      </c>
      <c r="L143" s="719"/>
      <c r="M143" s="24">
        <f t="shared" si="30"/>
        <v>1</v>
      </c>
      <c r="N143" s="719"/>
      <c r="O143" s="24">
        <f t="shared" si="31"/>
        <v>1</v>
      </c>
      <c r="P143" s="719">
        <v>1</v>
      </c>
      <c r="Q143" s="24">
        <f t="shared" si="32"/>
        <v>1</v>
      </c>
      <c r="R143" s="715">
        <f t="shared" si="34"/>
        <v>0.52</v>
      </c>
      <c r="S143" s="718">
        <f t="shared" si="33"/>
        <v>3.6452</v>
      </c>
    </row>
    <row r="144" spans="1:19" ht="14.25">
      <c r="A144" s="3177">
        <v>116</v>
      </c>
      <c r="B144" s="3177">
        <v>24.83</v>
      </c>
      <c r="C144" s="24">
        <f t="shared" si="24"/>
        <v>1</v>
      </c>
      <c r="D144" s="719"/>
      <c r="E144" s="24">
        <f t="shared" si="26"/>
        <v>1</v>
      </c>
      <c r="F144" s="719"/>
      <c r="G144" s="24">
        <f t="shared" si="27"/>
        <v>1</v>
      </c>
      <c r="H144" s="719"/>
      <c r="I144" s="24">
        <f t="shared" si="28"/>
        <v>1</v>
      </c>
      <c r="J144" s="719"/>
      <c r="K144" s="24">
        <f t="shared" si="29"/>
        <v>1</v>
      </c>
      <c r="L144" s="719"/>
      <c r="M144" s="24">
        <f t="shared" si="30"/>
        <v>1</v>
      </c>
      <c r="N144" s="719"/>
      <c r="O144" s="24">
        <f t="shared" si="31"/>
        <v>1</v>
      </c>
      <c r="P144" s="719">
        <v>1</v>
      </c>
      <c r="Q144" s="24">
        <f t="shared" si="32"/>
        <v>1</v>
      </c>
      <c r="R144" s="715">
        <f t="shared" si="34"/>
        <v>0.52</v>
      </c>
      <c r="S144" s="718">
        <f t="shared" si="33"/>
        <v>12.9116</v>
      </c>
    </row>
    <row r="145" spans="1:19" ht="14.25">
      <c r="A145" s="3177">
        <v>117</v>
      </c>
      <c r="B145" s="3177">
        <v>32.14</v>
      </c>
      <c r="C145" s="24">
        <f t="shared" si="24"/>
        <v>1</v>
      </c>
      <c r="D145" s="719"/>
      <c r="E145" s="24">
        <f t="shared" si="26"/>
        <v>1</v>
      </c>
      <c r="F145" s="719"/>
      <c r="G145" s="24">
        <f t="shared" si="27"/>
        <v>1</v>
      </c>
      <c r="H145" s="719"/>
      <c r="I145" s="24">
        <f t="shared" si="28"/>
        <v>1</v>
      </c>
      <c r="J145" s="719"/>
      <c r="K145" s="24">
        <f t="shared" si="29"/>
        <v>1</v>
      </c>
      <c r="L145" s="719"/>
      <c r="M145" s="24">
        <f t="shared" si="30"/>
        <v>1</v>
      </c>
      <c r="N145" s="719"/>
      <c r="O145" s="24">
        <f t="shared" si="31"/>
        <v>1</v>
      </c>
      <c r="P145" s="719">
        <v>1</v>
      </c>
      <c r="Q145" s="24">
        <f t="shared" si="32"/>
        <v>1</v>
      </c>
      <c r="R145" s="715">
        <f t="shared" si="34"/>
        <v>0.52</v>
      </c>
      <c r="S145" s="718">
        <f t="shared" si="33"/>
        <v>16.712800000000001</v>
      </c>
    </row>
    <row r="146" spans="1:19" ht="14.25">
      <c r="A146" s="3177">
        <v>118</v>
      </c>
      <c r="B146" s="3177">
        <v>154.38</v>
      </c>
      <c r="C146" s="24">
        <f t="shared" si="24"/>
        <v>0.98</v>
      </c>
      <c r="D146" s="719"/>
      <c r="E146" s="24">
        <f t="shared" si="26"/>
        <v>1</v>
      </c>
      <c r="F146" s="719"/>
      <c r="G146" s="24">
        <f t="shared" si="27"/>
        <v>1</v>
      </c>
      <c r="H146" s="719"/>
      <c r="I146" s="24">
        <f t="shared" si="28"/>
        <v>1</v>
      </c>
      <c r="J146" s="719"/>
      <c r="K146" s="24">
        <f t="shared" si="29"/>
        <v>1</v>
      </c>
      <c r="L146" s="719"/>
      <c r="M146" s="24">
        <f t="shared" si="30"/>
        <v>1</v>
      </c>
      <c r="N146" s="719"/>
      <c r="O146" s="24">
        <f t="shared" si="31"/>
        <v>1</v>
      </c>
      <c r="P146" s="719">
        <v>1</v>
      </c>
      <c r="Q146" s="24">
        <f t="shared" si="32"/>
        <v>1</v>
      </c>
      <c r="R146" s="715">
        <f t="shared" si="34"/>
        <v>0.51</v>
      </c>
      <c r="S146" s="718">
        <f t="shared" si="33"/>
        <v>78.733800000000002</v>
      </c>
    </row>
    <row r="147" spans="1:19" ht="14.25">
      <c r="A147" s="3177">
        <v>201</v>
      </c>
      <c r="B147" s="3177">
        <v>935.36</v>
      </c>
      <c r="C147" s="24">
        <f t="shared" si="24"/>
        <v>0.85</v>
      </c>
      <c r="D147" s="719"/>
      <c r="E147" s="24">
        <f t="shared" si="26"/>
        <v>1</v>
      </c>
      <c r="F147" s="719"/>
      <c r="G147" s="24">
        <f t="shared" si="27"/>
        <v>1</v>
      </c>
      <c r="H147" s="719"/>
      <c r="I147" s="24">
        <f t="shared" si="28"/>
        <v>1</v>
      </c>
      <c r="J147" s="719"/>
      <c r="K147" s="24">
        <f t="shared" si="29"/>
        <v>1</v>
      </c>
      <c r="L147" s="719"/>
      <c r="M147" s="24">
        <f t="shared" si="30"/>
        <v>1</v>
      </c>
      <c r="N147" s="719"/>
      <c r="O147" s="24">
        <f t="shared" si="31"/>
        <v>1</v>
      </c>
      <c r="P147" s="719">
        <v>2</v>
      </c>
      <c r="Q147" s="24">
        <f t="shared" si="32"/>
        <v>0.65</v>
      </c>
      <c r="R147" s="715">
        <f t="shared" si="34"/>
        <v>0.28999999999999998</v>
      </c>
      <c r="S147" s="718">
        <f t="shared" si="33"/>
        <v>271.25439999999998</v>
      </c>
    </row>
    <row r="148" spans="1:19" ht="14.25">
      <c r="A148" s="3177">
        <v>202</v>
      </c>
      <c r="B148" s="3177">
        <v>991.13</v>
      </c>
      <c r="C148" s="24">
        <f t="shared" si="24"/>
        <v>0.84</v>
      </c>
      <c r="D148" s="719"/>
      <c r="E148" s="24">
        <f t="shared" si="26"/>
        <v>1</v>
      </c>
      <c r="F148" s="719"/>
      <c r="G148" s="24">
        <f t="shared" si="27"/>
        <v>1</v>
      </c>
      <c r="H148" s="719"/>
      <c r="I148" s="24">
        <f t="shared" si="28"/>
        <v>1</v>
      </c>
      <c r="J148" s="719"/>
      <c r="K148" s="24">
        <f t="shared" si="29"/>
        <v>1</v>
      </c>
      <c r="L148" s="719"/>
      <c r="M148" s="24">
        <f t="shared" si="30"/>
        <v>1</v>
      </c>
      <c r="N148" s="719"/>
      <c r="O148" s="24">
        <f t="shared" si="31"/>
        <v>1</v>
      </c>
      <c r="P148" s="719">
        <v>2</v>
      </c>
      <c r="Q148" s="24">
        <f t="shared" si="32"/>
        <v>0.65</v>
      </c>
      <c r="R148" s="715">
        <f t="shared" si="34"/>
        <v>0.28000000000000003</v>
      </c>
      <c r="S148" s="718">
        <f t="shared" si="33"/>
        <v>277.51639999999998</v>
      </c>
    </row>
    <row r="149" spans="1:19" ht="14.25">
      <c r="A149" s="3177">
        <v>101</v>
      </c>
      <c r="B149" s="3177">
        <v>34.56</v>
      </c>
      <c r="C149" s="24">
        <f t="shared" si="24"/>
        <v>1</v>
      </c>
      <c r="D149" s="719"/>
      <c r="E149" s="24">
        <f t="shared" si="26"/>
        <v>1</v>
      </c>
      <c r="F149" s="719"/>
      <c r="G149" s="24">
        <f t="shared" si="27"/>
        <v>1</v>
      </c>
      <c r="H149" s="719"/>
      <c r="I149" s="24">
        <f t="shared" si="28"/>
        <v>1</v>
      </c>
      <c r="J149" s="719"/>
      <c r="K149" s="24">
        <f t="shared" si="29"/>
        <v>1</v>
      </c>
      <c r="L149" s="719"/>
      <c r="M149" s="24">
        <f t="shared" si="30"/>
        <v>1</v>
      </c>
      <c r="N149" s="719"/>
      <c r="O149" s="24">
        <f t="shared" si="31"/>
        <v>1</v>
      </c>
      <c r="P149" s="719">
        <v>1</v>
      </c>
      <c r="Q149" s="24">
        <f t="shared" si="32"/>
        <v>1</v>
      </c>
      <c r="R149" s="715">
        <f t="shared" si="34"/>
        <v>0.52</v>
      </c>
      <c r="S149" s="718">
        <f t="shared" si="33"/>
        <v>17.9712</v>
      </c>
    </row>
    <row r="150" spans="1:19" ht="14.25">
      <c r="A150" s="3177">
        <v>102</v>
      </c>
      <c r="B150" s="3177">
        <v>41.69</v>
      </c>
      <c r="C150" s="24">
        <f t="shared" si="24"/>
        <v>1</v>
      </c>
      <c r="D150" s="719"/>
      <c r="E150" s="24">
        <f t="shared" si="26"/>
        <v>1</v>
      </c>
      <c r="F150" s="719"/>
      <c r="G150" s="24">
        <f t="shared" si="27"/>
        <v>1</v>
      </c>
      <c r="H150" s="719"/>
      <c r="I150" s="24">
        <f t="shared" si="28"/>
        <v>1</v>
      </c>
      <c r="J150" s="719"/>
      <c r="K150" s="24">
        <f t="shared" si="29"/>
        <v>1</v>
      </c>
      <c r="L150" s="719"/>
      <c r="M150" s="24">
        <f t="shared" si="30"/>
        <v>1</v>
      </c>
      <c r="N150" s="719"/>
      <c r="O150" s="24">
        <f t="shared" si="31"/>
        <v>1</v>
      </c>
      <c r="P150" s="719">
        <v>1</v>
      </c>
      <c r="Q150" s="24">
        <f t="shared" si="32"/>
        <v>1</v>
      </c>
      <c r="R150" s="715">
        <f t="shared" si="34"/>
        <v>0.52</v>
      </c>
      <c r="S150" s="718">
        <f t="shared" si="33"/>
        <v>21.678799999999999</v>
      </c>
    </row>
    <row r="151" spans="1:19" ht="14.25">
      <c r="A151" s="3177">
        <v>201</v>
      </c>
      <c r="B151" s="3177">
        <v>562.57000000000005</v>
      </c>
      <c r="C151" s="24">
        <f t="shared" si="24"/>
        <v>0.91</v>
      </c>
      <c r="D151" s="719"/>
      <c r="E151" s="24">
        <f t="shared" si="26"/>
        <v>1</v>
      </c>
      <c r="F151" s="719"/>
      <c r="G151" s="24">
        <f t="shared" si="27"/>
        <v>1</v>
      </c>
      <c r="H151" s="719"/>
      <c r="I151" s="24">
        <f t="shared" si="28"/>
        <v>1</v>
      </c>
      <c r="J151" s="719"/>
      <c r="K151" s="24">
        <f t="shared" si="29"/>
        <v>1</v>
      </c>
      <c r="L151" s="719"/>
      <c r="M151" s="24">
        <f t="shared" si="30"/>
        <v>1</v>
      </c>
      <c r="N151" s="719"/>
      <c r="O151" s="24">
        <f t="shared" si="31"/>
        <v>1</v>
      </c>
      <c r="P151" s="719">
        <v>2</v>
      </c>
      <c r="Q151" s="24">
        <f t="shared" si="32"/>
        <v>0.65</v>
      </c>
      <c r="R151" s="715">
        <f t="shared" si="34"/>
        <v>0.31</v>
      </c>
      <c r="S151" s="718">
        <f t="shared" si="33"/>
        <v>174.39670000000001</v>
      </c>
    </row>
    <row r="152" spans="1:19" ht="14.25">
      <c r="A152" s="3177">
        <v>301</v>
      </c>
      <c r="B152" s="3177">
        <v>624.51</v>
      </c>
      <c r="C152" s="24">
        <f t="shared" si="24"/>
        <v>0.9</v>
      </c>
      <c r="D152" s="719"/>
      <c r="E152" s="24">
        <f t="shared" si="26"/>
        <v>1</v>
      </c>
      <c r="F152" s="719"/>
      <c r="G152" s="24">
        <f t="shared" si="27"/>
        <v>1</v>
      </c>
      <c r="H152" s="719"/>
      <c r="I152" s="24">
        <f t="shared" si="28"/>
        <v>1</v>
      </c>
      <c r="J152" s="719"/>
      <c r="K152" s="24">
        <f t="shared" si="29"/>
        <v>1</v>
      </c>
      <c r="L152" s="719"/>
      <c r="M152" s="24">
        <f t="shared" si="30"/>
        <v>1</v>
      </c>
      <c r="N152" s="719"/>
      <c r="O152" s="24">
        <f t="shared" si="31"/>
        <v>1</v>
      </c>
      <c r="P152" s="719">
        <v>3</v>
      </c>
      <c r="Q152" s="24">
        <f t="shared" si="32"/>
        <v>0.6</v>
      </c>
      <c r="R152" s="715">
        <f t="shared" si="34"/>
        <v>0.28000000000000003</v>
      </c>
      <c r="S152" s="718">
        <f t="shared" ref="S152:S161" si="35">ROUND(R152*B152,4)</f>
        <v>174.86279999999999</v>
      </c>
    </row>
    <row r="153" spans="1:19" ht="14.25">
      <c r="A153" s="3177">
        <v>401</v>
      </c>
      <c r="B153" s="3177">
        <v>746.56</v>
      </c>
      <c r="C153" s="24">
        <f t="shared" ref="C153:C216" si="36">IF(B153="",1,(LOOKUP(B153,$3:$3,$4:$4)-LOOKUP($B$24,$3:$3,$4:$4)+100)/100)</f>
        <v>0.88</v>
      </c>
      <c r="D153" s="719"/>
      <c r="E153" s="24">
        <f t="shared" si="26"/>
        <v>1</v>
      </c>
      <c r="F153" s="719"/>
      <c r="G153" s="24">
        <f t="shared" si="27"/>
        <v>1</v>
      </c>
      <c r="H153" s="719"/>
      <c r="I153" s="24">
        <f t="shared" si="28"/>
        <v>1</v>
      </c>
      <c r="J153" s="719"/>
      <c r="K153" s="24">
        <f t="shared" si="29"/>
        <v>1</v>
      </c>
      <c r="L153" s="719"/>
      <c r="M153" s="24">
        <f t="shared" si="30"/>
        <v>1</v>
      </c>
      <c r="N153" s="719"/>
      <c r="O153" s="24">
        <f t="shared" si="31"/>
        <v>1</v>
      </c>
      <c r="P153" s="719">
        <v>4</v>
      </c>
      <c r="Q153" s="24">
        <f t="shared" si="32"/>
        <v>0.5</v>
      </c>
      <c r="R153" s="715">
        <f t="shared" ref="R153:R161" si="37">IF(B153="",0,ROUND($R$24*C153*E153*G153*I153*K153*M153*O153*Q153,2))</f>
        <v>0.23</v>
      </c>
      <c r="S153" s="718">
        <f t="shared" si="35"/>
        <v>171.7088</v>
      </c>
    </row>
    <row r="154" spans="1:19" ht="14.25">
      <c r="A154" s="3177">
        <v>501</v>
      </c>
      <c r="B154" s="3177">
        <v>729.81</v>
      </c>
      <c r="C154" s="24">
        <f t="shared" si="36"/>
        <v>0.88</v>
      </c>
      <c r="D154" s="719"/>
      <c r="E154" s="24">
        <f t="shared" ref="E154:E217" si="38">(SUMIF($5:$5,D154,$6:$6)-SUMIF($5:$5,$D$24,$6:$6)+100)/100</f>
        <v>1</v>
      </c>
      <c r="F154" s="719"/>
      <c r="G154" s="24">
        <f t="shared" ref="G154:G217" si="39">(SUMIF($7:$7,F154,$8:$8)-SUMIF($7:$7,$F$24,$8:$8)+100)/100</f>
        <v>1</v>
      </c>
      <c r="H154" s="719"/>
      <c r="I154" s="24">
        <f t="shared" ref="I154:I217" si="40">(SUMIF($9:$9,H154,$10:$10)-SUMIF($9:$9,$H$24,$10:$10)+100)/100</f>
        <v>1</v>
      </c>
      <c r="J154" s="719"/>
      <c r="K154" s="24">
        <f t="shared" ref="K154:K217" si="41">(SUMIF($11:$11,J154,$12:$12)-SUMIF($11:$11,$J$24,$12:$12)+100)/100</f>
        <v>1</v>
      </c>
      <c r="L154" s="719"/>
      <c r="M154" s="24">
        <f t="shared" ref="M154:M217" si="42">(SUMIF($13:$13,L154,$14:$14)-SUMIF($13:$13,$L$24,$14:$14)+100)/100</f>
        <v>1</v>
      </c>
      <c r="N154" s="719"/>
      <c r="O154" s="24">
        <f t="shared" ref="O154:O217" si="43">(SUMIF($15:$15,N154,$16:$16)-SUMIF($15:$15,$N$24,$16:$16)+100)/100</f>
        <v>1</v>
      </c>
      <c r="P154" s="719">
        <v>5</v>
      </c>
      <c r="Q154" s="24">
        <f t="shared" ref="Q154:Q217" si="44">(SUMIF($17:$17,P154,$18:$18)-SUMIF($17:$17,$P$24,$18:$18)+100)/100</f>
        <v>0.5</v>
      </c>
      <c r="R154" s="715">
        <f t="shared" si="37"/>
        <v>0.23</v>
      </c>
      <c r="S154" s="718">
        <f t="shared" si="35"/>
        <v>167.8563</v>
      </c>
    </row>
    <row r="155" spans="1:19" ht="14.25">
      <c r="A155" s="3177">
        <v>101</v>
      </c>
      <c r="B155" s="3177">
        <v>76.33</v>
      </c>
      <c r="C155" s="24">
        <f t="shared" si="36"/>
        <v>0.99</v>
      </c>
      <c r="D155" s="719"/>
      <c r="E155" s="24">
        <f t="shared" si="38"/>
        <v>1</v>
      </c>
      <c r="F155" s="719"/>
      <c r="G155" s="24">
        <f t="shared" si="39"/>
        <v>1</v>
      </c>
      <c r="H155" s="719"/>
      <c r="I155" s="24">
        <f t="shared" si="40"/>
        <v>1</v>
      </c>
      <c r="J155" s="719"/>
      <c r="K155" s="24">
        <f t="shared" si="41"/>
        <v>1</v>
      </c>
      <c r="L155" s="719"/>
      <c r="M155" s="24">
        <f t="shared" si="42"/>
        <v>1</v>
      </c>
      <c r="N155" s="719"/>
      <c r="O155" s="24">
        <f t="shared" si="43"/>
        <v>1</v>
      </c>
      <c r="P155" s="719">
        <v>1</v>
      </c>
      <c r="Q155" s="24">
        <f t="shared" si="44"/>
        <v>1</v>
      </c>
      <c r="R155" s="715">
        <f t="shared" si="37"/>
        <v>0.51</v>
      </c>
      <c r="S155" s="718">
        <f t="shared" si="35"/>
        <v>38.9283</v>
      </c>
    </row>
    <row r="156" spans="1:19" ht="14.25">
      <c r="A156" s="3177">
        <v>102</v>
      </c>
      <c r="B156" s="3177">
        <v>35.58</v>
      </c>
      <c r="C156" s="24">
        <f t="shared" si="36"/>
        <v>1</v>
      </c>
      <c r="D156" s="719"/>
      <c r="E156" s="24">
        <f t="shared" si="38"/>
        <v>1</v>
      </c>
      <c r="F156" s="719"/>
      <c r="G156" s="24">
        <f t="shared" si="39"/>
        <v>1</v>
      </c>
      <c r="H156" s="719"/>
      <c r="I156" s="24">
        <f t="shared" si="40"/>
        <v>1</v>
      </c>
      <c r="J156" s="719"/>
      <c r="K156" s="24">
        <f t="shared" si="41"/>
        <v>1</v>
      </c>
      <c r="L156" s="719"/>
      <c r="M156" s="24">
        <f t="shared" si="42"/>
        <v>1</v>
      </c>
      <c r="N156" s="719"/>
      <c r="O156" s="24">
        <f t="shared" si="43"/>
        <v>1</v>
      </c>
      <c r="P156" s="719">
        <v>1</v>
      </c>
      <c r="Q156" s="24">
        <f t="shared" si="44"/>
        <v>1</v>
      </c>
      <c r="R156" s="715">
        <f t="shared" si="37"/>
        <v>0.52</v>
      </c>
      <c r="S156" s="718">
        <f t="shared" si="35"/>
        <v>18.5016</v>
      </c>
    </row>
    <row r="157" spans="1:19" ht="14.25">
      <c r="A157" s="3177">
        <v>103</v>
      </c>
      <c r="B157" s="3177">
        <v>21.6</v>
      </c>
      <c r="C157" s="24">
        <f t="shared" si="36"/>
        <v>1</v>
      </c>
      <c r="D157" s="719"/>
      <c r="E157" s="24">
        <f t="shared" si="38"/>
        <v>1</v>
      </c>
      <c r="F157" s="719"/>
      <c r="G157" s="24">
        <f t="shared" si="39"/>
        <v>1</v>
      </c>
      <c r="H157" s="719"/>
      <c r="I157" s="24">
        <f t="shared" si="40"/>
        <v>1</v>
      </c>
      <c r="J157" s="719"/>
      <c r="K157" s="24">
        <f t="shared" si="41"/>
        <v>1</v>
      </c>
      <c r="L157" s="719"/>
      <c r="M157" s="24">
        <f t="shared" si="42"/>
        <v>1</v>
      </c>
      <c r="N157" s="719"/>
      <c r="O157" s="24">
        <f t="shared" si="43"/>
        <v>1</v>
      </c>
      <c r="P157" s="719">
        <v>1</v>
      </c>
      <c r="Q157" s="24">
        <f t="shared" si="44"/>
        <v>1</v>
      </c>
      <c r="R157" s="715">
        <f t="shared" si="37"/>
        <v>0.52</v>
      </c>
      <c r="S157" s="718">
        <f t="shared" si="35"/>
        <v>11.231999999999999</v>
      </c>
    </row>
    <row r="158" spans="1:19" ht="14.25">
      <c r="A158" s="3177">
        <v>201</v>
      </c>
      <c r="B158" s="3177">
        <v>592.95000000000005</v>
      </c>
      <c r="C158" s="24">
        <f t="shared" si="36"/>
        <v>0.91</v>
      </c>
      <c r="D158" s="719"/>
      <c r="E158" s="24">
        <f t="shared" si="38"/>
        <v>1</v>
      </c>
      <c r="F158" s="719"/>
      <c r="G158" s="24">
        <f t="shared" si="39"/>
        <v>1</v>
      </c>
      <c r="H158" s="719"/>
      <c r="I158" s="24">
        <f t="shared" si="40"/>
        <v>1</v>
      </c>
      <c r="J158" s="719"/>
      <c r="K158" s="24">
        <f t="shared" si="41"/>
        <v>1</v>
      </c>
      <c r="L158" s="719"/>
      <c r="M158" s="24">
        <f t="shared" si="42"/>
        <v>1</v>
      </c>
      <c r="N158" s="719"/>
      <c r="O158" s="24">
        <f t="shared" si="43"/>
        <v>1</v>
      </c>
      <c r="P158" s="719">
        <v>2</v>
      </c>
      <c r="Q158" s="24">
        <f t="shared" si="44"/>
        <v>0.65</v>
      </c>
      <c r="R158" s="715">
        <f t="shared" si="37"/>
        <v>0.31</v>
      </c>
      <c r="S158" s="718">
        <f t="shared" si="35"/>
        <v>183.81450000000001</v>
      </c>
    </row>
    <row r="159" spans="1:19" ht="14.25">
      <c r="A159" s="3177">
        <v>301</v>
      </c>
      <c r="B159" s="3177">
        <v>580.24</v>
      </c>
      <c r="C159" s="24">
        <f t="shared" si="36"/>
        <v>0.91</v>
      </c>
      <c r="D159" s="719"/>
      <c r="E159" s="24">
        <f t="shared" si="38"/>
        <v>1</v>
      </c>
      <c r="F159" s="719"/>
      <c r="G159" s="24">
        <f t="shared" si="39"/>
        <v>1</v>
      </c>
      <c r="H159" s="719"/>
      <c r="I159" s="24">
        <f t="shared" si="40"/>
        <v>1</v>
      </c>
      <c r="J159" s="719"/>
      <c r="K159" s="24">
        <f t="shared" si="41"/>
        <v>1</v>
      </c>
      <c r="L159" s="719"/>
      <c r="M159" s="24">
        <f t="shared" si="42"/>
        <v>1</v>
      </c>
      <c r="N159" s="719"/>
      <c r="O159" s="24">
        <f t="shared" si="43"/>
        <v>1</v>
      </c>
      <c r="P159" s="719">
        <v>3</v>
      </c>
      <c r="Q159" s="24">
        <f t="shared" si="44"/>
        <v>0.6</v>
      </c>
      <c r="R159" s="715">
        <f t="shared" si="37"/>
        <v>0.28000000000000003</v>
      </c>
      <c r="S159" s="718">
        <f t="shared" si="35"/>
        <v>162.46719999999999</v>
      </c>
    </row>
    <row r="160" spans="1:19" ht="14.25">
      <c r="A160" s="3177">
        <v>401</v>
      </c>
      <c r="B160" s="3177">
        <v>415.21</v>
      </c>
      <c r="C160" s="24">
        <f t="shared" si="36"/>
        <v>0.94</v>
      </c>
      <c r="D160" s="719"/>
      <c r="E160" s="24">
        <f t="shared" si="38"/>
        <v>1</v>
      </c>
      <c r="F160" s="719"/>
      <c r="G160" s="24">
        <f t="shared" si="39"/>
        <v>1</v>
      </c>
      <c r="H160" s="719"/>
      <c r="I160" s="24">
        <f t="shared" si="40"/>
        <v>1</v>
      </c>
      <c r="J160" s="719"/>
      <c r="K160" s="24">
        <f t="shared" si="41"/>
        <v>1</v>
      </c>
      <c r="L160" s="719"/>
      <c r="M160" s="24">
        <f t="shared" si="42"/>
        <v>1</v>
      </c>
      <c r="N160" s="719"/>
      <c r="O160" s="24">
        <f t="shared" si="43"/>
        <v>1</v>
      </c>
      <c r="P160" s="719">
        <v>4</v>
      </c>
      <c r="Q160" s="24">
        <f t="shared" si="44"/>
        <v>0.5</v>
      </c>
      <c r="R160" s="715">
        <f t="shared" si="37"/>
        <v>0.24</v>
      </c>
      <c r="S160" s="718">
        <f t="shared" si="35"/>
        <v>99.650400000000005</v>
      </c>
    </row>
    <row r="161" spans="1:19" ht="14.25">
      <c r="A161" s="3180">
        <v>501</v>
      </c>
      <c r="B161" s="3180">
        <v>443.62</v>
      </c>
      <c r="C161" s="24">
        <f t="shared" si="36"/>
        <v>0.93</v>
      </c>
      <c r="D161" s="719"/>
      <c r="E161" s="24">
        <f t="shared" si="38"/>
        <v>1</v>
      </c>
      <c r="F161" s="719"/>
      <c r="G161" s="24">
        <f t="shared" si="39"/>
        <v>1</v>
      </c>
      <c r="H161" s="719"/>
      <c r="I161" s="24">
        <f t="shared" si="40"/>
        <v>1</v>
      </c>
      <c r="J161" s="719"/>
      <c r="K161" s="24">
        <f t="shared" si="41"/>
        <v>1</v>
      </c>
      <c r="L161" s="719"/>
      <c r="M161" s="24">
        <f t="shared" si="42"/>
        <v>1</v>
      </c>
      <c r="N161" s="719"/>
      <c r="O161" s="24">
        <f t="shared" si="43"/>
        <v>1</v>
      </c>
      <c r="P161" s="719">
        <v>5</v>
      </c>
      <c r="Q161" s="24">
        <f t="shared" si="44"/>
        <v>0.5</v>
      </c>
      <c r="R161" s="715">
        <f t="shared" si="37"/>
        <v>0.24</v>
      </c>
      <c r="S161" s="718">
        <f t="shared" si="35"/>
        <v>106.4688</v>
      </c>
    </row>
    <row r="162" spans="1:19">
      <c r="A162" s="158"/>
      <c r="B162" s="59"/>
      <c r="C162" s="24">
        <f t="shared" si="36"/>
        <v>1</v>
      </c>
      <c r="D162" s="719"/>
      <c r="E162" s="24">
        <f t="shared" si="38"/>
        <v>1</v>
      </c>
      <c r="F162" s="719"/>
      <c r="G162" s="24">
        <f t="shared" si="39"/>
        <v>1</v>
      </c>
      <c r="H162" s="719"/>
      <c r="I162" s="24">
        <f t="shared" si="40"/>
        <v>1</v>
      </c>
      <c r="J162" s="719"/>
      <c r="K162" s="24">
        <f t="shared" si="41"/>
        <v>1</v>
      </c>
      <c r="L162" s="719"/>
      <c r="M162" s="24">
        <f t="shared" si="42"/>
        <v>1</v>
      </c>
      <c r="N162" s="719"/>
      <c r="O162" s="24">
        <f t="shared" si="43"/>
        <v>1</v>
      </c>
      <c r="P162" s="719"/>
      <c r="Q162" s="24">
        <f t="shared" si="44"/>
        <v>0</v>
      </c>
      <c r="R162" s="715">
        <f t="shared" ref="R162:R212" si="45">IF(B162="",0,ROUND($R$24*C162*E162*G162*I162*K162*M162*O162*Q162,2))</f>
        <v>0</v>
      </c>
      <c r="S162" s="718">
        <f t="shared" ref="S162:S216" si="46">ROUND(R162*B162,4)</f>
        <v>0</v>
      </c>
    </row>
    <row r="163" spans="1:19" ht="14.25">
      <c r="A163" s="3177">
        <v>101</v>
      </c>
      <c r="B163" s="3177">
        <v>45.78</v>
      </c>
      <c r="C163" s="24">
        <f t="shared" si="36"/>
        <v>1</v>
      </c>
      <c r="D163" s="719"/>
      <c r="E163" s="24">
        <f t="shared" si="38"/>
        <v>1</v>
      </c>
      <c r="F163" s="719"/>
      <c r="G163" s="24">
        <f t="shared" si="39"/>
        <v>1</v>
      </c>
      <c r="H163" s="719"/>
      <c r="I163" s="24">
        <f t="shared" si="40"/>
        <v>1</v>
      </c>
      <c r="J163" s="719"/>
      <c r="K163" s="24">
        <f t="shared" si="41"/>
        <v>1</v>
      </c>
      <c r="L163" s="719"/>
      <c r="M163" s="24">
        <f t="shared" si="42"/>
        <v>1</v>
      </c>
      <c r="N163" s="719"/>
      <c r="O163" s="24">
        <f t="shared" si="43"/>
        <v>1</v>
      </c>
      <c r="P163" s="719">
        <v>1</v>
      </c>
      <c r="Q163" s="24">
        <f t="shared" si="44"/>
        <v>1</v>
      </c>
      <c r="R163" s="715">
        <f t="shared" si="45"/>
        <v>0.52</v>
      </c>
      <c r="S163" s="718">
        <f t="shared" si="46"/>
        <v>23.805599999999998</v>
      </c>
    </row>
    <row r="164" spans="1:19" ht="14.25">
      <c r="A164" s="3177">
        <v>102</v>
      </c>
      <c r="B164" s="3177">
        <v>68.84</v>
      </c>
      <c r="C164" s="24">
        <f t="shared" si="36"/>
        <v>0.99</v>
      </c>
      <c r="D164" s="719"/>
      <c r="E164" s="24">
        <f t="shared" si="38"/>
        <v>1</v>
      </c>
      <c r="F164" s="719"/>
      <c r="G164" s="24">
        <f t="shared" si="39"/>
        <v>1</v>
      </c>
      <c r="H164" s="719"/>
      <c r="I164" s="24">
        <f t="shared" si="40"/>
        <v>1</v>
      </c>
      <c r="J164" s="719"/>
      <c r="K164" s="24">
        <f t="shared" si="41"/>
        <v>1</v>
      </c>
      <c r="L164" s="719"/>
      <c r="M164" s="24">
        <f t="shared" si="42"/>
        <v>1</v>
      </c>
      <c r="N164" s="719"/>
      <c r="O164" s="24">
        <f t="shared" si="43"/>
        <v>1</v>
      </c>
      <c r="P164" s="719">
        <v>1</v>
      </c>
      <c r="Q164" s="24">
        <f t="shared" si="44"/>
        <v>1</v>
      </c>
      <c r="R164" s="715">
        <f t="shared" si="45"/>
        <v>0.51</v>
      </c>
      <c r="S164" s="718">
        <f t="shared" si="46"/>
        <v>35.108400000000003</v>
      </c>
    </row>
    <row r="165" spans="1:19" ht="14.25">
      <c r="A165" s="3177">
        <v>103</v>
      </c>
      <c r="B165" s="3177">
        <v>31.77</v>
      </c>
      <c r="C165" s="24">
        <f t="shared" si="36"/>
        <v>1</v>
      </c>
      <c r="D165" s="719"/>
      <c r="E165" s="24">
        <f t="shared" si="38"/>
        <v>1</v>
      </c>
      <c r="F165" s="719"/>
      <c r="G165" s="24">
        <f t="shared" si="39"/>
        <v>1</v>
      </c>
      <c r="H165" s="719"/>
      <c r="I165" s="24">
        <f t="shared" si="40"/>
        <v>1</v>
      </c>
      <c r="J165" s="719"/>
      <c r="K165" s="24">
        <f t="shared" si="41"/>
        <v>1</v>
      </c>
      <c r="L165" s="719"/>
      <c r="M165" s="24">
        <f t="shared" si="42"/>
        <v>1</v>
      </c>
      <c r="N165" s="719"/>
      <c r="O165" s="24">
        <f t="shared" si="43"/>
        <v>1</v>
      </c>
      <c r="P165" s="719">
        <v>1</v>
      </c>
      <c r="Q165" s="24">
        <f t="shared" si="44"/>
        <v>1</v>
      </c>
      <c r="R165" s="715">
        <f t="shared" si="45"/>
        <v>0.52</v>
      </c>
      <c r="S165" s="718">
        <f t="shared" si="46"/>
        <v>16.520399999999999</v>
      </c>
    </row>
    <row r="166" spans="1:19" ht="14.25">
      <c r="A166" s="3177">
        <v>104</v>
      </c>
      <c r="B166" s="3177">
        <v>68.84</v>
      </c>
      <c r="C166" s="24">
        <f t="shared" si="36"/>
        <v>0.99</v>
      </c>
      <c r="D166" s="719"/>
      <c r="E166" s="24">
        <f t="shared" si="38"/>
        <v>1</v>
      </c>
      <c r="F166" s="719"/>
      <c r="G166" s="24">
        <f t="shared" si="39"/>
        <v>1</v>
      </c>
      <c r="H166" s="719"/>
      <c r="I166" s="24">
        <f t="shared" si="40"/>
        <v>1</v>
      </c>
      <c r="J166" s="719"/>
      <c r="K166" s="24">
        <f t="shared" si="41"/>
        <v>1</v>
      </c>
      <c r="L166" s="719"/>
      <c r="M166" s="24">
        <f t="shared" si="42"/>
        <v>1</v>
      </c>
      <c r="N166" s="719"/>
      <c r="O166" s="24">
        <f t="shared" si="43"/>
        <v>1</v>
      </c>
      <c r="P166" s="719">
        <v>1</v>
      </c>
      <c r="Q166" s="24">
        <f t="shared" si="44"/>
        <v>1</v>
      </c>
      <c r="R166" s="715">
        <f t="shared" si="45"/>
        <v>0.51</v>
      </c>
      <c r="S166" s="718">
        <f t="shared" si="46"/>
        <v>35.108400000000003</v>
      </c>
    </row>
    <row r="167" spans="1:19" ht="14.25">
      <c r="A167" s="3177">
        <v>105</v>
      </c>
      <c r="B167" s="3177">
        <v>45.78</v>
      </c>
      <c r="C167" s="24">
        <f t="shared" si="36"/>
        <v>1</v>
      </c>
      <c r="D167" s="719"/>
      <c r="E167" s="24">
        <f t="shared" si="38"/>
        <v>1</v>
      </c>
      <c r="F167" s="719"/>
      <c r="G167" s="24">
        <f t="shared" si="39"/>
        <v>1</v>
      </c>
      <c r="H167" s="719"/>
      <c r="I167" s="24">
        <f t="shared" si="40"/>
        <v>1</v>
      </c>
      <c r="J167" s="719"/>
      <c r="K167" s="24">
        <f t="shared" si="41"/>
        <v>1</v>
      </c>
      <c r="L167" s="719"/>
      <c r="M167" s="24">
        <f t="shared" si="42"/>
        <v>1</v>
      </c>
      <c r="N167" s="719"/>
      <c r="O167" s="24">
        <f t="shared" si="43"/>
        <v>1</v>
      </c>
      <c r="P167" s="719">
        <v>1</v>
      </c>
      <c r="Q167" s="24">
        <f t="shared" si="44"/>
        <v>1</v>
      </c>
      <c r="R167" s="715">
        <f t="shared" si="45"/>
        <v>0.52</v>
      </c>
      <c r="S167" s="718">
        <f t="shared" si="46"/>
        <v>23.805599999999998</v>
      </c>
    </row>
    <row r="168" spans="1:19" ht="14.25">
      <c r="A168" s="3177">
        <v>101</v>
      </c>
      <c r="B168" s="3177">
        <v>45.78</v>
      </c>
      <c r="C168" s="24">
        <f t="shared" si="36"/>
        <v>1</v>
      </c>
      <c r="D168" s="719"/>
      <c r="E168" s="24">
        <f t="shared" si="38"/>
        <v>1</v>
      </c>
      <c r="F168" s="719"/>
      <c r="G168" s="24">
        <f t="shared" si="39"/>
        <v>1</v>
      </c>
      <c r="H168" s="719"/>
      <c r="I168" s="24">
        <f t="shared" si="40"/>
        <v>1</v>
      </c>
      <c r="J168" s="719"/>
      <c r="K168" s="24">
        <f t="shared" si="41"/>
        <v>1</v>
      </c>
      <c r="L168" s="719"/>
      <c r="M168" s="24">
        <f t="shared" si="42"/>
        <v>1</v>
      </c>
      <c r="N168" s="719"/>
      <c r="O168" s="24">
        <f t="shared" si="43"/>
        <v>1</v>
      </c>
      <c r="P168" s="719">
        <v>1</v>
      </c>
      <c r="Q168" s="24">
        <f t="shared" si="44"/>
        <v>1</v>
      </c>
      <c r="R168" s="715">
        <f t="shared" si="45"/>
        <v>0.52</v>
      </c>
      <c r="S168" s="718">
        <f t="shared" si="46"/>
        <v>23.805599999999998</v>
      </c>
    </row>
    <row r="169" spans="1:19" ht="14.25">
      <c r="A169" s="3177">
        <v>102</v>
      </c>
      <c r="B169" s="3177">
        <v>68.84</v>
      </c>
      <c r="C169" s="24">
        <f t="shared" si="36"/>
        <v>0.99</v>
      </c>
      <c r="D169" s="719"/>
      <c r="E169" s="24">
        <f t="shared" si="38"/>
        <v>1</v>
      </c>
      <c r="F169" s="719"/>
      <c r="G169" s="24">
        <f t="shared" si="39"/>
        <v>1</v>
      </c>
      <c r="H169" s="719"/>
      <c r="I169" s="24">
        <f t="shared" si="40"/>
        <v>1</v>
      </c>
      <c r="J169" s="719"/>
      <c r="K169" s="24">
        <f t="shared" si="41"/>
        <v>1</v>
      </c>
      <c r="L169" s="719"/>
      <c r="M169" s="24">
        <f t="shared" si="42"/>
        <v>1</v>
      </c>
      <c r="N169" s="719"/>
      <c r="O169" s="24">
        <f t="shared" si="43"/>
        <v>1</v>
      </c>
      <c r="P169" s="719">
        <v>1</v>
      </c>
      <c r="Q169" s="24">
        <f t="shared" si="44"/>
        <v>1</v>
      </c>
      <c r="R169" s="715">
        <f t="shared" si="45"/>
        <v>0.51</v>
      </c>
      <c r="S169" s="718">
        <f t="shared" si="46"/>
        <v>35.108400000000003</v>
      </c>
    </row>
    <row r="170" spans="1:19" ht="14.25">
      <c r="A170" s="3177">
        <v>103</v>
      </c>
      <c r="B170" s="3177">
        <v>31.77</v>
      </c>
      <c r="C170" s="24">
        <f t="shared" si="36"/>
        <v>1</v>
      </c>
      <c r="D170" s="719"/>
      <c r="E170" s="24">
        <f t="shared" si="38"/>
        <v>1</v>
      </c>
      <c r="F170" s="719"/>
      <c r="G170" s="24">
        <f t="shared" si="39"/>
        <v>1</v>
      </c>
      <c r="H170" s="719"/>
      <c r="I170" s="24">
        <f t="shared" si="40"/>
        <v>1</v>
      </c>
      <c r="J170" s="719"/>
      <c r="K170" s="24">
        <f t="shared" si="41"/>
        <v>1</v>
      </c>
      <c r="L170" s="719"/>
      <c r="M170" s="24">
        <f t="shared" si="42"/>
        <v>1</v>
      </c>
      <c r="N170" s="719"/>
      <c r="O170" s="24">
        <f t="shared" si="43"/>
        <v>1</v>
      </c>
      <c r="P170" s="719">
        <v>1</v>
      </c>
      <c r="Q170" s="24">
        <f t="shared" si="44"/>
        <v>1</v>
      </c>
      <c r="R170" s="715">
        <f t="shared" si="45"/>
        <v>0.52</v>
      </c>
      <c r="S170" s="718">
        <f t="shared" si="46"/>
        <v>16.520399999999999</v>
      </c>
    </row>
    <row r="171" spans="1:19" ht="14.25">
      <c r="A171" s="3177">
        <v>104</v>
      </c>
      <c r="B171" s="3177">
        <v>68.84</v>
      </c>
      <c r="C171" s="24">
        <f t="shared" si="36"/>
        <v>0.99</v>
      </c>
      <c r="D171" s="719"/>
      <c r="E171" s="24">
        <f t="shared" si="38"/>
        <v>1</v>
      </c>
      <c r="F171" s="719"/>
      <c r="G171" s="24">
        <f t="shared" si="39"/>
        <v>1</v>
      </c>
      <c r="H171" s="719"/>
      <c r="I171" s="24">
        <f t="shared" si="40"/>
        <v>1</v>
      </c>
      <c r="J171" s="719"/>
      <c r="K171" s="24">
        <f t="shared" si="41"/>
        <v>1</v>
      </c>
      <c r="L171" s="719"/>
      <c r="M171" s="24">
        <f t="shared" si="42"/>
        <v>1</v>
      </c>
      <c r="N171" s="719"/>
      <c r="O171" s="24">
        <f t="shared" si="43"/>
        <v>1</v>
      </c>
      <c r="P171" s="719">
        <v>1</v>
      </c>
      <c r="Q171" s="24">
        <f t="shared" si="44"/>
        <v>1</v>
      </c>
      <c r="R171" s="715">
        <f t="shared" si="45"/>
        <v>0.51</v>
      </c>
      <c r="S171" s="718">
        <f t="shared" si="46"/>
        <v>35.108400000000003</v>
      </c>
    </row>
    <row r="172" spans="1:19" ht="14.25">
      <c r="A172" s="3177">
        <v>105</v>
      </c>
      <c r="B172" s="3177">
        <v>45.78</v>
      </c>
      <c r="C172" s="24">
        <f t="shared" si="36"/>
        <v>1</v>
      </c>
      <c r="D172" s="719"/>
      <c r="E172" s="24">
        <f t="shared" si="38"/>
        <v>1</v>
      </c>
      <c r="F172" s="719"/>
      <c r="G172" s="24">
        <f t="shared" si="39"/>
        <v>1</v>
      </c>
      <c r="H172" s="719"/>
      <c r="I172" s="24">
        <f t="shared" si="40"/>
        <v>1</v>
      </c>
      <c r="J172" s="719"/>
      <c r="K172" s="24">
        <f t="shared" si="41"/>
        <v>1</v>
      </c>
      <c r="L172" s="719"/>
      <c r="M172" s="24">
        <f t="shared" si="42"/>
        <v>1</v>
      </c>
      <c r="N172" s="719"/>
      <c r="O172" s="24">
        <f t="shared" si="43"/>
        <v>1</v>
      </c>
      <c r="P172" s="719">
        <v>1</v>
      </c>
      <c r="Q172" s="24">
        <f t="shared" si="44"/>
        <v>1</v>
      </c>
      <c r="R172" s="715">
        <f t="shared" si="45"/>
        <v>0.52</v>
      </c>
      <c r="S172" s="718">
        <f t="shared" si="46"/>
        <v>23.805599999999998</v>
      </c>
    </row>
    <row r="173" spans="1:19" ht="14.25">
      <c r="A173" s="3177">
        <v>101</v>
      </c>
      <c r="B173" s="3177">
        <v>45.95</v>
      </c>
      <c r="C173" s="24">
        <f t="shared" si="36"/>
        <v>1</v>
      </c>
      <c r="D173" s="719"/>
      <c r="E173" s="24">
        <f t="shared" si="38"/>
        <v>1</v>
      </c>
      <c r="F173" s="719"/>
      <c r="G173" s="24">
        <f t="shared" si="39"/>
        <v>1</v>
      </c>
      <c r="H173" s="719"/>
      <c r="I173" s="24">
        <f t="shared" si="40"/>
        <v>1</v>
      </c>
      <c r="J173" s="719"/>
      <c r="K173" s="24">
        <f t="shared" si="41"/>
        <v>1</v>
      </c>
      <c r="L173" s="719"/>
      <c r="M173" s="24">
        <f t="shared" si="42"/>
        <v>1</v>
      </c>
      <c r="N173" s="719"/>
      <c r="O173" s="24">
        <f t="shared" si="43"/>
        <v>1</v>
      </c>
      <c r="P173" s="719">
        <v>1</v>
      </c>
      <c r="Q173" s="24">
        <f t="shared" si="44"/>
        <v>1</v>
      </c>
      <c r="R173" s="715">
        <f t="shared" si="45"/>
        <v>0.52</v>
      </c>
      <c r="S173" s="718">
        <f t="shared" si="46"/>
        <v>23.893999999999998</v>
      </c>
    </row>
    <row r="174" spans="1:19" ht="14.25">
      <c r="A174" s="3177">
        <v>102</v>
      </c>
      <c r="B174" s="3177">
        <v>68.989999999999995</v>
      </c>
      <c r="C174" s="24">
        <f t="shared" si="36"/>
        <v>0.99</v>
      </c>
      <c r="D174" s="719"/>
      <c r="E174" s="24">
        <f t="shared" si="38"/>
        <v>1</v>
      </c>
      <c r="F174" s="719"/>
      <c r="G174" s="24">
        <f t="shared" si="39"/>
        <v>1</v>
      </c>
      <c r="H174" s="719"/>
      <c r="I174" s="24">
        <f t="shared" si="40"/>
        <v>1</v>
      </c>
      <c r="J174" s="719"/>
      <c r="K174" s="24">
        <f t="shared" si="41"/>
        <v>1</v>
      </c>
      <c r="L174" s="719"/>
      <c r="M174" s="24">
        <f t="shared" si="42"/>
        <v>1</v>
      </c>
      <c r="N174" s="719"/>
      <c r="O174" s="24">
        <f t="shared" si="43"/>
        <v>1</v>
      </c>
      <c r="P174" s="719">
        <v>1</v>
      </c>
      <c r="Q174" s="24">
        <f t="shared" si="44"/>
        <v>1</v>
      </c>
      <c r="R174" s="715">
        <f t="shared" si="45"/>
        <v>0.51</v>
      </c>
      <c r="S174" s="718">
        <f t="shared" si="46"/>
        <v>35.184899999999999</v>
      </c>
    </row>
    <row r="175" spans="1:19" ht="14.25">
      <c r="A175" s="3177">
        <v>103</v>
      </c>
      <c r="B175" s="3177">
        <v>31.91</v>
      </c>
      <c r="C175" s="24">
        <f t="shared" si="36"/>
        <v>1</v>
      </c>
      <c r="D175" s="719"/>
      <c r="E175" s="24">
        <f t="shared" si="38"/>
        <v>1</v>
      </c>
      <c r="F175" s="719"/>
      <c r="G175" s="24">
        <f t="shared" si="39"/>
        <v>1</v>
      </c>
      <c r="H175" s="719"/>
      <c r="I175" s="24">
        <f t="shared" si="40"/>
        <v>1</v>
      </c>
      <c r="J175" s="719"/>
      <c r="K175" s="24">
        <f t="shared" si="41"/>
        <v>1</v>
      </c>
      <c r="L175" s="719"/>
      <c r="M175" s="24">
        <f t="shared" si="42"/>
        <v>1</v>
      </c>
      <c r="N175" s="719"/>
      <c r="O175" s="24">
        <f t="shared" si="43"/>
        <v>1</v>
      </c>
      <c r="P175" s="719">
        <v>1</v>
      </c>
      <c r="Q175" s="24">
        <f t="shared" si="44"/>
        <v>1</v>
      </c>
      <c r="R175" s="715">
        <f t="shared" si="45"/>
        <v>0.52</v>
      </c>
      <c r="S175" s="718">
        <f t="shared" si="46"/>
        <v>16.5932</v>
      </c>
    </row>
    <row r="176" spans="1:19" ht="14.25">
      <c r="A176" s="3177">
        <v>104</v>
      </c>
      <c r="B176" s="3177">
        <v>68.989999999999995</v>
      </c>
      <c r="C176" s="24">
        <f t="shared" si="36"/>
        <v>0.99</v>
      </c>
      <c r="D176" s="719"/>
      <c r="E176" s="24">
        <f t="shared" si="38"/>
        <v>1</v>
      </c>
      <c r="F176" s="719"/>
      <c r="G176" s="24">
        <f t="shared" si="39"/>
        <v>1</v>
      </c>
      <c r="H176" s="719"/>
      <c r="I176" s="24">
        <f t="shared" si="40"/>
        <v>1</v>
      </c>
      <c r="J176" s="719"/>
      <c r="K176" s="24">
        <f t="shared" si="41"/>
        <v>1</v>
      </c>
      <c r="L176" s="719"/>
      <c r="M176" s="24">
        <f t="shared" si="42"/>
        <v>1</v>
      </c>
      <c r="N176" s="719"/>
      <c r="O176" s="24">
        <f t="shared" si="43"/>
        <v>1</v>
      </c>
      <c r="P176" s="719">
        <v>1</v>
      </c>
      <c r="Q176" s="24">
        <f t="shared" si="44"/>
        <v>1</v>
      </c>
      <c r="R176" s="715">
        <f t="shared" si="45"/>
        <v>0.51</v>
      </c>
      <c r="S176" s="718">
        <f t="shared" si="46"/>
        <v>35.184899999999999</v>
      </c>
    </row>
    <row r="177" spans="1:19" ht="14.25">
      <c r="A177" s="3177">
        <v>105</v>
      </c>
      <c r="B177" s="3177">
        <v>45.95</v>
      </c>
      <c r="C177" s="24">
        <f t="shared" si="36"/>
        <v>1</v>
      </c>
      <c r="D177" s="719"/>
      <c r="E177" s="24">
        <f t="shared" si="38"/>
        <v>1</v>
      </c>
      <c r="F177" s="719"/>
      <c r="G177" s="24">
        <f t="shared" si="39"/>
        <v>1</v>
      </c>
      <c r="H177" s="719"/>
      <c r="I177" s="24">
        <f t="shared" si="40"/>
        <v>1</v>
      </c>
      <c r="J177" s="719"/>
      <c r="K177" s="24">
        <f t="shared" si="41"/>
        <v>1</v>
      </c>
      <c r="L177" s="719"/>
      <c r="M177" s="24">
        <f t="shared" si="42"/>
        <v>1</v>
      </c>
      <c r="N177" s="719"/>
      <c r="O177" s="24">
        <f t="shared" si="43"/>
        <v>1</v>
      </c>
      <c r="P177" s="719">
        <v>1</v>
      </c>
      <c r="Q177" s="24">
        <f t="shared" si="44"/>
        <v>1</v>
      </c>
      <c r="R177" s="715">
        <f t="shared" si="45"/>
        <v>0.52</v>
      </c>
      <c r="S177" s="718">
        <f t="shared" si="46"/>
        <v>23.893999999999998</v>
      </c>
    </row>
    <row r="178" spans="1:19">
      <c r="A178" s="158"/>
      <c r="B178" s="59"/>
      <c r="C178" s="24">
        <f t="shared" si="36"/>
        <v>1</v>
      </c>
      <c r="D178" s="719"/>
      <c r="E178" s="24">
        <f t="shared" si="38"/>
        <v>1</v>
      </c>
      <c r="F178" s="719"/>
      <c r="G178" s="24">
        <f t="shared" si="39"/>
        <v>1</v>
      </c>
      <c r="H178" s="719"/>
      <c r="I178" s="24">
        <f t="shared" si="40"/>
        <v>1</v>
      </c>
      <c r="J178" s="719"/>
      <c r="K178" s="24">
        <f t="shared" si="41"/>
        <v>1</v>
      </c>
      <c r="L178" s="719"/>
      <c r="M178" s="24">
        <f t="shared" si="42"/>
        <v>1</v>
      </c>
      <c r="N178" s="719"/>
      <c r="O178" s="24">
        <f t="shared" si="43"/>
        <v>1</v>
      </c>
      <c r="P178" s="719"/>
      <c r="Q178" s="24">
        <f t="shared" si="44"/>
        <v>0</v>
      </c>
      <c r="R178" s="715">
        <f t="shared" si="45"/>
        <v>0</v>
      </c>
      <c r="S178" s="718">
        <f t="shared" si="46"/>
        <v>0</v>
      </c>
    </row>
    <row r="179" spans="1:19" ht="14.25">
      <c r="A179" s="3177">
        <v>-216</v>
      </c>
      <c r="B179" s="3177">
        <v>10097.549999999999</v>
      </c>
      <c r="C179" s="24">
        <f t="shared" si="36"/>
        <v>0.84</v>
      </c>
      <c r="D179" s="719"/>
      <c r="E179" s="24">
        <f t="shared" si="38"/>
        <v>1</v>
      </c>
      <c r="F179" s="719"/>
      <c r="G179" s="24">
        <f t="shared" si="39"/>
        <v>1</v>
      </c>
      <c r="H179" s="719"/>
      <c r="I179" s="24">
        <f t="shared" si="40"/>
        <v>1</v>
      </c>
      <c r="J179" s="719"/>
      <c r="K179" s="24">
        <f t="shared" si="41"/>
        <v>1</v>
      </c>
      <c r="L179" s="719"/>
      <c r="M179" s="24">
        <f t="shared" si="42"/>
        <v>1</v>
      </c>
      <c r="N179" s="719"/>
      <c r="O179" s="24">
        <f t="shared" si="43"/>
        <v>1</v>
      </c>
      <c r="P179" s="719">
        <v>-2</v>
      </c>
      <c r="Q179" s="24">
        <f t="shared" si="44"/>
        <v>0.4</v>
      </c>
      <c r="R179" s="715">
        <f t="shared" si="45"/>
        <v>0.17</v>
      </c>
      <c r="S179" s="718">
        <f t="shared" si="46"/>
        <v>1716.5835</v>
      </c>
    </row>
    <row r="180" spans="1:19" ht="14.25">
      <c r="A180" s="3177">
        <v>-247</v>
      </c>
      <c r="B180" s="3177">
        <v>9572.77</v>
      </c>
      <c r="C180" s="24">
        <f t="shared" si="36"/>
        <v>0.84</v>
      </c>
      <c r="D180" s="719"/>
      <c r="E180" s="24">
        <f t="shared" si="38"/>
        <v>1</v>
      </c>
      <c r="F180" s="719"/>
      <c r="G180" s="24">
        <f t="shared" si="39"/>
        <v>1</v>
      </c>
      <c r="H180" s="719"/>
      <c r="I180" s="24">
        <f t="shared" si="40"/>
        <v>1</v>
      </c>
      <c r="J180" s="719"/>
      <c r="K180" s="24">
        <f t="shared" si="41"/>
        <v>1</v>
      </c>
      <c r="L180" s="719"/>
      <c r="M180" s="24">
        <f t="shared" si="42"/>
        <v>1</v>
      </c>
      <c r="N180" s="719"/>
      <c r="O180" s="24">
        <f t="shared" si="43"/>
        <v>1</v>
      </c>
      <c r="P180" s="719">
        <v>-2</v>
      </c>
      <c r="Q180" s="24">
        <f t="shared" si="44"/>
        <v>0.4</v>
      </c>
      <c r="R180" s="715">
        <f t="shared" si="45"/>
        <v>0.17</v>
      </c>
      <c r="S180" s="718">
        <f t="shared" si="46"/>
        <v>1627.3708999999999</v>
      </c>
    </row>
    <row r="181" spans="1:19" ht="14.25">
      <c r="A181" s="3177">
        <v>-259</v>
      </c>
      <c r="B181" s="3177">
        <v>1676.73</v>
      </c>
      <c r="C181" s="24">
        <f t="shared" si="36"/>
        <v>0.84</v>
      </c>
      <c r="D181" s="719"/>
      <c r="E181" s="24">
        <f t="shared" si="38"/>
        <v>1</v>
      </c>
      <c r="F181" s="719"/>
      <c r="G181" s="24">
        <f t="shared" si="39"/>
        <v>1</v>
      </c>
      <c r="H181" s="719"/>
      <c r="I181" s="24">
        <f t="shared" si="40"/>
        <v>1</v>
      </c>
      <c r="J181" s="719"/>
      <c r="K181" s="24">
        <f t="shared" si="41"/>
        <v>1</v>
      </c>
      <c r="L181" s="719"/>
      <c r="M181" s="24">
        <f t="shared" si="42"/>
        <v>1</v>
      </c>
      <c r="N181" s="719"/>
      <c r="O181" s="24">
        <f t="shared" si="43"/>
        <v>1</v>
      </c>
      <c r="P181" s="719">
        <v>-2</v>
      </c>
      <c r="Q181" s="24">
        <f t="shared" si="44"/>
        <v>0.4</v>
      </c>
      <c r="R181" s="715">
        <f t="shared" si="45"/>
        <v>0.17</v>
      </c>
      <c r="S181" s="718">
        <f t="shared" si="46"/>
        <v>285.04410000000001</v>
      </c>
    </row>
    <row r="182" spans="1:19" ht="14.25">
      <c r="A182" s="3177">
        <v>-275</v>
      </c>
      <c r="B182" s="3177">
        <v>10833.53</v>
      </c>
      <c r="C182" s="24">
        <f t="shared" si="36"/>
        <v>0.84</v>
      </c>
      <c r="D182" s="719"/>
      <c r="E182" s="24">
        <f t="shared" si="38"/>
        <v>1</v>
      </c>
      <c r="F182" s="719"/>
      <c r="G182" s="24">
        <f t="shared" si="39"/>
        <v>1</v>
      </c>
      <c r="H182" s="719"/>
      <c r="I182" s="24">
        <f t="shared" si="40"/>
        <v>1</v>
      </c>
      <c r="J182" s="719"/>
      <c r="K182" s="24">
        <f t="shared" si="41"/>
        <v>1</v>
      </c>
      <c r="L182" s="719"/>
      <c r="M182" s="24">
        <f t="shared" si="42"/>
        <v>1</v>
      </c>
      <c r="N182" s="719"/>
      <c r="O182" s="24">
        <f t="shared" si="43"/>
        <v>1</v>
      </c>
      <c r="P182" s="719">
        <v>-2</v>
      </c>
      <c r="Q182" s="24">
        <f t="shared" si="44"/>
        <v>0.4</v>
      </c>
      <c r="R182" s="715">
        <f t="shared" si="45"/>
        <v>0.17</v>
      </c>
      <c r="S182" s="718">
        <f t="shared" si="46"/>
        <v>1841.7001</v>
      </c>
    </row>
    <row r="183" spans="1:19" ht="14.25">
      <c r="A183" s="3177">
        <v>-109</v>
      </c>
      <c r="B183" s="3177">
        <v>10478.68</v>
      </c>
      <c r="C183" s="24">
        <f t="shared" si="36"/>
        <v>0.84</v>
      </c>
      <c r="D183" s="719"/>
      <c r="E183" s="24">
        <f t="shared" si="38"/>
        <v>1</v>
      </c>
      <c r="F183" s="719"/>
      <c r="G183" s="24">
        <f t="shared" si="39"/>
        <v>1</v>
      </c>
      <c r="H183" s="719"/>
      <c r="I183" s="24">
        <f t="shared" si="40"/>
        <v>1</v>
      </c>
      <c r="J183" s="719"/>
      <c r="K183" s="24">
        <f t="shared" si="41"/>
        <v>1</v>
      </c>
      <c r="L183" s="719"/>
      <c r="M183" s="24">
        <f t="shared" si="42"/>
        <v>1</v>
      </c>
      <c r="N183" s="719"/>
      <c r="O183" s="24">
        <f t="shared" si="43"/>
        <v>1</v>
      </c>
      <c r="P183" s="719">
        <v>-1</v>
      </c>
      <c r="Q183" s="24">
        <f t="shared" si="44"/>
        <v>0.5</v>
      </c>
      <c r="R183" s="715">
        <f t="shared" si="45"/>
        <v>0.22</v>
      </c>
      <c r="S183" s="718">
        <f t="shared" si="46"/>
        <v>2305.3096</v>
      </c>
    </row>
    <row r="184" spans="1:19" ht="14.25">
      <c r="A184" s="3177">
        <v>-134</v>
      </c>
      <c r="B184" s="3177">
        <v>8899.18</v>
      </c>
      <c r="C184" s="24">
        <f t="shared" si="36"/>
        <v>0.84</v>
      </c>
      <c r="D184" s="719"/>
      <c r="E184" s="24">
        <f t="shared" si="38"/>
        <v>1</v>
      </c>
      <c r="F184" s="719"/>
      <c r="G184" s="24">
        <f t="shared" si="39"/>
        <v>1</v>
      </c>
      <c r="H184" s="719"/>
      <c r="I184" s="24">
        <f t="shared" si="40"/>
        <v>1</v>
      </c>
      <c r="J184" s="719"/>
      <c r="K184" s="24">
        <f t="shared" si="41"/>
        <v>1</v>
      </c>
      <c r="L184" s="719"/>
      <c r="M184" s="24">
        <f t="shared" si="42"/>
        <v>1</v>
      </c>
      <c r="N184" s="719"/>
      <c r="O184" s="24">
        <f t="shared" si="43"/>
        <v>1</v>
      </c>
      <c r="P184" s="719">
        <v>-1</v>
      </c>
      <c r="Q184" s="24">
        <f t="shared" si="44"/>
        <v>0.5</v>
      </c>
      <c r="R184" s="715">
        <f t="shared" si="45"/>
        <v>0.22</v>
      </c>
      <c r="S184" s="718">
        <f t="shared" si="46"/>
        <v>1957.8196</v>
      </c>
    </row>
    <row r="185" spans="1:19" ht="14.25">
      <c r="A185" s="3177">
        <v>-142</v>
      </c>
      <c r="B185" s="3177">
        <v>1599.34</v>
      </c>
      <c r="C185" s="24">
        <f t="shared" si="36"/>
        <v>0.84</v>
      </c>
      <c r="D185" s="719"/>
      <c r="E185" s="24">
        <f t="shared" si="38"/>
        <v>1</v>
      </c>
      <c r="F185" s="719"/>
      <c r="G185" s="24">
        <f t="shared" si="39"/>
        <v>1</v>
      </c>
      <c r="H185" s="719"/>
      <c r="I185" s="24">
        <f t="shared" si="40"/>
        <v>1</v>
      </c>
      <c r="J185" s="719"/>
      <c r="K185" s="24">
        <f t="shared" si="41"/>
        <v>1</v>
      </c>
      <c r="L185" s="719"/>
      <c r="M185" s="24">
        <f t="shared" si="42"/>
        <v>1</v>
      </c>
      <c r="N185" s="719"/>
      <c r="O185" s="24">
        <f t="shared" si="43"/>
        <v>1</v>
      </c>
      <c r="P185" s="719">
        <v>-1</v>
      </c>
      <c r="Q185" s="24">
        <f t="shared" si="44"/>
        <v>0.5</v>
      </c>
      <c r="R185" s="715">
        <f t="shared" si="45"/>
        <v>0.22</v>
      </c>
      <c r="S185" s="718">
        <f t="shared" si="46"/>
        <v>351.85480000000001</v>
      </c>
    </row>
    <row r="186" spans="1:19" ht="14.25">
      <c r="A186" s="3180">
        <v>-157</v>
      </c>
      <c r="B186" s="3180">
        <v>9438.6</v>
      </c>
      <c r="C186" s="24">
        <f t="shared" si="36"/>
        <v>0.84</v>
      </c>
      <c r="D186" s="719"/>
      <c r="E186" s="24">
        <f t="shared" si="38"/>
        <v>1</v>
      </c>
      <c r="F186" s="719"/>
      <c r="G186" s="24">
        <f t="shared" si="39"/>
        <v>1</v>
      </c>
      <c r="H186" s="719"/>
      <c r="I186" s="24">
        <f t="shared" si="40"/>
        <v>1</v>
      </c>
      <c r="J186" s="719"/>
      <c r="K186" s="24">
        <f t="shared" si="41"/>
        <v>1</v>
      </c>
      <c r="L186" s="719"/>
      <c r="M186" s="24">
        <f t="shared" si="42"/>
        <v>1</v>
      </c>
      <c r="N186" s="719"/>
      <c r="O186" s="24">
        <f t="shared" si="43"/>
        <v>1</v>
      </c>
      <c r="P186" s="719">
        <v>-1</v>
      </c>
      <c r="Q186" s="24">
        <f t="shared" si="44"/>
        <v>0.5</v>
      </c>
      <c r="R186" s="715">
        <f t="shared" si="45"/>
        <v>0.22</v>
      </c>
      <c r="S186" s="718">
        <f t="shared" si="46"/>
        <v>2076.4920000000002</v>
      </c>
    </row>
    <row r="187" spans="1:19">
      <c r="A187" s="158"/>
      <c r="B187" s="59"/>
      <c r="C187" s="24">
        <f t="shared" si="36"/>
        <v>1</v>
      </c>
      <c r="D187" s="719"/>
      <c r="E187" s="24">
        <f t="shared" si="38"/>
        <v>1</v>
      </c>
      <c r="F187" s="719"/>
      <c r="G187" s="24">
        <f t="shared" si="39"/>
        <v>1</v>
      </c>
      <c r="H187" s="719"/>
      <c r="I187" s="24">
        <f t="shared" si="40"/>
        <v>1</v>
      </c>
      <c r="J187" s="719"/>
      <c r="K187" s="24">
        <f t="shared" si="41"/>
        <v>1</v>
      </c>
      <c r="L187" s="719"/>
      <c r="M187" s="24">
        <f t="shared" si="42"/>
        <v>1</v>
      </c>
      <c r="N187" s="719"/>
      <c r="O187" s="24">
        <f t="shared" si="43"/>
        <v>1</v>
      </c>
      <c r="P187" s="719"/>
      <c r="Q187" s="24">
        <f t="shared" si="44"/>
        <v>0</v>
      </c>
      <c r="R187" s="715">
        <f t="shared" si="45"/>
        <v>0</v>
      </c>
      <c r="S187" s="718">
        <f t="shared" si="46"/>
        <v>0</v>
      </c>
    </row>
    <row r="188" spans="1:19">
      <c r="A188" s="158"/>
      <c r="B188" s="59"/>
      <c r="C188" s="24">
        <f t="shared" si="36"/>
        <v>1</v>
      </c>
      <c r="D188" s="719"/>
      <c r="E188" s="24">
        <f t="shared" si="38"/>
        <v>1</v>
      </c>
      <c r="F188" s="719"/>
      <c r="G188" s="24">
        <f t="shared" si="39"/>
        <v>1</v>
      </c>
      <c r="H188" s="719"/>
      <c r="I188" s="24">
        <f t="shared" si="40"/>
        <v>1</v>
      </c>
      <c r="J188" s="719"/>
      <c r="K188" s="24">
        <f t="shared" si="41"/>
        <v>1</v>
      </c>
      <c r="L188" s="719"/>
      <c r="M188" s="24">
        <f t="shared" si="42"/>
        <v>1</v>
      </c>
      <c r="N188" s="719"/>
      <c r="O188" s="24">
        <f t="shared" si="43"/>
        <v>1</v>
      </c>
      <c r="P188" s="719"/>
      <c r="Q188" s="24">
        <f t="shared" si="44"/>
        <v>0</v>
      </c>
      <c r="R188" s="715">
        <f t="shared" si="45"/>
        <v>0</v>
      </c>
      <c r="S188" s="718">
        <f t="shared" si="46"/>
        <v>0</v>
      </c>
    </row>
    <row r="189" spans="1:19">
      <c r="A189" s="158"/>
      <c r="B189" s="59"/>
      <c r="C189" s="24">
        <f t="shared" si="36"/>
        <v>1</v>
      </c>
      <c r="D189" s="719"/>
      <c r="E189" s="24">
        <f t="shared" si="38"/>
        <v>1</v>
      </c>
      <c r="F189" s="719"/>
      <c r="G189" s="24">
        <f t="shared" si="39"/>
        <v>1</v>
      </c>
      <c r="H189" s="719"/>
      <c r="I189" s="24">
        <f t="shared" si="40"/>
        <v>1</v>
      </c>
      <c r="J189" s="719"/>
      <c r="K189" s="24">
        <f t="shared" si="41"/>
        <v>1</v>
      </c>
      <c r="L189" s="719"/>
      <c r="M189" s="24">
        <f t="shared" si="42"/>
        <v>1</v>
      </c>
      <c r="N189" s="719"/>
      <c r="O189" s="24">
        <f t="shared" si="43"/>
        <v>1</v>
      </c>
      <c r="P189" s="719"/>
      <c r="Q189" s="24">
        <f t="shared" si="44"/>
        <v>0</v>
      </c>
      <c r="R189" s="715">
        <f t="shared" si="45"/>
        <v>0</v>
      </c>
      <c r="S189" s="718">
        <f t="shared" si="46"/>
        <v>0</v>
      </c>
    </row>
    <row r="190" spans="1:19">
      <c r="A190" s="158"/>
      <c r="B190" s="59"/>
      <c r="C190" s="24">
        <f t="shared" si="36"/>
        <v>1</v>
      </c>
      <c r="D190" s="719"/>
      <c r="E190" s="24">
        <f t="shared" si="38"/>
        <v>1</v>
      </c>
      <c r="F190" s="719"/>
      <c r="G190" s="24">
        <f t="shared" si="39"/>
        <v>1</v>
      </c>
      <c r="H190" s="719"/>
      <c r="I190" s="24">
        <f t="shared" si="40"/>
        <v>1</v>
      </c>
      <c r="J190" s="719"/>
      <c r="K190" s="24">
        <f t="shared" si="41"/>
        <v>1</v>
      </c>
      <c r="L190" s="719"/>
      <c r="M190" s="24">
        <f t="shared" si="42"/>
        <v>1</v>
      </c>
      <c r="N190" s="719"/>
      <c r="O190" s="24">
        <f t="shared" si="43"/>
        <v>1</v>
      </c>
      <c r="P190" s="719"/>
      <c r="Q190" s="24">
        <f t="shared" si="44"/>
        <v>0</v>
      </c>
      <c r="R190" s="715">
        <f t="shared" si="45"/>
        <v>0</v>
      </c>
      <c r="S190" s="718">
        <f t="shared" si="46"/>
        <v>0</v>
      </c>
    </row>
    <row r="191" spans="1:19">
      <c r="A191" s="158"/>
      <c r="B191" s="59"/>
      <c r="C191" s="24">
        <f t="shared" si="36"/>
        <v>1</v>
      </c>
      <c r="D191" s="719"/>
      <c r="E191" s="24">
        <f t="shared" si="38"/>
        <v>1</v>
      </c>
      <c r="F191" s="719"/>
      <c r="G191" s="24">
        <f t="shared" si="39"/>
        <v>1</v>
      </c>
      <c r="H191" s="719"/>
      <c r="I191" s="24">
        <f t="shared" si="40"/>
        <v>1</v>
      </c>
      <c r="J191" s="719"/>
      <c r="K191" s="24">
        <f t="shared" si="41"/>
        <v>1</v>
      </c>
      <c r="L191" s="719"/>
      <c r="M191" s="24">
        <f t="shared" si="42"/>
        <v>1</v>
      </c>
      <c r="N191" s="719"/>
      <c r="O191" s="24">
        <f t="shared" si="43"/>
        <v>1</v>
      </c>
      <c r="P191" s="719"/>
      <c r="Q191" s="24">
        <f t="shared" si="44"/>
        <v>0</v>
      </c>
      <c r="R191" s="715">
        <f t="shared" si="45"/>
        <v>0</v>
      </c>
      <c r="S191" s="718">
        <f t="shared" si="46"/>
        <v>0</v>
      </c>
    </row>
    <row r="192" spans="1:19">
      <c r="A192" s="158"/>
      <c r="B192" s="59"/>
      <c r="C192" s="24">
        <f t="shared" si="36"/>
        <v>1</v>
      </c>
      <c r="D192" s="719"/>
      <c r="E192" s="24">
        <f t="shared" si="38"/>
        <v>1</v>
      </c>
      <c r="F192" s="719"/>
      <c r="G192" s="24">
        <f t="shared" si="39"/>
        <v>1</v>
      </c>
      <c r="H192" s="719"/>
      <c r="I192" s="24">
        <f t="shared" si="40"/>
        <v>1</v>
      </c>
      <c r="J192" s="719"/>
      <c r="K192" s="24">
        <f t="shared" si="41"/>
        <v>1</v>
      </c>
      <c r="L192" s="719"/>
      <c r="M192" s="24">
        <f t="shared" si="42"/>
        <v>1</v>
      </c>
      <c r="N192" s="719"/>
      <c r="O192" s="24">
        <f t="shared" si="43"/>
        <v>1</v>
      </c>
      <c r="P192" s="719"/>
      <c r="Q192" s="24">
        <f t="shared" si="44"/>
        <v>0</v>
      </c>
      <c r="R192" s="715">
        <f t="shared" si="45"/>
        <v>0</v>
      </c>
      <c r="S192" s="718">
        <f t="shared" si="46"/>
        <v>0</v>
      </c>
    </row>
    <row r="193" spans="1:19">
      <c r="A193" s="158"/>
      <c r="B193" s="59"/>
      <c r="C193" s="24">
        <f t="shared" si="36"/>
        <v>1</v>
      </c>
      <c r="D193" s="719"/>
      <c r="E193" s="24">
        <f t="shared" si="38"/>
        <v>1</v>
      </c>
      <c r="F193" s="719"/>
      <c r="G193" s="24">
        <f t="shared" si="39"/>
        <v>1</v>
      </c>
      <c r="H193" s="719"/>
      <c r="I193" s="24">
        <f t="shared" si="40"/>
        <v>1</v>
      </c>
      <c r="J193" s="719"/>
      <c r="K193" s="24">
        <f t="shared" si="41"/>
        <v>1</v>
      </c>
      <c r="L193" s="719"/>
      <c r="M193" s="24">
        <f t="shared" si="42"/>
        <v>1</v>
      </c>
      <c r="N193" s="719"/>
      <c r="O193" s="24">
        <f t="shared" si="43"/>
        <v>1</v>
      </c>
      <c r="P193" s="719"/>
      <c r="Q193" s="24">
        <f t="shared" si="44"/>
        <v>0</v>
      </c>
      <c r="R193" s="715">
        <f t="shared" si="45"/>
        <v>0</v>
      </c>
      <c r="S193" s="718">
        <f t="shared" si="46"/>
        <v>0</v>
      </c>
    </row>
    <row r="194" spans="1:19">
      <c r="A194" s="158"/>
      <c r="B194" s="59"/>
      <c r="C194" s="24">
        <f t="shared" si="36"/>
        <v>1</v>
      </c>
      <c r="D194" s="719"/>
      <c r="E194" s="24">
        <f t="shared" si="38"/>
        <v>1</v>
      </c>
      <c r="F194" s="719"/>
      <c r="G194" s="24">
        <f t="shared" si="39"/>
        <v>1</v>
      </c>
      <c r="H194" s="719"/>
      <c r="I194" s="24">
        <f t="shared" si="40"/>
        <v>1</v>
      </c>
      <c r="J194" s="719"/>
      <c r="K194" s="24">
        <f t="shared" si="41"/>
        <v>1</v>
      </c>
      <c r="L194" s="719"/>
      <c r="M194" s="24">
        <f t="shared" si="42"/>
        <v>1</v>
      </c>
      <c r="N194" s="719"/>
      <c r="O194" s="24">
        <f t="shared" si="43"/>
        <v>1</v>
      </c>
      <c r="P194" s="719"/>
      <c r="Q194" s="24">
        <f t="shared" si="44"/>
        <v>0</v>
      </c>
      <c r="R194" s="715">
        <f t="shared" si="45"/>
        <v>0</v>
      </c>
      <c r="S194" s="718">
        <f t="shared" si="46"/>
        <v>0</v>
      </c>
    </row>
    <row r="195" spans="1:19">
      <c r="A195" s="158"/>
      <c r="B195" s="59"/>
      <c r="C195" s="24">
        <f t="shared" si="36"/>
        <v>1</v>
      </c>
      <c r="D195" s="719"/>
      <c r="E195" s="24">
        <f t="shared" si="38"/>
        <v>1</v>
      </c>
      <c r="F195" s="719"/>
      <c r="G195" s="24">
        <f t="shared" si="39"/>
        <v>1</v>
      </c>
      <c r="H195" s="719"/>
      <c r="I195" s="24">
        <f t="shared" si="40"/>
        <v>1</v>
      </c>
      <c r="J195" s="719"/>
      <c r="K195" s="24">
        <f t="shared" si="41"/>
        <v>1</v>
      </c>
      <c r="L195" s="719"/>
      <c r="M195" s="24">
        <f t="shared" si="42"/>
        <v>1</v>
      </c>
      <c r="N195" s="719"/>
      <c r="O195" s="24">
        <f t="shared" si="43"/>
        <v>1</v>
      </c>
      <c r="P195" s="719"/>
      <c r="Q195" s="24">
        <f t="shared" si="44"/>
        <v>0</v>
      </c>
      <c r="R195" s="715">
        <f t="shared" si="45"/>
        <v>0</v>
      </c>
      <c r="S195" s="718">
        <f t="shared" si="46"/>
        <v>0</v>
      </c>
    </row>
    <row r="196" spans="1:19">
      <c r="A196" s="158"/>
      <c r="B196" s="59"/>
      <c r="C196" s="24">
        <f t="shared" si="36"/>
        <v>1</v>
      </c>
      <c r="D196" s="719"/>
      <c r="E196" s="24">
        <f t="shared" si="38"/>
        <v>1</v>
      </c>
      <c r="F196" s="719"/>
      <c r="G196" s="24">
        <f t="shared" si="39"/>
        <v>1</v>
      </c>
      <c r="H196" s="719"/>
      <c r="I196" s="24">
        <f t="shared" si="40"/>
        <v>1</v>
      </c>
      <c r="J196" s="719"/>
      <c r="K196" s="24">
        <f t="shared" si="41"/>
        <v>1</v>
      </c>
      <c r="L196" s="719"/>
      <c r="M196" s="24">
        <f t="shared" si="42"/>
        <v>1</v>
      </c>
      <c r="N196" s="719"/>
      <c r="O196" s="24">
        <f t="shared" si="43"/>
        <v>1</v>
      </c>
      <c r="P196" s="719"/>
      <c r="Q196" s="24">
        <f t="shared" si="44"/>
        <v>0</v>
      </c>
      <c r="R196" s="715">
        <f t="shared" si="45"/>
        <v>0</v>
      </c>
      <c r="S196" s="718">
        <f t="shared" si="46"/>
        <v>0</v>
      </c>
    </row>
    <row r="197" spans="1:19">
      <c r="A197" s="158"/>
      <c r="B197" s="59"/>
      <c r="C197" s="24">
        <f t="shared" si="36"/>
        <v>1</v>
      </c>
      <c r="D197" s="719"/>
      <c r="E197" s="24">
        <f t="shared" si="38"/>
        <v>1</v>
      </c>
      <c r="F197" s="719"/>
      <c r="G197" s="24">
        <f t="shared" si="39"/>
        <v>1</v>
      </c>
      <c r="H197" s="719"/>
      <c r="I197" s="24">
        <f t="shared" si="40"/>
        <v>1</v>
      </c>
      <c r="J197" s="719"/>
      <c r="K197" s="24">
        <f t="shared" si="41"/>
        <v>1</v>
      </c>
      <c r="L197" s="719"/>
      <c r="M197" s="24">
        <f t="shared" si="42"/>
        <v>1</v>
      </c>
      <c r="N197" s="719"/>
      <c r="O197" s="24">
        <f t="shared" si="43"/>
        <v>1</v>
      </c>
      <c r="P197" s="719"/>
      <c r="Q197" s="24">
        <f t="shared" si="44"/>
        <v>0</v>
      </c>
      <c r="R197" s="715">
        <f t="shared" si="45"/>
        <v>0</v>
      </c>
      <c r="S197" s="718">
        <f t="shared" si="46"/>
        <v>0</v>
      </c>
    </row>
    <row r="198" spans="1:19">
      <c r="A198" s="158"/>
      <c r="B198" s="59"/>
      <c r="C198" s="24">
        <f t="shared" si="36"/>
        <v>1</v>
      </c>
      <c r="D198" s="719"/>
      <c r="E198" s="24">
        <f t="shared" si="38"/>
        <v>1</v>
      </c>
      <c r="F198" s="719"/>
      <c r="G198" s="24">
        <f t="shared" si="39"/>
        <v>1</v>
      </c>
      <c r="H198" s="719"/>
      <c r="I198" s="24">
        <f t="shared" si="40"/>
        <v>1</v>
      </c>
      <c r="J198" s="719"/>
      <c r="K198" s="24">
        <f t="shared" si="41"/>
        <v>1</v>
      </c>
      <c r="L198" s="719"/>
      <c r="M198" s="24">
        <f t="shared" si="42"/>
        <v>1</v>
      </c>
      <c r="N198" s="719"/>
      <c r="O198" s="24">
        <f t="shared" si="43"/>
        <v>1</v>
      </c>
      <c r="P198" s="719"/>
      <c r="Q198" s="24">
        <f t="shared" si="44"/>
        <v>0</v>
      </c>
      <c r="R198" s="715">
        <f t="shared" si="45"/>
        <v>0</v>
      </c>
      <c r="S198" s="718">
        <f t="shared" si="46"/>
        <v>0</v>
      </c>
    </row>
    <row r="199" spans="1:19">
      <c r="A199" s="158"/>
      <c r="B199" s="59"/>
      <c r="C199" s="24">
        <f t="shared" si="36"/>
        <v>1</v>
      </c>
      <c r="D199" s="719"/>
      <c r="E199" s="24">
        <f t="shared" si="38"/>
        <v>1</v>
      </c>
      <c r="F199" s="719"/>
      <c r="G199" s="24">
        <f t="shared" si="39"/>
        <v>1</v>
      </c>
      <c r="H199" s="719"/>
      <c r="I199" s="24">
        <f t="shared" si="40"/>
        <v>1</v>
      </c>
      <c r="J199" s="719"/>
      <c r="K199" s="24">
        <f t="shared" si="41"/>
        <v>1</v>
      </c>
      <c r="L199" s="719"/>
      <c r="M199" s="24">
        <f t="shared" si="42"/>
        <v>1</v>
      </c>
      <c r="N199" s="719"/>
      <c r="O199" s="24">
        <f t="shared" si="43"/>
        <v>1</v>
      </c>
      <c r="P199" s="719"/>
      <c r="Q199" s="24">
        <f t="shared" si="44"/>
        <v>0</v>
      </c>
      <c r="R199" s="715">
        <f t="shared" si="45"/>
        <v>0</v>
      </c>
      <c r="S199" s="718">
        <f t="shared" si="46"/>
        <v>0</v>
      </c>
    </row>
    <row r="200" spans="1:19">
      <c r="A200" s="158"/>
      <c r="B200" s="59"/>
      <c r="C200" s="24">
        <f t="shared" si="36"/>
        <v>1</v>
      </c>
      <c r="D200" s="719"/>
      <c r="E200" s="24">
        <f t="shared" si="38"/>
        <v>1</v>
      </c>
      <c r="F200" s="719"/>
      <c r="G200" s="24">
        <f t="shared" si="39"/>
        <v>1</v>
      </c>
      <c r="H200" s="719"/>
      <c r="I200" s="24">
        <f t="shared" si="40"/>
        <v>1</v>
      </c>
      <c r="J200" s="719"/>
      <c r="K200" s="24">
        <f t="shared" si="41"/>
        <v>1</v>
      </c>
      <c r="L200" s="719"/>
      <c r="M200" s="24">
        <f t="shared" si="42"/>
        <v>1</v>
      </c>
      <c r="N200" s="719"/>
      <c r="O200" s="24">
        <f t="shared" si="43"/>
        <v>1</v>
      </c>
      <c r="P200" s="719"/>
      <c r="Q200" s="24">
        <f t="shared" si="44"/>
        <v>0</v>
      </c>
      <c r="R200" s="715">
        <f t="shared" si="45"/>
        <v>0</v>
      </c>
      <c r="S200" s="718">
        <f t="shared" si="46"/>
        <v>0</v>
      </c>
    </row>
    <row r="201" spans="1:19">
      <c r="A201" s="158"/>
      <c r="B201" s="59"/>
      <c r="C201" s="24">
        <f t="shared" si="36"/>
        <v>1</v>
      </c>
      <c r="D201" s="719"/>
      <c r="E201" s="24">
        <f t="shared" si="38"/>
        <v>1</v>
      </c>
      <c r="F201" s="719"/>
      <c r="G201" s="24">
        <f t="shared" si="39"/>
        <v>1</v>
      </c>
      <c r="H201" s="719"/>
      <c r="I201" s="24">
        <f t="shared" si="40"/>
        <v>1</v>
      </c>
      <c r="J201" s="719"/>
      <c r="K201" s="24">
        <f t="shared" si="41"/>
        <v>1</v>
      </c>
      <c r="L201" s="719"/>
      <c r="M201" s="24">
        <f t="shared" si="42"/>
        <v>1</v>
      </c>
      <c r="N201" s="719"/>
      <c r="O201" s="24">
        <f t="shared" si="43"/>
        <v>1</v>
      </c>
      <c r="P201" s="719"/>
      <c r="Q201" s="24">
        <f t="shared" si="44"/>
        <v>0</v>
      </c>
      <c r="R201" s="715">
        <f t="shared" si="45"/>
        <v>0</v>
      </c>
      <c r="S201" s="718">
        <f t="shared" si="46"/>
        <v>0</v>
      </c>
    </row>
    <row r="202" spans="1:19">
      <c r="A202" s="158"/>
      <c r="B202" s="59"/>
      <c r="C202" s="24">
        <f t="shared" si="36"/>
        <v>1</v>
      </c>
      <c r="D202" s="719"/>
      <c r="E202" s="24">
        <f t="shared" si="38"/>
        <v>1</v>
      </c>
      <c r="F202" s="719"/>
      <c r="G202" s="24">
        <f t="shared" si="39"/>
        <v>1</v>
      </c>
      <c r="H202" s="719"/>
      <c r="I202" s="24">
        <f t="shared" si="40"/>
        <v>1</v>
      </c>
      <c r="J202" s="719"/>
      <c r="K202" s="24">
        <f t="shared" si="41"/>
        <v>1</v>
      </c>
      <c r="L202" s="719"/>
      <c r="M202" s="24">
        <f t="shared" si="42"/>
        <v>1</v>
      </c>
      <c r="N202" s="719"/>
      <c r="O202" s="24">
        <f t="shared" si="43"/>
        <v>1</v>
      </c>
      <c r="P202" s="719"/>
      <c r="Q202" s="24">
        <f t="shared" si="44"/>
        <v>0</v>
      </c>
      <c r="R202" s="715">
        <f t="shared" si="45"/>
        <v>0</v>
      </c>
      <c r="S202" s="718">
        <f t="shared" si="46"/>
        <v>0</v>
      </c>
    </row>
    <row r="203" spans="1:19">
      <c r="A203" s="158"/>
      <c r="B203" s="59"/>
      <c r="C203" s="24">
        <f t="shared" si="36"/>
        <v>1</v>
      </c>
      <c r="D203" s="719"/>
      <c r="E203" s="24">
        <f t="shared" si="38"/>
        <v>1</v>
      </c>
      <c r="F203" s="719"/>
      <c r="G203" s="24">
        <f t="shared" si="39"/>
        <v>1</v>
      </c>
      <c r="H203" s="719"/>
      <c r="I203" s="24">
        <f t="shared" si="40"/>
        <v>1</v>
      </c>
      <c r="J203" s="719"/>
      <c r="K203" s="24">
        <f t="shared" si="41"/>
        <v>1</v>
      </c>
      <c r="L203" s="719"/>
      <c r="M203" s="24">
        <f t="shared" si="42"/>
        <v>1</v>
      </c>
      <c r="N203" s="719"/>
      <c r="O203" s="24">
        <f t="shared" si="43"/>
        <v>1</v>
      </c>
      <c r="P203" s="719"/>
      <c r="Q203" s="24">
        <f t="shared" si="44"/>
        <v>0</v>
      </c>
      <c r="R203" s="715">
        <f t="shared" si="45"/>
        <v>0</v>
      </c>
      <c r="S203" s="718">
        <f t="shared" si="46"/>
        <v>0</v>
      </c>
    </row>
    <row r="204" spans="1:19">
      <c r="A204" s="158"/>
      <c r="B204" s="59"/>
      <c r="C204" s="24">
        <f t="shared" si="36"/>
        <v>1</v>
      </c>
      <c r="D204" s="719"/>
      <c r="E204" s="24">
        <f t="shared" si="38"/>
        <v>1</v>
      </c>
      <c r="F204" s="719"/>
      <c r="G204" s="24">
        <f t="shared" si="39"/>
        <v>1</v>
      </c>
      <c r="H204" s="719"/>
      <c r="I204" s="24">
        <f t="shared" si="40"/>
        <v>1</v>
      </c>
      <c r="J204" s="719"/>
      <c r="K204" s="24">
        <f t="shared" si="41"/>
        <v>1</v>
      </c>
      <c r="L204" s="719"/>
      <c r="M204" s="24">
        <f t="shared" si="42"/>
        <v>1</v>
      </c>
      <c r="N204" s="719"/>
      <c r="O204" s="24">
        <f t="shared" si="43"/>
        <v>1</v>
      </c>
      <c r="P204" s="719"/>
      <c r="Q204" s="24">
        <f t="shared" si="44"/>
        <v>0</v>
      </c>
      <c r="R204" s="715">
        <f t="shared" si="45"/>
        <v>0</v>
      </c>
      <c r="S204" s="718">
        <f t="shared" si="46"/>
        <v>0</v>
      </c>
    </row>
    <row r="205" spans="1:19">
      <c r="A205" s="158"/>
      <c r="B205" s="59"/>
      <c r="C205" s="24">
        <f t="shared" si="36"/>
        <v>1</v>
      </c>
      <c r="D205" s="719"/>
      <c r="E205" s="24">
        <f t="shared" si="38"/>
        <v>1</v>
      </c>
      <c r="F205" s="719"/>
      <c r="G205" s="24">
        <f t="shared" si="39"/>
        <v>1</v>
      </c>
      <c r="H205" s="719"/>
      <c r="I205" s="24">
        <f t="shared" si="40"/>
        <v>1</v>
      </c>
      <c r="J205" s="719"/>
      <c r="K205" s="24">
        <f t="shared" si="41"/>
        <v>1</v>
      </c>
      <c r="L205" s="719"/>
      <c r="M205" s="24">
        <f t="shared" si="42"/>
        <v>1</v>
      </c>
      <c r="N205" s="719"/>
      <c r="O205" s="24">
        <f t="shared" si="43"/>
        <v>1</v>
      </c>
      <c r="P205" s="719"/>
      <c r="Q205" s="24">
        <f t="shared" si="44"/>
        <v>0</v>
      </c>
      <c r="R205" s="715">
        <f t="shared" si="45"/>
        <v>0</v>
      </c>
      <c r="S205" s="718">
        <f t="shared" si="46"/>
        <v>0</v>
      </c>
    </row>
    <row r="206" spans="1:19">
      <c r="A206" s="158"/>
      <c r="B206" s="59"/>
      <c r="C206" s="24">
        <f t="shared" si="36"/>
        <v>1</v>
      </c>
      <c r="D206" s="719"/>
      <c r="E206" s="24">
        <f t="shared" si="38"/>
        <v>1</v>
      </c>
      <c r="F206" s="719"/>
      <c r="G206" s="24">
        <f t="shared" si="39"/>
        <v>1</v>
      </c>
      <c r="H206" s="719"/>
      <c r="I206" s="24">
        <f t="shared" si="40"/>
        <v>1</v>
      </c>
      <c r="J206" s="719"/>
      <c r="K206" s="24">
        <f t="shared" si="41"/>
        <v>1</v>
      </c>
      <c r="L206" s="719"/>
      <c r="M206" s="24">
        <f t="shared" si="42"/>
        <v>1</v>
      </c>
      <c r="N206" s="719"/>
      <c r="O206" s="24">
        <f t="shared" si="43"/>
        <v>1</v>
      </c>
      <c r="P206" s="719"/>
      <c r="Q206" s="24">
        <f t="shared" si="44"/>
        <v>0</v>
      </c>
      <c r="R206" s="715">
        <f t="shared" si="45"/>
        <v>0</v>
      </c>
      <c r="S206" s="718">
        <f t="shared" si="46"/>
        <v>0</v>
      </c>
    </row>
    <row r="207" spans="1:19">
      <c r="A207" s="158"/>
      <c r="B207" s="59"/>
      <c r="C207" s="24">
        <f t="shared" si="36"/>
        <v>1</v>
      </c>
      <c r="D207" s="719"/>
      <c r="E207" s="24">
        <f t="shared" si="38"/>
        <v>1</v>
      </c>
      <c r="F207" s="719"/>
      <c r="G207" s="24">
        <f t="shared" si="39"/>
        <v>1</v>
      </c>
      <c r="H207" s="719"/>
      <c r="I207" s="24">
        <f t="shared" si="40"/>
        <v>1</v>
      </c>
      <c r="J207" s="719"/>
      <c r="K207" s="24">
        <f t="shared" si="41"/>
        <v>1</v>
      </c>
      <c r="L207" s="719"/>
      <c r="M207" s="24">
        <f t="shared" si="42"/>
        <v>1</v>
      </c>
      <c r="N207" s="719"/>
      <c r="O207" s="24">
        <f t="shared" si="43"/>
        <v>1</v>
      </c>
      <c r="P207" s="719"/>
      <c r="Q207" s="24">
        <f t="shared" si="44"/>
        <v>0</v>
      </c>
      <c r="R207" s="715">
        <f t="shared" si="45"/>
        <v>0</v>
      </c>
      <c r="S207" s="718">
        <f t="shared" si="46"/>
        <v>0</v>
      </c>
    </row>
    <row r="208" spans="1:19">
      <c r="A208" s="158"/>
      <c r="B208" s="59"/>
      <c r="C208" s="24">
        <f t="shared" si="36"/>
        <v>1</v>
      </c>
      <c r="D208" s="719"/>
      <c r="E208" s="24">
        <f t="shared" si="38"/>
        <v>1</v>
      </c>
      <c r="F208" s="719"/>
      <c r="G208" s="24">
        <f t="shared" si="39"/>
        <v>1</v>
      </c>
      <c r="H208" s="719"/>
      <c r="I208" s="24">
        <f t="shared" si="40"/>
        <v>1</v>
      </c>
      <c r="J208" s="719"/>
      <c r="K208" s="24">
        <f t="shared" si="41"/>
        <v>1</v>
      </c>
      <c r="L208" s="719"/>
      <c r="M208" s="24">
        <f t="shared" si="42"/>
        <v>1</v>
      </c>
      <c r="N208" s="719"/>
      <c r="O208" s="24">
        <f t="shared" si="43"/>
        <v>1</v>
      </c>
      <c r="P208" s="719"/>
      <c r="Q208" s="24">
        <f t="shared" si="44"/>
        <v>0</v>
      </c>
      <c r="R208" s="715">
        <f t="shared" si="45"/>
        <v>0</v>
      </c>
      <c r="S208" s="718">
        <f t="shared" si="46"/>
        <v>0</v>
      </c>
    </row>
    <row r="209" spans="1:19">
      <c r="A209" s="158"/>
      <c r="B209" s="59"/>
      <c r="C209" s="24">
        <f t="shared" si="36"/>
        <v>1</v>
      </c>
      <c r="D209" s="719"/>
      <c r="E209" s="24">
        <f t="shared" si="38"/>
        <v>1</v>
      </c>
      <c r="F209" s="719"/>
      <c r="G209" s="24">
        <f t="shared" si="39"/>
        <v>1</v>
      </c>
      <c r="H209" s="719"/>
      <c r="I209" s="24">
        <f t="shared" si="40"/>
        <v>1</v>
      </c>
      <c r="J209" s="719"/>
      <c r="K209" s="24">
        <f t="shared" si="41"/>
        <v>1</v>
      </c>
      <c r="L209" s="719"/>
      <c r="M209" s="24">
        <f t="shared" si="42"/>
        <v>1</v>
      </c>
      <c r="N209" s="719"/>
      <c r="O209" s="24">
        <f t="shared" si="43"/>
        <v>1</v>
      </c>
      <c r="P209" s="719"/>
      <c r="Q209" s="24">
        <f t="shared" si="44"/>
        <v>0</v>
      </c>
      <c r="R209" s="715">
        <f t="shared" si="45"/>
        <v>0</v>
      </c>
      <c r="S209" s="718">
        <f t="shared" si="46"/>
        <v>0</v>
      </c>
    </row>
    <row r="210" spans="1:19">
      <c r="A210" s="158"/>
      <c r="B210" s="59"/>
      <c r="C210" s="24">
        <f t="shared" si="36"/>
        <v>1</v>
      </c>
      <c r="D210" s="719"/>
      <c r="E210" s="24">
        <f t="shared" si="38"/>
        <v>1</v>
      </c>
      <c r="F210" s="719"/>
      <c r="G210" s="24">
        <f t="shared" si="39"/>
        <v>1</v>
      </c>
      <c r="H210" s="719"/>
      <c r="I210" s="24">
        <f t="shared" si="40"/>
        <v>1</v>
      </c>
      <c r="J210" s="719"/>
      <c r="K210" s="24">
        <f t="shared" si="41"/>
        <v>1</v>
      </c>
      <c r="L210" s="719"/>
      <c r="M210" s="24">
        <f t="shared" si="42"/>
        <v>1</v>
      </c>
      <c r="N210" s="719"/>
      <c r="O210" s="24">
        <f t="shared" si="43"/>
        <v>1</v>
      </c>
      <c r="P210" s="719"/>
      <c r="Q210" s="24">
        <f t="shared" si="44"/>
        <v>0</v>
      </c>
      <c r="R210" s="715">
        <f t="shared" si="45"/>
        <v>0</v>
      </c>
      <c r="S210" s="718">
        <f t="shared" si="46"/>
        <v>0</v>
      </c>
    </row>
    <row r="211" spans="1:19">
      <c r="A211" s="158"/>
      <c r="B211" s="59"/>
      <c r="C211" s="24">
        <f t="shared" si="36"/>
        <v>1</v>
      </c>
      <c r="D211" s="719"/>
      <c r="E211" s="24">
        <f t="shared" si="38"/>
        <v>1</v>
      </c>
      <c r="F211" s="719"/>
      <c r="G211" s="24">
        <f t="shared" si="39"/>
        <v>1</v>
      </c>
      <c r="H211" s="719"/>
      <c r="I211" s="24">
        <f t="shared" si="40"/>
        <v>1</v>
      </c>
      <c r="J211" s="719"/>
      <c r="K211" s="24">
        <f t="shared" si="41"/>
        <v>1</v>
      </c>
      <c r="L211" s="719"/>
      <c r="M211" s="24">
        <f t="shared" si="42"/>
        <v>1</v>
      </c>
      <c r="N211" s="719"/>
      <c r="O211" s="24">
        <f t="shared" si="43"/>
        <v>1</v>
      </c>
      <c r="P211" s="719"/>
      <c r="Q211" s="24">
        <f t="shared" si="44"/>
        <v>0</v>
      </c>
      <c r="R211" s="715">
        <f t="shared" si="45"/>
        <v>0</v>
      </c>
      <c r="S211" s="718">
        <f t="shared" si="46"/>
        <v>0</v>
      </c>
    </row>
    <row r="212" spans="1:19">
      <c r="A212" s="158"/>
      <c r="B212" s="59"/>
      <c r="C212" s="24">
        <f t="shared" si="36"/>
        <v>1</v>
      </c>
      <c r="D212" s="719"/>
      <c r="E212" s="24">
        <f t="shared" si="38"/>
        <v>1</v>
      </c>
      <c r="F212" s="719"/>
      <c r="G212" s="24">
        <f t="shared" si="39"/>
        <v>1</v>
      </c>
      <c r="H212" s="719"/>
      <c r="I212" s="24">
        <f t="shared" si="40"/>
        <v>1</v>
      </c>
      <c r="J212" s="719"/>
      <c r="K212" s="24">
        <f t="shared" si="41"/>
        <v>1</v>
      </c>
      <c r="L212" s="719"/>
      <c r="M212" s="24">
        <f t="shared" si="42"/>
        <v>1</v>
      </c>
      <c r="N212" s="719"/>
      <c r="O212" s="24">
        <f t="shared" si="43"/>
        <v>1</v>
      </c>
      <c r="P212" s="719"/>
      <c r="Q212" s="24">
        <f t="shared" si="44"/>
        <v>0</v>
      </c>
      <c r="R212" s="715">
        <f t="shared" si="45"/>
        <v>0</v>
      </c>
      <c r="S212" s="718">
        <f t="shared" si="46"/>
        <v>0</v>
      </c>
    </row>
    <row r="213" spans="1:19">
      <c r="A213" s="158"/>
      <c r="B213" s="59"/>
      <c r="C213" s="24">
        <f t="shared" si="36"/>
        <v>1</v>
      </c>
      <c r="D213" s="719"/>
      <c r="E213" s="24">
        <f t="shared" si="38"/>
        <v>1</v>
      </c>
      <c r="F213" s="719"/>
      <c r="G213" s="24">
        <f t="shared" si="39"/>
        <v>1</v>
      </c>
      <c r="H213" s="719"/>
      <c r="I213" s="24">
        <f t="shared" si="40"/>
        <v>1</v>
      </c>
      <c r="J213" s="719"/>
      <c r="K213" s="24">
        <f t="shared" si="41"/>
        <v>1</v>
      </c>
      <c r="L213" s="719"/>
      <c r="M213" s="24">
        <f t="shared" si="42"/>
        <v>1</v>
      </c>
      <c r="N213" s="719"/>
      <c r="O213" s="24">
        <f t="shared" si="43"/>
        <v>1</v>
      </c>
      <c r="P213" s="719"/>
      <c r="Q213" s="24">
        <f t="shared" si="44"/>
        <v>0</v>
      </c>
      <c r="R213" s="715">
        <f t="shared" ref="R213:R217" si="47">IF(B213="",0,ROUND($R$24*C213*E213*G213*I213*K213*M213*O213*Q213,0))</f>
        <v>0</v>
      </c>
      <c r="S213" s="718">
        <f t="shared" si="46"/>
        <v>0</v>
      </c>
    </row>
    <row r="214" spans="1:19">
      <c r="A214" s="158"/>
      <c r="B214" s="59"/>
      <c r="C214" s="24">
        <f t="shared" si="36"/>
        <v>1</v>
      </c>
      <c r="D214" s="719"/>
      <c r="E214" s="24">
        <f t="shared" si="38"/>
        <v>1</v>
      </c>
      <c r="F214" s="719"/>
      <c r="G214" s="24">
        <f t="shared" si="39"/>
        <v>1</v>
      </c>
      <c r="H214" s="719"/>
      <c r="I214" s="24">
        <f t="shared" si="40"/>
        <v>1</v>
      </c>
      <c r="J214" s="719"/>
      <c r="K214" s="24">
        <f t="shared" si="41"/>
        <v>1</v>
      </c>
      <c r="L214" s="719"/>
      <c r="M214" s="24">
        <f t="shared" si="42"/>
        <v>1</v>
      </c>
      <c r="N214" s="719"/>
      <c r="O214" s="24">
        <f t="shared" si="43"/>
        <v>1</v>
      </c>
      <c r="P214" s="719"/>
      <c r="Q214" s="24">
        <f t="shared" si="44"/>
        <v>0</v>
      </c>
      <c r="R214" s="715">
        <f t="shared" si="47"/>
        <v>0</v>
      </c>
      <c r="S214" s="718">
        <f t="shared" si="46"/>
        <v>0</v>
      </c>
    </row>
    <row r="215" spans="1:19">
      <c r="A215" s="158"/>
      <c r="B215" s="59"/>
      <c r="C215" s="24">
        <f t="shared" si="36"/>
        <v>1</v>
      </c>
      <c r="D215" s="719"/>
      <c r="E215" s="24">
        <f t="shared" si="38"/>
        <v>1</v>
      </c>
      <c r="F215" s="719"/>
      <c r="G215" s="24">
        <f t="shared" si="39"/>
        <v>1</v>
      </c>
      <c r="H215" s="719"/>
      <c r="I215" s="24">
        <f t="shared" si="40"/>
        <v>1</v>
      </c>
      <c r="J215" s="719"/>
      <c r="K215" s="24">
        <f t="shared" si="41"/>
        <v>1</v>
      </c>
      <c r="L215" s="719"/>
      <c r="M215" s="24">
        <f t="shared" si="42"/>
        <v>1</v>
      </c>
      <c r="N215" s="719"/>
      <c r="O215" s="24">
        <f t="shared" si="43"/>
        <v>1</v>
      </c>
      <c r="P215" s="719"/>
      <c r="Q215" s="24">
        <f t="shared" si="44"/>
        <v>0</v>
      </c>
      <c r="R215" s="715">
        <f t="shared" si="47"/>
        <v>0</v>
      </c>
      <c r="S215" s="718">
        <f t="shared" si="46"/>
        <v>0</v>
      </c>
    </row>
    <row r="216" spans="1:19">
      <c r="A216" s="158"/>
      <c r="B216" s="59"/>
      <c r="C216" s="24">
        <f t="shared" si="36"/>
        <v>1</v>
      </c>
      <c r="D216" s="719"/>
      <c r="E216" s="24">
        <f t="shared" si="38"/>
        <v>1</v>
      </c>
      <c r="F216" s="719"/>
      <c r="G216" s="24">
        <f t="shared" si="39"/>
        <v>1</v>
      </c>
      <c r="H216" s="719"/>
      <c r="I216" s="24">
        <f t="shared" si="40"/>
        <v>1</v>
      </c>
      <c r="J216" s="719"/>
      <c r="K216" s="24">
        <f t="shared" si="41"/>
        <v>1</v>
      </c>
      <c r="L216" s="719"/>
      <c r="M216" s="24">
        <f t="shared" si="42"/>
        <v>1</v>
      </c>
      <c r="N216" s="719"/>
      <c r="O216" s="24">
        <f t="shared" si="43"/>
        <v>1</v>
      </c>
      <c r="P216" s="719"/>
      <c r="Q216" s="24">
        <f t="shared" si="44"/>
        <v>0</v>
      </c>
      <c r="R216" s="715">
        <f t="shared" si="47"/>
        <v>0</v>
      </c>
      <c r="S216" s="718">
        <f t="shared" si="46"/>
        <v>0</v>
      </c>
    </row>
    <row r="217" spans="1:19">
      <c r="A217" s="158"/>
      <c r="B217" s="59"/>
      <c r="C217" s="24">
        <f t="shared" ref="C217:C280" si="48">IF(B217="",1,(LOOKUP(B217,$3:$3,$4:$4)-LOOKUP($B$24,$3:$3,$4:$4)+100)/100)</f>
        <v>1</v>
      </c>
      <c r="D217" s="719"/>
      <c r="E217" s="24">
        <f t="shared" si="38"/>
        <v>1</v>
      </c>
      <c r="F217" s="719"/>
      <c r="G217" s="24">
        <f t="shared" si="39"/>
        <v>1</v>
      </c>
      <c r="H217" s="719"/>
      <c r="I217" s="24">
        <f t="shared" si="40"/>
        <v>1</v>
      </c>
      <c r="J217" s="719"/>
      <c r="K217" s="24">
        <f t="shared" si="41"/>
        <v>1</v>
      </c>
      <c r="L217" s="719"/>
      <c r="M217" s="24">
        <f t="shared" si="42"/>
        <v>1</v>
      </c>
      <c r="N217" s="719"/>
      <c r="O217" s="24">
        <f t="shared" si="43"/>
        <v>1</v>
      </c>
      <c r="P217" s="719"/>
      <c r="Q217" s="24">
        <f t="shared" si="44"/>
        <v>0</v>
      </c>
      <c r="R217" s="715">
        <f t="shared" si="47"/>
        <v>0</v>
      </c>
      <c r="S217" s="718">
        <f t="shared" ref="S217:S261" si="49">ROUND(R217*B217,4)</f>
        <v>0</v>
      </c>
    </row>
    <row r="218" spans="1:19">
      <c r="A218" s="158"/>
      <c r="B218" s="59"/>
      <c r="C218" s="24">
        <f t="shared" si="48"/>
        <v>1</v>
      </c>
      <c r="D218" s="719"/>
      <c r="E218" s="24">
        <f t="shared" ref="E218:E281" si="50">(SUMIF($5:$5,D218,$6:$6)-SUMIF($5:$5,$D$24,$6:$6)+100)/100</f>
        <v>1</v>
      </c>
      <c r="F218" s="719"/>
      <c r="G218" s="24">
        <f t="shared" ref="G218:G281" si="51">(SUMIF($7:$7,F218,$8:$8)-SUMIF($7:$7,$F$24,$8:$8)+100)/100</f>
        <v>1</v>
      </c>
      <c r="H218" s="719"/>
      <c r="I218" s="24">
        <f t="shared" ref="I218:I281" si="52">(SUMIF($9:$9,H218,$10:$10)-SUMIF($9:$9,$H$24,$10:$10)+100)/100</f>
        <v>1</v>
      </c>
      <c r="J218" s="719"/>
      <c r="K218" s="24">
        <f t="shared" ref="K218:K281" si="53">(SUMIF($11:$11,J218,$12:$12)-SUMIF($11:$11,$J$24,$12:$12)+100)/100</f>
        <v>1</v>
      </c>
      <c r="L218" s="719"/>
      <c r="M218" s="24">
        <f t="shared" ref="M218:M281" si="54">(SUMIF($13:$13,L218,$14:$14)-SUMIF($13:$13,$L$24,$14:$14)+100)/100</f>
        <v>1</v>
      </c>
      <c r="N218" s="719"/>
      <c r="O218" s="24">
        <f t="shared" ref="O218:O281" si="55">(SUMIF($15:$15,N218,$16:$16)-SUMIF($15:$15,$N$24,$16:$16)+100)/100</f>
        <v>1</v>
      </c>
      <c r="P218" s="719"/>
      <c r="Q218" s="24">
        <f t="shared" ref="Q218:Q281" si="56">(SUMIF($17:$17,P218,$18:$18)-SUMIF($17:$17,$P$24,$18:$18)+100)/100</f>
        <v>0</v>
      </c>
      <c r="R218" s="715">
        <f t="shared" ref="R218:R281" si="57">IF(B218="",0,ROUND($R$24*C218*E218*G218*I218*K218*M218*O218*Q218,0))</f>
        <v>0</v>
      </c>
      <c r="S218" s="718">
        <f t="shared" si="49"/>
        <v>0</v>
      </c>
    </row>
    <row r="219" spans="1:19">
      <c r="A219" s="158"/>
      <c r="B219" s="59"/>
      <c r="C219" s="24">
        <f t="shared" si="48"/>
        <v>1</v>
      </c>
      <c r="D219" s="719"/>
      <c r="E219" s="24">
        <f t="shared" si="50"/>
        <v>1</v>
      </c>
      <c r="F219" s="719"/>
      <c r="G219" s="24">
        <f t="shared" si="51"/>
        <v>1</v>
      </c>
      <c r="H219" s="719"/>
      <c r="I219" s="24">
        <f t="shared" si="52"/>
        <v>1</v>
      </c>
      <c r="J219" s="719"/>
      <c r="K219" s="24">
        <f t="shared" si="53"/>
        <v>1</v>
      </c>
      <c r="L219" s="719"/>
      <c r="M219" s="24">
        <f t="shared" si="54"/>
        <v>1</v>
      </c>
      <c r="N219" s="719"/>
      <c r="O219" s="24">
        <f t="shared" si="55"/>
        <v>1</v>
      </c>
      <c r="P219" s="719"/>
      <c r="Q219" s="24">
        <f t="shared" si="56"/>
        <v>0</v>
      </c>
      <c r="R219" s="715">
        <f t="shared" si="57"/>
        <v>0</v>
      </c>
      <c r="S219" s="718">
        <f t="shared" si="49"/>
        <v>0</v>
      </c>
    </row>
    <row r="220" spans="1:19">
      <c r="A220" s="158"/>
      <c r="B220" s="59"/>
      <c r="C220" s="24">
        <f t="shared" si="48"/>
        <v>1</v>
      </c>
      <c r="D220" s="719"/>
      <c r="E220" s="24">
        <f t="shared" si="50"/>
        <v>1</v>
      </c>
      <c r="F220" s="719"/>
      <c r="G220" s="24">
        <f t="shared" si="51"/>
        <v>1</v>
      </c>
      <c r="H220" s="719"/>
      <c r="I220" s="24">
        <f t="shared" si="52"/>
        <v>1</v>
      </c>
      <c r="J220" s="719"/>
      <c r="K220" s="24">
        <f t="shared" si="53"/>
        <v>1</v>
      </c>
      <c r="L220" s="719"/>
      <c r="M220" s="24">
        <f t="shared" si="54"/>
        <v>1</v>
      </c>
      <c r="N220" s="719"/>
      <c r="O220" s="24">
        <f t="shared" si="55"/>
        <v>1</v>
      </c>
      <c r="P220" s="719"/>
      <c r="Q220" s="24">
        <f t="shared" si="56"/>
        <v>0</v>
      </c>
      <c r="R220" s="715">
        <f t="shared" si="57"/>
        <v>0</v>
      </c>
      <c r="S220" s="718">
        <f t="shared" si="49"/>
        <v>0</v>
      </c>
    </row>
    <row r="221" spans="1:19">
      <c r="A221" s="158"/>
      <c r="B221" s="59"/>
      <c r="C221" s="24">
        <f t="shared" si="48"/>
        <v>1</v>
      </c>
      <c r="D221" s="719"/>
      <c r="E221" s="24">
        <f t="shared" si="50"/>
        <v>1</v>
      </c>
      <c r="F221" s="719"/>
      <c r="G221" s="24">
        <f t="shared" si="51"/>
        <v>1</v>
      </c>
      <c r="H221" s="719"/>
      <c r="I221" s="24">
        <f t="shared" si="52"/>
        <v>1</v>
      </c>
      <c r="J221" s="719"/>
      <c r="K221" s="24">
        <f t="shared" si="53"/>
        <v>1</v>
      </c>
      <c r="L221" s="719"/>
      <c r="M221" s="24">
        <f t="shared" si="54"/>
        <v>1</v>
      </c>
      <c r="N221" s="719"/>
      <c r="O221" s="24">
        <f t="shared" si="55"/>
        <v>1</v>
      </c>
      <c r="P221" s="719"/>
      <c r="Q221" s="24">
        <f t="shared" si="56"/>
        <v>0</v>
      </c>
      <c r="R221" s="715">
        <f t="shared" si="57"/>
        <v>0</v>
      </c>
      <c r="S221" s="718">
        <f t="shared" si="49"/>
        <v>0</v>
      </c>
    </row>
    <row r="222" spans="1:19">
      <c r="A222" s="158"/>
      <c r="B222" s="59"/>
      <c r="C222" s="24">
        <f t="shared" si="48"/>
        <v>1</v>
      </c>
      <c r="D222" s="719"/>
      <c r="E222" s="24">
        <f t="shared" si="50"/>
        <v>1</v>
      </c>
      <c r="F222" s="719"/>
      <c r="G222" s="24">
        <f t="shared" si="51"/>
        <v>1</v>
      </c>
      <c r="H222" s="719"/>
      <c r="I222" s="24">
        <f t="shared" si="52"/>
        <v>1</v>
      </c>
      <c r="J222" s="719"/>
      <c r="K222" s="24">
        <f t="shared" si="53"/>
        <v>1</v>
      </c>
      <c r="L222" s="719"/>
      <c r="M222" s="24">
        <f t="shared" si="54"/>
        <v>1</v>
      </c>
      <c r="N222" s="719"/>
      <c r="O222" s="24">
        <f t="shared" si="55"/>
        <v>1</v>
      </c>
      <c r="P222" s="719"/>
      <c r="Q222" s="24">
        <f t="shared" si="56"/>
        <v>0</v>
      </c>
      <c r="R222" s="715">
        <f t="shared" si="57"/>
        <v>0</v>
      </c>
      <c r="S222" s="718">
        <f t="shared" si="49"/>
        <v>0</v>
      </c>
    </row>
    <row r="223" spans="1:19">
      <c r="A223" s="158"/>
      <c r="B223" s="59"/>
      <c r="C223" s="24">
        <f t="shared" si="48"/>
        <v>1</v>
      </c>
      <c r="D223" s="719"/>
      <c r="E223" s="24">
        <f t="shared" si="50"/>
        <v>1</v>
      </c>
      <c r="F223" s="719"/>
      <c r="G223" s="24">
        <f t="shared" si="51"/>
        <v>1</v>
      </c>
      <c r="H223" s="719"/>
      <c r="I223" s="24">
        <f t="shared" si="52"/>
        <v>1</v>
      </c>
      <c r="J223" s="719"/>
      <c r="K223" s="24">
        <f t="shared" si="53"/>
        <v>1</v>
      </c>
      <c r="L223" s="719"/>
      <c r="M223" s="24">
        <f t="shared" si="54"/>
        <v>1</v>
      </c>
      <c r="N223" s="719"/>
      <c r="O223" s="24">
        <f t="shared" si="55"/>
        <v>1</v>
      </c>
      <c r="P223" s="719"/>
      <c r="Q223" s="24">
        <f t="shared" si="56"/>
        <v>0</v>
      </c>
      <c r="R223" s="715">
        <f t="shared" si="57"/>
        <v>0</v>
      </c>
      <c r="S223" s="718">
        <f t="shared" si="49"/>
        <v>0</v>
      </c>
    </row>
    <row r="224" spans="1:19">
      <c r="A224" s="158"/>
      <c r="B224" s="59"/>
      <c r="C224" s="24">
        <f t="shared" si="48"/>
        <v>1</v>
      </c>
      <c r="D224" s="719"/>
      <c r="E224" s="24">
        <f t="shared" si="50"/>
        <v>1</v>
      </c>
      <c r="F224" s="719"/>
      <c r="G224" s="24">
        <f t="shared" si="51"/>
        <v>1</v>
      </c>
      <c r="H224" s="719"/>
      <c r="I224" s="24">
        <f t="shared" si="52"/>
        <v>1</v>
      </c>
      <c r="J224" s="719"/>
      <c r="K224" s="24">
        <f t="shared" si="53"/>
        <v>1</v>
      </c>
      <c r="L224" s="719"/>
      <c r="M224" s="24">
        <f t="shared" si="54"/>
        <v>1</v>
      </c>
      <c r="N224" s="719"/>
      <c r="O224" s="24">
        <f t="shared" si="55"/>
        <v>1</v>
      </c>
      <c r="P224" s="719"/>
      <c r="Q224" s="24">
        <f t="shared" si="56"/>
        <v>0</v>
      </c>
      <c r="R224" s="715">
        <f t="shared" si="57"/>
        <v>0</v>
      </c>
      <c r="S224" s="718">
        <f t="shared" si="49"/>
        <v>0</v>
      </c>
    </row>
    <row r="225" spans="1:19">
      <c r="A225" s="158"/>
      <c r="B225" s="59"/>
      <c r="C225" s="24">
        <f t="shared" si="48"/>
        <v>1</v>
      </c>
      <c r="D225" s="719"/>
      <c r="E225" s="24">
        <f t="shared" si="50"/>
        <v>1</v>
      </c>
      <c r="F225" s="719"/>
      <c r="G225" s="24">
        <f t="shared" si="51"/>
        <v>1</v>
      </c>
      <c r="H225" s="719"/>
      <c r="I225" s="24">
        <f t="shared" si="52"/>
        <v>1</v>
      </c>
      <c r="J225" s="719"/>
      <c r="K225" s="24">
        <f t="shared" si="53"/>
        <v>1</v>
      </c>
      <c r="L225" s="719"/>
      <c r="M225" s="24">
        <f t="shared" si="54"/>
        <v>1</v>
      </c>
      <c r="N225" s="719"/>
      <c r="O225" s="24">
        <f t="shared" si="55"/>
        <v>1</v>
      </c>
      <c r="P225" s="719"/>
      <c r="Q225" s="24">
        <f t="shared" si="56"/>
        <v>0</v>
      </c>
      <c r="R225" s="715">
        <f t="shared" si="57"/>
        <v>0</v>
      </c>
      <c r="S225" s="718">
        <f t="shared" si="49"/>
        <v>0</v>
      </c>
    </row>
    <row r="226" spans="1:19">
      <c r="A226" s="158"/>
      <c r="B226" s="59"/>
      <c r="C226" s="24">
        <f t="shared" si="48"/>
        <v>1</v>
      </c>
      <c r="D226" s="719"/>
      <c r="E226" s="24">
        <f t="shared" si="50"/>
        <v>1</v>
      </c>
      <c r="F226" s="719"/>
      <c r="G226" s="24">
        <f t="shared" si="51"/>
        <v>1</v>
      </c>
      <c r="H226" s="719"/>
      <c r="I226" s="24">
        <f t="shared" si="52"/>
        <v>1</v>
      </c>
      <c r="J226" s="719"/>
      <c r="K226" s="24">
        <f t="shared" si="53"/>
        <v>1</v>
      </c>
      <c r="L226" s="719"/>
      <c r="M226" s="24">
        <f t="shared" si="54"/>
        <v>1</v>
      </c>
      <c r="N226" s="719"/>
      <c r="O226" s="24">
        <f t="shared" si="55"/>
        <v>1</v>
      </c>
      <c r="P226" s="719"/>
      <c r="Q226" s="24">
        <f t="shared" si="56"/>
        <v>0</v>
      </c>
      <c r="R226" s="715">
        <f t="shared" si="57"/>
        <v>0</v>
      </c>
      <c r="S226" s="718">
        <f t="shared" si="49"/>
        <v>0</v>
      </c>
    </row>
    <row r="227" spans="1:19">
      <c r="A227" s="158"/>
      <c r="B227" s="59"/>
      <c r="C227" s="24">
        <f t="shared" si="48"/>
        <v>1</v>
      </c>
      <c r="D227" s="719"/>
      <c r="E227" s="24">
        <f t="shared" si="50"/>
        <v>1</v>
      </c>
      <c r="F227" s="719"/>
      <c r="G227" s="24">
        <f t="shared" si="51"/>
        <v>1</v>
      </c>
      <c r="H227" s="719"/>
      <c r="I227" s="24">
        <f t="shared" si="52"/>
        <v>1</v>
      </c>
      <c r="J227" s="719"/>
      <c r="K227" s="24">
        <f t="shared" si="53"/>
        <v>1</v>
      </c>
      <c r="L227" s="719"/>
      <c r="M227" s="24">
        <f t="shared" si="54"/>
        <v>1</v>
      </c>
      <c r="N227" s="719"/>
      <c r="O227" s="24">
        <f t="shared" si="55"/>
        <v>1</v>
      </c>
      <c r="P227" s="719"/>
      <c r="Q227" s="24">
        <f t="shared" si="56"/>
        <v>0</v>
      </c>
      <c r="R227" s="715">
        <f t="shared" si="57"/>
        <v>0</v>
      </c>
      <c r="S227" s="718">
        <f t="shared" si="49"/>
        <v>0</v>
      </c>
    </row>
    <row r="228" spans="1:19">
      <c r="A228" s="158"/>
      <c r="B228" s="59"/>
      <c r="C228" s="24">
        <f t="shared" si="48"/>
        <v>1</v>
      </c>
      <c r="D228" s="719"/>
      <c r="E228" s="24">
        <f t="shared" si="50"/>
        <v>1</v>
      </c>
      <c r="F228" s="719"/>
      <c r="G228" s="24">
        <f t="shared" si="51"/>
        <v>1</v>
      </c>
      <c r="H228" s="719"/>
      <c r="I228" s="24">
        <f t="shared" si="52"/>
        <v>1</v>
      </c>
      <c r="J228" s="719"/>
      <c r="K228" s="24">
        <f t="shared" si="53"/>
        <v>1</v>
      </c>
      <c r="L228" s="719"/>
      <c r="M228" s="24">
        <f t="shared" si="54"/>
        <v>1</v>
      </c>
      <c r="N228" s="719"/>
      <c r="O228" s="24">
        <f t="shared" si="55"/>
        <v>1</v>
      </c>
      <c r="P228" s="719"/>
      <c r="Q228" s="24">
        <f t="shared" si="56"/>
        <v>0</v>
      </c>
      <c r="R228" s="715">
        <f t="shared" si="57"/>
        <v>0</v>
      </c>
      <c r="S228" s="718">
        <f t="shared" si="49"/>
        <v>0</v>
      </c>
    </row>
    <row r="229" spans="1:19">
      <c r="A229" s="158"/>
      <c r="B229" s="59"/>
      <c r="C229" s="24">
        <f t="shared" si="48"/>
        <v>1</v>
      </c>
      <c r="D229" s="719"/>
      <c r="E229" s="24">
        <f t="shared" si="50"/>
        <v>1</v>
      </c>
      <c r="F229" s="719"/>
      <c r="G229" s="24">
        <f t="shared" si="51"/>
        <v>1</v>
      </c>
      <c r="H229" s="719"/>
      <c r="I229" s="24">
        <f t="shared" si="52"/>
        <v>1</v>
      </c>
      <c r="J229" s="719"/>
      <c r="K229" s="24">
        <f t="shared" si="53"/>
        <v>1</v>
      </c>
      <c r="L229" s="719"/>
      <c r="M229" s="24">
        <f t="shared" si="54"/>
        <v>1</v>
      </c>
      <c r="N229" s="719"/>
      <c r="O229" s="24">
        <f t="shared" si="55"/>
        <v>1</v>
      </c>
      <c r="P229" s="719"/>
      <c r="Q229" s="24">
        <f t="shared" si="56"/>
        <v>0</v>
      </c>
      <c r="R229" s="715">
        <f t="shared" si="57"/>
        <v>0</v>
      </c>
      <c r="S229" s="718">
        <f t="shared" si="49"/>
        <v>0</v>
      </c>
    </row>
    <row r="230" spans="1:19">
      <c r="A230" s="158"/>
      <c r="B230" s="59"/>
      <c r="C230" s="24">
        <f t="shared" si="48"/>
        <v>1</v>
      </c>
      <c r="D230" s="719"/>
      <c r="E230" s="24">
        <f t="shared" si="50"/>
        <v>1</v>
      </c>
      <c r="F230" s="719"/>
      <c r="G230" s="24">
        <f t="shared" si="51"/>
        <v>1</v>
      </c>
      <c r="H230" s="719"/>
      <c r="I230" s="24">
        <f t="shared" si="52"/>
        <v>1</v>
      </c>
      <c r="J230" s="719"/>
      <c r="K230" s="24">
        <f t="shared" si="53"/>
        <v>1</v>
      </c>
      <c r="L230" s="719"/>
      <c r="M230" s="24">
        <f t="shared" si="54"/>
        <v>1</v>
      </c>
      <c r="N230" s="719"/>
      <c r="O230" s="24">
        <f t="shared" si="55"/>
        <v>1</v>
      </c>
      <c r="P230" s="719"/>
      <c r="Q230" s="24">
        <f t="shared" si="56"/>
        <v>0</v>
      </c>
      <c r="R230" s="715">
        <f t="shared" si="57"/>
        <v>0</v>
      </c>
      <c r="S230" s="718">
        <f t="shared" si="49"/>
        <v>0</v>
      </c>
    </row>
    <row r="231" spans="1:19">
      <c r="A231" s="158"/>
      <c r="B231" s="59"/>
      <c r="C231" s="24">
        <f t="shared" si="48"/>
        <v>1</v>
      </c>
      <c r="D231" s="719"/>
      <c r="E231" s="24">
        <f t="shared" si="50"/>
        <v>1</v>
      </c>
      <c r="F231" s="719"/>
      <c r="G231" s="24">
        <f t="shared" si="51"/>
        <v>1</v>
      </c>
      <c r="H231" s="719"/>
      <c r="I231" s="24">
        <f t="shared" si="52"/>
        <v>1</v>
      </c>
      <c r="J231" s="719"/>
      <c r="K231" s="24">
        <f t="shared" si="53"/>
        <v>1</v>
      </c>
      <c r="L231" s="719"/>
      <c r="M231" s="24">
        <f t="shared" si="54"/>
        <v>1</v>
      </c>
      <c r="N231" s="719"/>
      <c r="O231" s="24">
        <f t="shared" si="55"/>
        <v>1</v>
      </c>
      <c r="P231" s="719"/>
      <c r="Q231" s="24">
        <f t="shared" si="56"/>
        <v>0</v>
      </c>
      <c r="R231" s="715">
        <f t="shared" si="57"/>
        <v>0</v>
      </c>
      <c r="S231" s="718">
        <f t="shared" si="49"/>
        <v>0</v>
      </c>
    </row>
    <row r="232" spans="1:19">
      <c r="A232" s="158"/>
      <c r="B232" s="59"/>
      <c r="C232" s="24">
        <f t="shared" si="48"/>
        <v>1</v>
      </c>
      <c r="D232" s="719"/>
      <c r="E232" s="24">
        <f t="shared" si="50"/>
        <v>1</v>
      </c>
      <c r="F232" s="719"/>
      <c r="G232" s="24">
        <f t="shared" si="51"/>
        <v>1</v>
      </c>
      <c r="H232" s="719"/>
      <c r="I232" s="24">
        <f t="shared" si="52"/>
        <v>1</v>
      </c>
      <c r="J232" s="719"/>
      <c r="K232" s="24">
        <f t="shared" si="53"/>
        <v>1</v>
      </c>
      <c r="L232" s="719"/>
      <c r="M232" s="24">
        <f t="shared" si="54"/>
        <v>1</v>
      </c>
      <c r="N232" s="719"/>
      <c r="O232" s="24">
        <f t="shared" si="55"/>
        <v>1</v>
      </c>
      <c r="P232" s="719"/>
      <c r="Q232" s="24">
        <f t="shared" si="56"/>
        <v>0</v>
      </c>
      <c r="R232" s="715">
        <f t="shared" si="57"/>
        <v>0</v>
      </c>
      <c r="S232" s="718">
        <f t="shared" si="49"/>
        <v>0</v>
      </c>
    </row>
    <row r="233" spans="1:19">
      <c r="A233" s="158"/>
      <c r="B233" s="59"/>
      <c r="C233" s="24">
        <f t="shared" si="48"/>
        <v>1</v>
      </c>
      <c r="D233" s="719"/>
      <c r="E233" s="24">
        <f t="shared" si="50"/>
        <v>1</v>
      </c>
      <c r="F233" s="719"/>
      <c r="G233" s="24">
        <f t="shared" si="51"/>
        <v>1</v>
      </c>
      <c r="H233" s="719"/>
      <c r="I233" s="24">
        <f t="shared" si="52"/>
        <v>1</v>
      </c>
      <c r="J233" s="719"/>
      <c r="K233" s="24">
        <f t="shared" si="53"/>
        <v>1</v>
      </c>
      <c r="L233" s="719"/>
      <c r="M233" s="24">
        <f t="shared" si="54"/>
        <v>1</v>
      </c>
      <c r="N233" s="719"/>
      <c r="O233" s="24">
        <f t="shared" si="55"/>
        <v>1</v>
      </c>
      <c r="P233" s="719"/>
      <c r="Q233" s="24">
        <f t="shared" si="56"/>
        <v>0</v>
      </c>
      <c r="R233" s="715">
        <f t="shared" si="57"/>
        <v>0</v>
      </c>
      <c r="S233" s="718">
        <f t="shared" si="49"/>
        <v>0</v>
      </c>
    </row>
    <row r="234" spans="1:19">
      <c r="A234" s="158"/>
      <c r="B234" s="59"/>
      <c r="C234" s="24">
        <f t="shared" si="48"/>
        <v>1</v>
      </c>
      <c r="D234" s="719"/>
      <c r="E234" s="24">
        <f t="shared" si="50"/>
        <v>1</v>
      </c>
      <c r="F234" s="719"/>
      <c r="G234" s="24">
        <f t="shared" si="51"/>
        <v>1</v>
      </c>
      <c r="H234" s="719"/>
      <c r="I234" s="24">
        <f t="shared" si="52"/>
        <v>1</v>
      </c>
      <c r="J234" s="719"/>
      <c r="K234" s="24">
        <f t="shared" si="53"/>
        <v>1</v>
      </c>
      <c r="L234" s="719"/>
      <c r="M234" s="24">
        <f t="shared" si="54"/>
        <v>1</v>
      </c>
      <c r="N234" s="719"/>
      <c r="O234" s="24">
        <f t="shared" si="55"/>
        <v>1</v>
      </c>
      <c r="P234" s="719"/>
      <c r="Q234" s="24">
        <f t="shared" si="56"/>
        <v>0</v>
      </c>
      <c r="R234" s="715">
        <f t="shared" si="57"/>
        <v>0</v>
      </c>
      <c r="S234" s="718">
        <f t="shared" si="49"/>
        <v>0</v>
      </c>
    </row>
    <row r="235" spans="1:19">
      <c r="A235" s="158"/>
      <c r="B235" s="59"/>
      <c r="C235" s="24">
        <f t="shared" si="48"/>
        <v>1</v>
      </c>
      <c r="D235" s="719"/>
      <c r="E235" s="24">
        <f t="shared" si="50"/>
        <v>1</v>
      </c>
      <c r="F235" s="719"/>
      <c r="G235" s="24">
        <f t="shared" si="51"/>
        <v>1</v>
      </c>
      <c r="H235" s="719"/>
      <c r="I235" s="24">
        <f t="shared" si="52"/>
        <v>1</v>
      </c>
      <c r="J235" s="719"/>
      <c r="K235" s="24">
        <f t="shared" si="53"/>
        <v>1</v>
      </c>
      <c r="L235" s="719"/>
      <c r="M235" s="24">
        <f t="shared" si="54"/>
        <v>1</v>
      </c>
      <c r="N235" s="719"/>
      <c r="O235" s="24">
        <f t="shared" si="55"/>
        <v>1</v>
      </c>
      <c r="P235" s="719"/>
      <c r="Q235" s="24">
        <f t="shared" si="56"/>
        <v>0</v>
      </c>
      <c r="R235" s="715">
        <f t="shared" si="57"/>
        <v>0</v>
      </c>
      <c r="S235" s="718">
        <f t="shared" si="49"/>
        <v>0</v>
      </c>
    </row>
    <row r="236" spans="1:19">
      <c r="A236" s="158"/>
      <c r="B236" s="59"/>
      <c r="C236" s="24">
        <f t="shared" si="48"/>
        <v>1</v>
      </c>
      <c r="D236" s="719"/>
      <c r="E236" s="24">
        <f t="shared" si="50"/>
        <v>1</v>
      </c>
      <c r="F236" s="719"/>
      <c r="G236" s="24">
        <f t="shared" si="51"/>
        <v>1</v>
      </c>
      <c r="H236" s="719"/>
      <c r="I236" s="24">
        <f t="shared" si="52"/>
        <v>1</v>
      </c>
      <c r="J236" s="719"/>
      <c r="K236" s="24">
        <f t="shared" si="53"/>
        <v>1</v>
      </c>
      <c r="L236" s="719"/>
      <c r="M236" s="24">
        <f t="shared" si="54"/>
        <v>1</v>
      </c>
      <c r="N236" s="719"/>
      <c r="O236" s="24">
        <f t="shared" si="55"/>
        <v>1</v>
      </c>
      <c r="P236" s="719"/>
      <c r="Q236" s="24">
        <f t="shared" si="56"/>
        <v>0</v>
      </c>
      <c r="R236" s="715">
        <f t="shared" si="57"/>
        <v>0</v>
      </c>
      <c r="S236" s="718">
        <f t="shared" si="49"/>
        <v>0</v>
      </c>
    </row>
    <row r="237" spans="1:19">
      <c r="A237" s="158"/>
      <c r="B237" s="59"/>
      <c r="C237" s="24">
        <f t="shared" si="48"/>
        <v>1</v>
      </c>
      <c r="D237" s="719"/>
      <c r="E237" s="24">
        <f t="shared" si="50"/>
        <v>1</v>
      </c>
      <c r="F237" s="719"/>
      <c r="G237" s="24">
        <f t="shared" si="51"/>
        <v>1</v>
      </c>
      <c r="H237" s="719"/>
      <c r="I237" s="24">
        <f t="shared" si="52"/>
        <v>1</v>
      </c>
      <c r="J237" s="719"/>
      <c r="K237" s="24">
        <f t="shared" si="53"/>
        <v>1</v>
      </c>
      <c r="L237" s="719"/>
      <c r="M237" s="24">
        <f t="shared" si="54"/>
        <v>1</v>
      </c>
      <c r="N237" s="719"/>
      <c r="O237" s="24">
        <f t="shared" si="55"/>
        <v>1</v>
      </c>
      <c r="P237" s="719"/>
      <c r="Q237" s="24">
        <f t="shared" si="56"/>
        <v>0</v>
      </c>
      <c r="R237" s="715">
        <f t="shared" si="57"/>
        <v>0</v>
      </c>
      <c r="S237" s="718">
        <f t="shared" si="49"/>
        <v>0</v>
      </c>
    </row>
    <row r="238" spans="1:19">
      <c r="A238" s="158"/>
      <c r="B238" s="59"/>
      <c r="C238" s="24">
        <f t="shared" si="48"/>
        <v>1</v>
      </c>
      <c r="D238" s="719"/>
      <c r="E238" s="24">
        <f t="shared" si="50"/>
        <v>1</v>
      </c>
      <c r="F238" s="719"/>
      <c r="G238" s="24">
        <f t="shared" si="51"/>
        <v>1</v>
      </c>
      <c r="H238" s="719"/>
      <c r="I238" s="24">
        <f t="shared" si="52"/>
        <v>1</v>
      </c>
      <c r="J238" s="719"/>
      <c r="K238" s="24">
        <f t="shared" si="53"/>
        <v>1</v>
      </c>
      <c r="L238" s="719"/>
      <c r="M238" s="24">
        <f t="shared" si="54"/>
        <v>1</v>
      </c>
      <c r="N238" s="719"/>
      <c r="O238" s="24">
        <f t="shared" si="55"/>
        <v>1</v>
      </c>
      <c r="P238" s="719"/>
      <c r="Q238" s="24">
        <f t="shared" si="56"/>
        <v>0</v>
      </c>
      <c r="R238" s="715">
        <f t="shared" si="57"/>
        <v>0</v>
      </c>
      <c r="S238" s="718">
        <f t="shared" si="49"/>
        <v>0</v>
      </c>
    </row>
    <row r="239" spans="1:19">
      <c r="A239" s="158"/>
      <c r="B239" s="59"/>
      <c r="C239" s="24">
        <f t="shared" si="48"/>
        <v>1</v>
      </c>
      <c r="D239" s="719"/>
      <c r="E239" s="24">
        <f t="shared" si="50"/>
        <v>1</v>
      </c>
      <c r="F239" s="719"/>
      <c r="G239" s="24">
        <f t="shared" si="51"/>
        <v>1</v>
      </c>
      <c r="H239" s="719"/>
      <c r="I239" s="24">
        <f t="shared" si="52"/>
        <v>1</v>
      </c>
      <c r="J239" s="719"/>
      <c r="K239" s="24">
        <f t="shared" si="53"/>
        <v>1</v>
      </c>
      <c r="L239" s="719"/>
      <c r="M239" s="24">
        <f t="shared" si="54"/>
        <v>1</v>
      </c>
      <c r="N239" s="719"/>
      <c r="O239" s="24">
        <f t="shared" si="55"/>
        <v>1</v>
      </c>
      <c r="P239" s="719"/>
      <c r="Q239" s="24">
        <f t="shared" si="56"/>
        <v>0</v>
      </c>
      <c r="R239" s="715">
        <f t="shared" si="57"/>
        <v>0</v>
      </c>
      <c r="S239" s="718">
        <f t="shared" si="49"/>
        <v>0</v>
      </c>
    </row>
    <row r="240" spans="1:19">
      <c r="A240" s="158"/>
      <c r="B240" s="59"/>
      <c r="C240" s="24">
        <f t="shared" si="48"/>
        <v>1</v>
      </c>
      <c r="D240" s="719"/>
      <c r="E240" s="24">
        <f t="shared" si="50"/>
        <v>1</v>
      </c>
      <c r="F240" s="719"/>
      <c r="G240" s="24">
        <f t="shared" si="51"/>
        <v>1</v>
      </c>
      <c r="H240" s="719"/>
      <c r="I240" s="24">
        <f t="shared" si="52"/>
        <v>1</v>
      </c>
      <c r="J240" s="719"/>
      <c r="K240" s="24">
        <f t="shared" si="53"/>
        <v>1</v>
      </c>
      <c r="L240" s="719"/>
      <c r="M240" s="24">
        <f t="shared" si="54"/>
        <v>1</v>
      </c>
      <c r="N240" s="719"/>
      <c r="O240" s="24">
        <f t="shared" si="55"/>
        <v>1</v>
      </c>
      <c r="P240" s="719"/>
      <c r="Q240" s="24">
        <f t="shared" si="56"/>
        <v>0</v>
      </c>
      <c r="R240" s="715">
        <f t="shared" si="57"/>
        <v>0</v>
      </c>
      <c r="S240" s="718">
        <f t="shared" si="49"/>
        <v>0</v>
      </c>
    </row>
    <row r="241" spans="1:19">
      <c r="A241" s="158"/>
      <c r="B241" s="59"/>
      <c r="C241" s="24">
        <f t="shared" si="48"/>
        <v>1</v>
      </c>
      <c r="D241" s="719"/>
      <c r="E241" s="24">
        <f t="shared" si="50"/>
        <v>1</v>
      </c>
      <c r="F241" s="719"/>
      <c r="G241" s="24">
        <f t="shared" si="51"/>
        <v>1</v>
      </c>
      <c r="H241" s="719"/>
      <c r="I241" s="24">
        <f t="shared" si="52"/>
        <v>1</v>
      </c>
      <c r="J241" s="719"/>
      <c r="K241" s="24">
        <f t="shared" si="53"/>
        <v>1</v>
      </c>
      <c r="L241" s="719"/>
      <c r="M241" s="24">
        <f t="shared" si="54"/>
        <v>1</v>
      </c>
      <c r="N241" s="719"/>
      <c r="O241" s="24">
        <f t="shared" si="55"/>
        <v>1</v>
      </c>
      <c r="P241" s="719"/>
      <c r="Q241" s="24">
        <f t="shared" si="56"/>
        <v>0</v>
      </c>
      <c r="R241" s="715">
        <f t="shared" si="57"/>
        <v>0</v>
      </c>
      <c r="S241" s="718">
        <f t="shared" si="49"/>
        <v>0</v>
      </c>
    </row>
    <row r="242" spans="1:19">
      <c r="A242" s="158"/>
      <c r="B242" s="59"/>
      <c r="C242" s="24">
        <f t="shared" si="48"/>
        <v>1</v>
      </c>
      <c r="D242" s="719"/>
      <c r="E242" s="24">
        <f t="shared" si="50"/>
        <v>1</v>
      </c>
      <c r="F242" s="719"/>
      <c r="G242" s="24">
        <f t="shared" si="51"/>
        <v>1</v>
      </c>
      <c r="H242" s="719"/>
      <c r="I242" s="24">
        <f t="shared" si="52"/>
        <v>1</v>
      </c>
      <c r="J242" s="719"/>
      <c r="K242" s="24">
        <f t="shared" si="53"/>
        <v>1</v>
      </c>
      <c r="L242" s="719"/>
      <c r="M242" s="24">
        <f t="shared" si="54"/>
        <v>1</v>
      </c>
      <c r="N242" s="719"/>
      <c r="O242" s="24">
        <f t="shared" si="55"/>
        <v>1</v>
      </c>
      <c r="P242" s="719"/>
      <c r="Q242" s="24">
        <f t="shared" si="56"/>
        <v>0</v>
      </c>
      <c r="R242" s="715">
        <f t="shared" si="57"/>
        <v>0</v>
      </c>
      <c r="S242" s="718">
        <f t="shared" si="49"/>
        <v>0</v>
      </c>
    </row>
    <row r="243" spans="1:19">
      <c r="A243" s="158"/>
      <c r="B243" s="59"/>
      <c r="C243" s="24">
        <f t="shared" si="48"/>
        <v>1</v>
      </c>
      <c r="D243" s="719"/>
      <c r="E243" s="24">
        <f t="shared" si="50"/>
        <v>1</v>
      </c>
      <c r="F243" s="719"/>
      <c r="G243" s="24">
        <f t="shared" si="51"/>
        <v>1</v>
      </c>
      <c r="H243" s="719"/>
      <c r="I243" s="24">
        <f t="shared" si="52"/>
        <v>1</v>
      </c>
      <c r="J243" s="719"/>
      <c r="K243" s="24">
        <f t="shared" si="53"/>
        <v>1</v>
      </c>
      <c r="L243" s="719"/>
      <c r="M243" s="24">
        <f t="shared" si="54"/>
        <v>1</v>
      </c>
      <c r="N243" s="719"/>
      <c r="O243" s="24">
        <f t="shared" si="55"/>
        <v>1</v>
      </c>
      <c r="P243" s="719"/>
      <c r="Q243" s="24">
        <f t="shared" si="56"/>
        <v>0</v>
      </c>
      <c r="R243" s="715">
        <f t="shared" si="57"/>
        <v>0</v>
      </c>
      <c r="S243" s="718">
        <f t="shared" si="49"/>
        <v>0</v>
      </c>
    </row>
    <row r="244" spans="1:19">
      <c r="A244" s="158"/>
      <c r="B244" s="59"/>
      <c r="C244" s="24">
        <f t="shared" si="48"/>
        <v>1</v>
      </c>
      <c r="D244" s="719"/>
      <c r="E244" s="24">
        <f t="shared" si="50"/>
        <v>1</v>
      </c>
      <c r="F244" s="719"/>
      <c r="G244" s="24">
        <f t="shared" si="51"/>
        <v>1</v>
      </c>
      <c r="H244" s="719"/>
      <c r="I244" s="24">
        <f t="shared" si="52"/>
        <v>1</v>
      </c>
      <c r="J244" s="719"/>
      <c r="K244" s="24">
        <f t="shared" si="53"/>
        <v>1</v>
      </c>
      <c r="L244" s="719"/>
      <c r="M244" s="24">
        <f t="shared" si="54"/>
        <v>1</v>
      </c>
      <c r="N244" s="719"/>
      <c r="O244" s="24">
        <f t="shared" si="55"/>
        <v>1</v>
      </c>
      <c r="P244" s="719"/>
      <c r="Q244" s="24">
        <f t="shared" si="56"/>
        <v>0</v>
      </c>
      <c r="R244" s="715">
        <f t="shared" si="57"/>
        <v>0</v>
      </c>
      <c r="S244" s="718">
        <f t="shared" si="49"/>
        <v>0</v>
      </c>
    </row>
    <row r="245" spans="1:19">
      <c r="A245" s="158"/>
      <c r="B245" s="59"/>
      <c r="C245" s="24">
        <f t="shared" si="48"/>
        <v>1</v>
      </c>
      <c r="D245" s="719"/>
      <c r="E245" s="24">
        <f t="shared" si="50"/>
        <v>1</v>
      </c>
      <c r="F245" s="719"/>
      <c r="G245" s="24">
        <f t="shared" si="51"/>
        <v>1</v>
      </c>
      <c r="H245" s="719"/>
      <c r="I245" s="24">
        <f t="shared" si="52"/>
        <v>1</v>
      </c>
      <c r="J245" s="719"/>
      <c r="K245" s="24">
        <f t="shared" si="53"/>
        <v>1</v>
      </c>
      <c r="L245" s="719"/>
      <c r="M245" s="24">
        <f t="shared" si="54"/>
        <v>1</v>
      </c>
      <c r="N245" s="719"/>
      <c r="O245" s="24">
        <f t="shared" si="55"/>
        <v>1</v>
      </c>
      <c r="P245" s="719"/>
      <c r="Q245" s="24">
        <f t="shared" si="56"/>
        <v>0</v>
      </c>
      <c r="R245" s="715">
        <f t="shared" si="57"/>
        <v>0</v>
      </c>
      <c r="S245" s="718">
        <f t="shared" si="49"/>
        <v>0</v>
      </c>
    </row>
    <row r="246" spans="1:19">
      <c r="A246" s="158"/>
      <c r="B246" s="59"/>
      <c r="C246" s="24">
        <f t="shared" si="48"/>
        <v>1</v>
      </c>
      <c r="D246" s="719"/>
      <c r="E246" s="24">
        <f t="shared" si="50"/>
        <v>1</v>
      </c>
      <c r="F246" s="719"/>
      <c r="G246" s="24">
        <f t="shared" si="51"/>
        <v>1</v>
      </c>
      <c r="H246" s="719"/>
      <c r="I246" s="24">
        <f t="shared" si="52"/>
        <v>1</v>
      </c>
      <c r="J246" s="719"/>
      <c r="K246" s="24">
        <f t="shared" si="53"/>
        <v>1</v>
      </c>
      <c r="L246" s="719"/>
      <c r="M246" s="24">
        <f t="shared" si="54"/>
        <v>1</v>
      </c>
      <c r="N246" s="719"/>
      <c r="O246" s="24">
        <f t="shared" si="55"/>
        <v>1</v>
      </c>
      <c r="P246" s="719"/>
      <c r="Q246" s="24">
        <f t="shared" si="56"/>
        <v>0</v>
      </c>
      <c r="R246" s="715">
        <f t="shared" si="57"/>
        <v>0</v>
      </c>
      <c r="S246" s="718">
        <f t="shared" si="49"/>
        <v>0</v>
      </c>
    </row>
    <row r="247" spans="1:19">
      <c r="A247" s="158"/>
      <c r="B247" s="59"/>
      <c r="C247" s="24">
        <f t="shared" si="48"/>
        <v>1</v>
      </c>
      <c r="D247" s="719"/>
      <c r="E247" s="24">
        <f t="shared" si="50"/>
        <v>1</v>
      </c>
      <c r="F247" s="719"/>
      <c r="G247" s="24">
        <f t="shared" si="51"/>
        <v>1</v>
      </c>
      <c r="H247" s="719"/>
      <c r="I247" s="24">
        <f t="shared" si="52"/>
        <v>1</v>
      </c>
      <c r="J247" s="719"/>
      <c r="K247" s="24">
        <f t="shared" si="53"/>
        <v>1</v>
      </c>
      <c r="L247" s="719"/>
      <c r="M247" s="24">
        <f t="shared" si="54"/>
        <v>1</v>
      </c>
      <c r="N247" s="719"/>
      <c r="O247" s="24">
        <f t="shared" si="55"/>
        <v>1</v>
      </c>
      <c r="P247" s="719"/>
      <c r="Q247" s="24">
        <f t="shared" si="56"/>
        <v>0</v>
      </c>
      <c r="R247" s="715">
        <f t="shared" si="57"/>
        <v>0</v>
      </c>
      <c r="S247" s="718">
        <f t="shared" si="49"/>
        <v>0</v>
      </c>
    </row>
    <row r="248" spans="1:19">
      <c r="A248" s="158"/>
      <c r="B248" s="59"/>
      <c r="C248" s="24">
        <f t="shared" si="48"/>
        <v>1</v>
      </c>
      <c r="D248" s="719"/>
      <c r="E248" s="24">
        <f t="shared" si="50"/>
        <v>1</v>
      </c>
      <c r="F248" s="719"/>
      <c r="G248" s="24">
        <f t="shared" si="51"/>
        <v>1</v>
      </c>
      <c r="H248" s="719"/>
      <c r="I248" s="24">
        <f t="shared" si="52"/>
        <v>1</v>
      </c>
      <c r="J248" s="719"/>
      <c r="K248" s="24">
        <f t="shared" si="53"/>
        <v>1</v>
      </c>
      <c r="L248" s="719"/>
      <c r="M248" s="24">
        <f t="shared" si="54"/>
        <v>1</v>
      </c>
      <c r="N248" s="719"/>
      <c r="O248" s="24">
        <f t="shared" si="55"/>
        <v>1</v>
      </c>
      <c r="P248" s="719"/>
      <c r="Q248" s="24">
        <f t="shared" si="56"/>
        <v>0</v>
      </c>
      <c r="R248" s="715">
        <f t="shared" si="57"/>
        <v>0</v>
      </c>
      <c r="S248" s="718">
        <f t="shared" si="49"/>
        <v>0</v>
      </c>
    </row>
    <row r="249" spans="1:19">
      <c r="A249" s="158"/>
      <c r="B249" s="59"/>
      <c r="C249" s="24">
        <f t="shared" si="48"/>
        <v>1</v>
      </c>
      <c r="D249" s="719"/>
      <c r="E249" s="24">
        <f t="shared" si="50"/>
        <v>1</v>
      </c>
      <c r="F249" s="719"/>
      <c r="G249" s="24">
        <f t="shared" si="51"/>
        <v>1</v>
      </c>
      <c r="H249" s="719"/>
      <c r="I249" s="24">
        <f t="shared" si="52"/>
        <v>1</v>
      </c>
      <c r="J249" s="719"/>
      <c r="K249" s="24">
        <f t="shared" si="53"/>
        <v>1</v>
      </c>
      <c r="L249" s="719"/>
      <c r="M249" s="24">
        <f t="shared" si="54"/>
        <v>1</v>
      </c>
      <c r="N249" s="719"/>
      <c r="O249" s="24">
        <f t="shared" si="55"/>
        <v>1</v>
      </c>
      <c r="P249" s="719"/>
      <c r="Q249" s="24">
        <f t="shared" si="56"/>
        <v>0</v>
      </c>
      <c r="R249" s="715">
        <f t="shared" si="57"/>
        <v>0</v>
      </c>
      <c r="S249" s="718">
        <f t="shared" si="49"/>
        <v>0</v>
      </c>
    </row>
    <row r="250" spans="1:19">
      <c r="A250" s="158"/>
      <c r="B250" s="59"/>
      <c r="C250" s="24">
        <f t="shared" si="48"/>
        <v>1</v>
      </c>
      <c r="D250" s="719"/>
      <c r="E250" s="24">
        <f t="shared" si="50"/>
        <v>1</v>
      </c>
      <c r="F250" s="719"/>
      <c r="G250" s="24">
        <f t="shared" si="51"/>
        <v>1</v>
      </c>
      <c r="H250" s="719"/>
      <c r="I250" s="24">
        <f t="shared" si="52"/>
        <v>1</v>
      </c>
      <c r="J250" s="719"/>
      <c r="K250" s="24">
        <f t="shared" si="53"/>
        <v>1</v>
      </c>
      <c r="L250" s="719"/>
      <c r="M250" s="24">
        <f t="shared" si="54"/>
        <v>1</v>
      </c>
      <c r="N250" s="719"/>
      <c r="O250" s="24">
        <f t="shared" si="55"/>
        <v>1</v>
      </c>
      <c r="P250" s="719"/>
      <c r="Q250" s="24">
        <f t="shared" si="56"/>
        <v>0</v>
      </c>
      <c r="R250" s="715">
        <f t="shared" si="57"/>
        <v>0</v>
      </c>
      <c r="S250" s="718">
        <f t="shared" si="49"/>
        <v>0</v>
      </c>
    </row>
    <row r="251" spans="1:19">
      <c r="A251" s="158"/>
      <c r="B251" s="59"/>
      <c r="C251" s="24">
        <f t="shared" si="48"/>
        <v>1</v>
      </c>
      <c r="D251" s="719"/>
      <c r="E251" s="24">
        <f t="shared" si="50"/>
        <v>1</v>
      </c>
      <c r="F251" s="719"/>
      <c r="G251" s="24">
        <f t="shared" si="51"/>
        <v>1</v>
      </c>
      <c r="H251" s="719"/>
      <c r="I251" s="24">
        <f t="shared" si="52"/>
        <v>1</v>
      </c>
      <c r="J251" s="719"/>
      <c r="K251" s="24">
        <f t="shared" si="53"/>
        <v>1</v>
      </c>
      <c r="L251" s="719"/>
      <c r="M251" s="24">
        <f t="shared" si="54"/>
        <v>1</v>
      </c>
      <c r="N251" s="719"/>
      <c r="O251" s="24">
        <f t="shared" si="55"/>
        <v>1</v>
      </c>
      <c r="P251" s="719"/>
      <c r="Q251" s="24">
        <f t="shared" si="56"/>
        <v>0</v>
      </c>
      <c r="R251" s="715">
        <f t="shared" si="57"/>
        <v>0</v>
      </c>
      <c r="S251" s="718">
        <f t="shared" si="49"/>
        <v>0</v>
      </c>
    </row>
    <row r="252" spans="1:19">
      <c r="A252" s="158"/>
      <c r="B252" s="59"/>
      <c r="C252" s="24">
        <f t="shared" si="48"/>
        <v>1</v>
      </c>
      <c r="D252" s="719"/>
      <c r="E252" s="24">
        <f t="shared" si="50"/>
        <v>1</v>
      </c>
      <c r="F252" s="719"/>
      <c r="G252" s="24">
        <f t="shared" si="51"/>
        <v>1</v>
      </c>
      <c r="H252" s="719"/>
      <c r="I252" s="24">
        <f t="shared" si="52"/>
        <v>1</v>
      </c>
      <c r="J252" s="719"/>
      <c r="K252" s="24">
        <f t="shared" si="53"/>
        <v>1</v>
      </c>
      <c r="L252" s="719"/>
      <c r="M252" s="24">
        <f t="shared" si="54"/>
        <v>1</v>
      </c>
      <c r="N252" s="719"/>
      <c r="O252" s="24">
        <f t="shared" si="55"/>
        <v>1</v>
      </c>
      <c r="P252" s="719"/>
      <c r="Q252" s="24">
        <f t="shared" si="56"/>
        <v>0</v>
      </c>
      <c r="R252" s="715">
        <f t="shared" si="57"/>
        <v>0</v>
      </c>
      <c r="S252" s="718">
        <f t="shared" si="49"/>
        <v>0</v>
      </c>
    </row>
    <row r="253" spans="1:19">
      <c r="A253" s="158"/>
      <c r="B253" s="59"/>
      <c r="C253" s="24">
        <f t="shared" si="48"/>
        <v>1</v>
      </c>
      <c r="D253" s="719"/>
      <c r="E253" s="24">
        <f t="shared" si="50"/>
        <v>1</v>
      </c>
      <c r="F253" s="719"/>
      <c r="G253" s="24">
        <f t="shared" si="51"/>
        <v>1</v>
      </c>
      <c r="H253" s="719"/>
      <c r="I253" s="24">
        <f t="shared" si="52"/>
        <v>1</v>
      </c>
      <c r="J253" s="719"/>
      <c r="K253" s="24">
        <f t="shared" si="53"/>
        <v>1</v>
      </c>
      <c r="L253" s="719"/>
      <c r="M253" s="24">
        <f t="shared" si="54"/>
        <v>1</v>
      </c>
      <c r="N253" s="719"/>
      <c r="O253" s="24">
        <f t="shared" si="55"/>
        <v>1</v>
      </c>
      <c r="P253" s="719"/>
      <c r="Q253" s="24">
        <f t="shared" si="56"/>
        <v>0</v>
      </c>
      <c r="R253" s="715">
        <f t="shared" si="57"/>
        <v>0</v>
      </c>
      <c r="S253" s="718">
        <f t="shared" si="49"/>
        <v>0</v>
      </c>
    </row>
    <row r="254" spans="1:19">
      <c r="A254" s="158"/>
      <c r="B254" s="59"/>
      <c r="C254" s="24">
        <f t="shared" si="48"/>
        <v>1</v>
      </c>
      <c r="D254" s="719"/>
      <c r="E254" s="24">
        <f t="shared" si="50"/>
        <v>1</v>
      </c>
      <c r="F254" s="719"/>
      <c r="G254" s="24">
        <f t="shared" si="51"/>
        <v>1</v>
      </c>
      <c r="H254" s="719"/>
      <c r="I254" s="24">
        <f t="shared" si="52"/>
        <v>1</v>
      </c>
      <c r="J254" s="719"/>
      <c r="K254" s="24">
        <f t="shared" si="53"/>
        <v>1</v>
      </c>
      <c r="L254" s="719"/>
      <c r="M254" s="24">
        <f t="shared" si="54"/>
        <v>1</v>
      </c>
      <c r="N254" s="719"/>
      <c r="O254" s="24">
        <f t="shared" si="55"/>
        <v>1</v>
      </c>
      <c r="P254" s="719"/>
      <c r="Q254" s="24">
        <f t="shared" si="56"/>
        <v>0</v>
      </c>
      <c r="R254" s="715">
        <f t="shared" si="57"/>
        <v>0</v>
      </c>
      <c r="S254" s="718">
        <f t="shared" si="49"/>
        <v>0</v>
      </c>
    </row>
    <row r="255" spans="1:19">
      <c r="A255" s="158"/>
      <c r="B255" s="59"/>
      <c r="C255" s="24">
        <f t="shared" si="48"/>
        <v>1</v>
      </c>
      <c r="D255" s="719"/>
      <c r="E255" s="24">
        <f t="shared" si="50"/>
        <v>1</v>
      </c>
      <c r="F255" s="719"/>
      <c r="G255" s="24">
        <f t="shared" si="51"/>
        <v>1</v>
      </c>
      <c r="H255" s="719"/>
      <c r="I255" s="24">
        <f t="shared" si="52"/>
        <v>1</v>
      </c>
      <c r="J255" s="719"/>
      <c r="K255" s="24">
        <f t="shared" si="53"/>
        <v>1</v>
      </c>
      <c r="L255" s="719"/>
      <c r="M255" s="24">
        <f t="shared" si="54"/>
        <v>1</v>
      </c>
      <c r="N255" s="719"/>
      <c r="O255" s="24">
        <f t="shared" si="55"/>
        <v>1</v>
      </c>
      <c r="P255" s="719"/>
      <c r="Q255" s="24">
        <f t="shared" si="56"/>
        <v>0</v>
      </c>
      <c r="R255" s="715">
        <f t="shared" si="57"/>
        <v>0</v>
      </c>
      <c r="S255" s="718">
        <f t="shared" si="49"/>
        <v>0</v>
      </c>
    </row>
    <row r="256" spans="1:19">
      <c r="A256" s="158"/>
      <c r="B256" s="59"/>
      <c r="C256" s="24">
        <f t="shared" si="48"/>
        <v>1</v>
      </c>
      <c r="D256" s="719"/>
      <c r="E256" s="24">
        <f t="shared" si="50"/>
        <v>1</v>
      </c>
      <c r="F256" s="719"/>
      <c r="G256" s="24">
        <f t="shared" si="51"/>
        <v>1</v>
      </c>
      <c r="H256" s="719"/>
      <c r="I256" s="24">
        <f t="shared" si="52"/>
        <v>1</v>
      </c>
      <c r="J256" s="719"/>
      <c r="K256" s="24">
        <f t="shared" si="53"/>
        <v>1</v>
      </c>
      <c r="L256" s="719"/>
      <c r="M256" s="24">
        <f t="shared" si="54"/>
        <v>1</v>
      </c>
      <c r="N256" s="719"/>
      <c r="O256" s="24">
        <f t="shared" si="55"/>
        <v>1</v>
      </c>
      <c r="P256" s="719"/>
      <c r="Q256" s="24">
        <f t="shared" si="56"/>
        <v>0</v>
      </c>
      <c r="R256" s="715">
        <f t="shared" si="57"/>
        <v>0</v>
      </c>
      <c r="S256" s="718">
        <f t="shared" si="49"/>
        <v>0</v>
      </c>
    </row>
    <row r="257" spans="1:19">
      <c r="A257" s="158"/>
      <c r="B257" s="59"/>
      <c r="C257" s="24">
        <f t="shared" si="48"/>
        <v>1</v>
      </c>
      <c r="D257" s="719"/>
      <c r="E257" s="24">
        <f t="shared" si="50"/>
        <v>1</v>
      </c>
      <c r="F257" s="719"/>
      <c r="G257" s="24">
        <f t="shared" si="51"/>
        <v>1</v>
      </c>
      <c r="H257" s="719"/>
      <c r="I257" s="24">
        <f t="shared" si="52"/>
        <v>1</v>
      </c>
      <c r="J257" s="719"/>
      <c r="K257" s="24">
        <f t="shared" si="53"/>
        <v>1</v>
      </c>
      <c r="L257" s="719"/>
      <c r="M257" s="24">
        <f t="shared" si="54"/>
        <v>1</v>
      </c>
      <c r="N257" s="719"/>
      <c r="O257" s="24">
        <f t="shared" si="55"/>
        <v>1</v>
      </c>
      <c r="P257" s="719"/>
      <c r="Q257" s="24">
        <f t="shared" si="56"/>
        <v>0</v>
      </c>
      <c r="R257" s="715">
        <f t="shared" si="57"/>
        <v>0</v>
      </c>
      <c r="S257" s="718">
        <f t="shared" si="49"/>
        <v>0</v>
      </c>
    </row>
    <row r="258" spans="1:19">
      <c r="A258" s="158"/>
      <c r="B258" s="59"/>
      <c r="C258" s="24">
        <f t="shared" si="48"/>
        <v>1</v>
      </c>
      <c r="D258" s="719"/>
      <c r="E258" s="24">
        <f t="shared" si="50"/>
        <v>1</v>
      </c>
      <c r="F258" s="719"/>
      <c r="G258" s="24">
        <f t="shared" si="51"/>
        <v>1</v>
      </c>
      <c r="H258" s="719"/>
      <c r="I258" s="24">
        <f t="shared" si="52"/>
        <v>1</v>
      </c>
      <c r="J258" s="719"/>
      <c r="K258" s="24">
        <f t="shared" si="53"/>
        <v>1</v>
      </c>
      <c r="L258" s="719"/>
      <c r="M258" s="24">
        <f t="shared" si="54"/>
        <v>1</v>
      </c>
      <c r="N258" s="719"/>
      <c r="O258" s="24">
        <f t="shared" si="55"/>
        <v>1</v>
      </c>
      <c r="P258" s="719"/>
      <c r="Q258" s="24">
        <f t="shared" si="56"/>
        <v>0</v>
      </c>
      <c r="R258" s="715">
        <f t="shared" si="57"/>
        <v>0</v>
      </c>
      <c r="S258" s="718">
        <f t="shared" si="49"/>
        <v>0</v>
      </c>
    </row>
    <row r="259" spans="1:19">
      <c r="A259" s="158"/>
      <c r="B259" s="59"/>
      <c r="C259" s="24">
        <f t="shared" si="48"/>
        <v>1</v>
      </c>
      <c r="D259" s="719"/>
      <c r="E259" s="24">
        <f t="shared" si="50"/>
        <v>1</v>
      </c>
      <c r="F259" s="719"/>
      <c r="G259" s="24">
        <f t="shared" si="51"/>
        <v>1</v>
      </c>
      <c r="H259" s="719"/>
      <c r="I259" s="24">
        <f t="shared" si="52"/>
        <v>1</v>
      </c>
      <c r="J259" s="719"/>
      <c r="K259" s="24">
        <f t="shared" si="53"/>
        <v>1</v>
      </c>
      <c r="L259" s="719"/>
      <c r="M259" s="24">
        <f t="shared" si="54"/>
        <v>1</v>
      </c>
      <c r="N259" s="719"/>
      <c r="O259" s="24">
        <f t="shared" si="55"/>
        <v>1</v>
      </c>
      <c r="P259" s="719"/>
      <c r="Q259" s="24">
        <f t="shared" si="56"/>
        <v>0</v>
      </c>
      <c r="R259" s="715">
        <f t="shared" si="57"/>
        <v>0</v>
      </c>
      <c r="S259" s="718">
        <f t="shared" si="49"/>
        <v>0</v>
      </c>
    </row>
    <row r="260" spans="1:19">
      <c r="A260" s="158"/>
      <c r="B260" s="59"/>
      <c r="C260" s="24">
        <f t="shared" si="48"/>
        <v>1</v>
      </c>
      <c r="D260" s="719"/>
      <c r="E260" s="24">
        <f t="shared" si="50"/>
        <v>1</v>
      </c>
      <c r="F260" s="719"/>
      <c r="G260" s="24">
        <f t="shared" si="51"/>
        <v>1</v>
      </c>
      <c r="H260" s="719"/>
      <c r="I260" s="24">
        <f t="shared" si="52"/>
        <v>1</v>
      </c>
      <c r="J260" s="719"/>
      <c r="K260" s="24">
        <f t="shared" si="53"/>
        <v>1</v>
      </c>
      <c r="L260" s="719"/>
      <c r="M260" s="24">
        <f t="shared" si="54"/>
        <v>1</v>
      </c>
      <c r="N260" s="719"/>
      <c r="O260" s="24">
        <f t="shared" si="55"/>
        <v>1</v>
      </c>
      <c r="P260" s="719"/>
      <c r="Q260" s="24">
        <f t="shared" si="56"/>
        <v>0</v>
      </c>
      <c r="R260" s="715">
        <f t="shared" si="57"/>
        <v>0</v>
      </c>
      <c r="S260" s="718">
        <f t="shared" si="49"/>
        <v>0</v>
      </c>
    </row>
    <row r="261" spans="1:19">
      <c r="A261" s="158"/>
      <c r="B261" s="59"/>
      <c r="C261" s="24">
        <f t="shared" si="48"/>
        <v>1</v>
      </c>
      <c r="D261" s="719"/>
      <c r="E261" s="24">
        <f t="shared" si="50"/>
        <v>1</v>
      </c>
      <c r="F261" s="719"/>
      <c r="G261" s="24">
        <f t="shared" si="51"/>
        <v>1</v>
      </c>
      <c r="H261" s="719"/>
      <c r="I261" s="24">
        <f t="shared" si="52"/>
        <v>1</v>
      </c>
      <c r="J261" s="719"/>
      <c r="K261" s="24">
        <f t="shared" si="53"/>
        <v>1</v>
      </c>
      <c r="L261" s="719"/>
      <c r="M261" s="24">
        <f t="shared" si="54"/>
        <v>1</v>
      </c>
      <c r="N261" s="719"/>
      <c r="O261" s="24">
        <f t="shared" si="55"/>
        <v>1</v>
      </c>
      <c r="P261" s="719"/>
      <c r="Q261" s="24">
        <f t="shared" si="56"/>
        <v>0</v>
      </c>
      <c r="R261" s="715">
        <f t="shared" si="57"/>
        <v>0</v>
      </c>
      <c r="S261" s="718">
        <f t="shared" si="49"/>
        <v>0</v>
      </c>
    </row>
    <row r="262" spans="1:19">
      <c r="A262" s="158"/>
      <c r="B262" s="59"/>
      <c r="C262" s="24">
        <f t="shared" si="48"/>
        <v>1</v>
      </c>
      <c r="D262" s="719"/>
      <c r="E262" s="24">
        <f t="shared" si="50"/>
        <v>1</v>
      </c>
      <c r="F262" s="719"/>
      <c r="G262" s="24">
        <f t="shared" si="51"/>
        <v>1</v>
      </c>
      <c r="H262" s="719"/>
      <c r="I262" s="24">
        <f t="shared" si="52"/>
        <v>1</v>
      </c>
      <c r="J262" s="719"/>
      <c r="K262" s="24">
        <f t="shared" si="53"/>
        <v>1</v>
      </c>
      <c r="L262" s="719"/>
      <c r="M262" s="24">
        <f t="shared" si="54"/>
        <v>1</v>
      </c>
      <c r="N262" s="719"/>
      <c r="O262" s="24">
        <f t="shared" si="55"/>
        <v>1</v>
      </c>
      <c r="P262" s="719"/>
      <c r="Q262" s="24">
        <f t="shared" si="56"/>
        <v>0</v>
      </c>
      <c r="R262" s="715">
        <f t="shared" si="57"/>
        <v>0</v>
      </c>
      <c r="S262" s="360">
        <f t="shared" ref="S262:S286" si="58">ROUND(R262*B262/10000,0)</f>
        <v>0</v>
      </c>
    </row>
    <row r="263" spans="1:19">
      <c r="A263" s="158"/>
      <c r="B263" s="59"/>
      <c r="C263" s="24">
        <f t="shared" si="48"/>
        <v>1</v>
      </c>
      <c r="D263" s="719"/>
      <c r="E263" s="24">
        <f t="shared" si="50"/>
        <v>1</v>
      </c>
      <c r="F263" s="719"/>
      <c r="G263" s="24">
        <f t="shared" si="51"/>
        <v>1</v>
      </c>
      <c r="H263" s="719"/>
      <c r="I263" s="24">
        <f t="shared" si="52"/>
        <v>1</v>
      </c>
      <c r="J263" s="719"/>
      <c r="K263" s="24">
        <f t="shared" si="53"/>
        <v>1</v>
      </c>
      <c r="L263" s="719"/>
      <c r="M263" s="24">
        <f t="shared" si="54"/>
        <v>1</v>
      </c>
      <c r="N263" s="719"/>
      <c r="O263" s="24">
        <f t="shared" si="55"/>
        <v>1</v>
      </c>
      <c r="P263" s="719"/>
      <c r="Q263" s="24">
        <f t="shared" si="56"/>
        <v>0</v>
      </c>
      <c r="R263" s="715">
        <f t="shared" si="57"/>
        <v>0</v>
      </c>
      <c r="S263" s="360">
        <f t="shared" si="58"/>
        <v>0</v>
      </c>
    </row>
    <row r="264" spans="1:19">
      <c r="A264" s="158"/>
      <c r="B264" s="59"/>
      <c r="C264" s="24">
        <f t="shared" si="48"/>
        <v>1</v>
      </c>
      <c r="D264" s="719"/>
      <c r="E264" s="24">
        <f t="shared" si="50"/>
        <v>1</v>
      </c>
      <c r="F264" s="719"/>
      <c r="G264" s="24">
        <f t="shared" si="51"/>
        <v>1</v>
      </c>
      <c r="H264" s="719"/>
      <c r="I264" s="24">
        <f t="shared" si="52"/>
        <v>1</v>
      </c>
      <c r="J264" s="719"/>
      <c r="K264" s="24">
        <f t="shared" si="53"/>
        <v>1</v>
      </c>
      <c r="L264" s="719"/>
      <c r="M264" s="24">
        <f t="shared" si="54"/>
        <v>1</v>
      </c>
      <c r="N264" s="719"/>
      <c r="O264" s="24">
        <f t="shared" si="55"/>
        <v>1</v>
      </c>
      <c r="P264" s="719"/>
      <c r="Q264" s="24">
        <f t="shared" si="56"/>
        <v>0</v>
      </c>
      <c r="R264" s="715">
        <f t="shared" si="57"/>
        <v>0</v>
      </c>
      <c r="S264" s="360">
        <f t="shared" si="58"/>
        <v>0</v>
      </c>
    </row>
    <row r="265" spans="1:19">
      <c r="A265" s="158"/>
      <c r="B265" s="59"/>
      <c r="C265" s="24">
        <f t="shared" si="48"/>
        <v>1</v>
      </c>
      <c r="D265" s="719"/>
      <c r="E265" s="24">
        <f t="shared" si="50"/>
        <v>1</v>
      </c>
      <c r="F265" s="719"/>
      <c r="G265" s="24">
        <f t="shared" si="51"/>
        <v>1</v>
      </c>
      <c r="H265" s="719"/>
      <c r="I265" s="24">
        <f t="shared" si="52"/>
        <v>1</v>
      </c>
      <c r="J265" s="719"/>
      <c r="K265" s="24">
        <f t="shared" si="53"/>
        <v>1</v>
      </c>
      <c r="L265" s="719"/>
      <c r="M265" s="24">
        <f t="shared" si="54"/>
        <v>1</v>
      </c>
      <c r="N265" s="719"/>
      <c r="O265" s="24">
        <f t="shared" si="55"/>
        <v>1</v>
      </c>
      <c r="P265" s="719"/>
      <c r="Q265" s="24">
        <f t="shared" si="56"/>
        <v>0</v>
      </c>
      <c r="R265" s="715">
        <f t="shared" si="57"/>
        <v>0</v>
      </c>
      <c r="S265" s="360">
        <f t="shared" si="58"/>
        <v>0</v>
      </c>
    </row>
    <row r="266" spans="1:19">
      <c r="A266" s="158"/>
      <c r="B266" s="59"/>
      <c r="C266" s="24">
        <f t="shared" si="48"/>
        <v>1</v>
      </c>
      <c r="D266" s="719"/>
      <c r="E266" s="24">
        <f t="shared" si="50"/>
        <v>1</v>
      </c>
      <c r="F266" s="719"/>
      <c r="G266" s="24">
        <f t="shared" si="51"/>
        <v>1</v>
      </c>
      <c r="H266" s="719"/>
      <c r="I266" s="24">
        <f t="shared" si="52"/>
        <v>1</v>
      </c>
      <c r="J266" s="719"/>
      <c r="K266" s="24">
        <f t="shared" si="53"/>
        <v>1</v>
      </c>
      <c r="L266" s="719"/>
      <c r="M266" s="24">
        <f t="shared" si="54"/>
        <v>1</v>
      </c>
      <c r="N266" s="719"/>
      <c r="O266" s="24">
        <f t="shared" si="55"/>
        <v>1</v>
      </c>
      <c r="P266" s="719"/>
      <c r="Q266" s="24">
        <f t="shared" si="56"/>
        <v>0</v>
      </c>
      <c r="R266" s="715">
        <f t="shared" si="57"/>
        <v>0</v>
      </c>
      <c r="S266" s="360">
        <f t="shared" si="58"/>
        <v>0</v>
      </c>
    </row>
    <row r="267" spans="1:19">
      <c r="A267" s="158"/>
      <c r="B267" s="59"/>
      <c r="C267" s="24">
        <f t="shared" si="48"/>
        <v>1</v>
      </c>
      <c r="D267" s="719"/>
      <c r="E267" s="24">
        <f t="shared" si="50"/>
        <v>1</v>
      </c>
      <c r="F267" s="719"/>
      <c r="G267" s="24">
        <f t="shared" si="51"/>
        <v>1</v>
      </c>
      <c r="H267" s="719"/>
      <c r="I267" s="24">
        <f t="shared" si="52"/>
        <v>1</v>
      </c>
      <c r="J267" s="719"/>
      <c r="K267" s="24">
        <f t="shared" si="53"/>
        <v>1</v>
      </c>
      <c r="L267" s="719"/>
      <c r="M267" s="24">
        <f t="shared" si="54"/>
        <v>1</v>
      </c>
      <c r="N267" s="719"/>
      <c r="O267" s="24">
        <f t="shared" si="55"/>
        <v>1</v>
      </c>
      <c r="P267" s="719"/>
      <c r="Q267" s="24">
        <f t="shared" si="56"/>
        <v>0</v>
      </c>
      <c r="R267" s="715">
        <f t="shared" si="57"/>
        <v>0</v>
      </c>
      <c r="S267" s="360">
        <f t="shared" si="58"/>
        <v>0</v>
      </c>
    </row>
    <row r="268" spans="1:19">
      <c r="A268" s="158"/>
      <c r="B268" s="59"/>
      <c r="C268" s="24">
        <f t="shared" si="48"/>
        <v>1</v>
      </c>
      <c r="D268" s="719"/>
      <c r="E268" s="24">
        <f t="shared" si="50"/>
        <v>1</v>
      </c>
      <c r="F268" s="719"/>
      <c r="G268" s="24">
        <f t="shared" si="51"/>
        <v>1</v>
      </c>
      <c r="H268" s="719"/>
      <c r="I268" s="24">
        <f t="shared" si="52"/>
        <v>1</v>
      </c>
      <c r="J268" s="719"/>
      <c r="K268" s="24">
        <f t="shared" si="53"/>
        <v>1</v>
      </c>
      <c r="L268" s="719"/>
      <c r="M268" s="24">
        <f t="shared" si="54"/>
        <v>1</v>
      </c>
      <c r="N268" s="719"/>
      <c r="O268" s="24">
        <f t="shared" si="55"/>
        <v>1</v>
      </c>
      <c r="P268" s="719"/>
      <c r="Q268" s="24">
        <f t="shared" si="56"/>
        <v>0</v>
      </c>
      <c r="R268" s="715">
        <f t="shared" si="57"/>
        <v>0</v>
      </c>
      <c r="S268" s="360">
        <f t="shared" si="58"/>
        <v>0</v>
      </c>
    </row>
    <row r="269" spans="1:19">
      <c r="A269" s="158"/>
      <c r="B269" s="59"/>
      <c r="C269" s="24">
        <f t="shared" si="48"/>
        <v>1</v>
      </c>
      <c r="D269" s="719"/>
      <c r="E269" s="24">
        <f t="shared" si="50"/>
        <v>1</v>
      </c>
      <c r="F269" s="719"/>
      <c r="G269" s="24">
        <f t="shared" si="51"/>
        <v>1</v>
      </c>
      <c r="H269" s="719"/>
      <c r="I269" s="24">
        <f t="shared" si="52"/>
        <v>1</v>
      </c>
      <c r="J269" s="719"/>
      <c r="K269" s="24">
        <f t="shared" si="53"/>
        <v>1</v>
      </c>
      <c r="L269" s="719"/>
      <c r="M269" s="24">
        <f t="shared" si="54"/>
        <v>1</v>
      </c>
      <c r="N269" s="719"/>
      <c r="O269" s="24">
        <f t="shared" si="55"/>
        <v>1</v>
      </c>
      <c r="P269" s="719"/>
      <c r="Q269" s="24">
        <f t="shared" si="56"/>
        <v>0</v>
      </c>
      <c r="R269" s="715">
        <f t="shared" si="57"/>
        <v>0</v>
      </c>
      <c r="S269" s="360">
        <f t="shared" si="58"/>
        <v>0</v>
      </c>
    </row>
    <row r="270" spans="1:19">
      <c r="A270" s="158"/>
      <c r="B270" s="59"/>
      <c r="C270" s="24">
        <f t="shared" si="48"/>
        <v>1</v>
      </c>
      <c r="D270" s="719"/>
      <c r="E270" s="24">
        <f t="shared" si="50"/>
        <v>1</v>
      </c>
      <c r="F270" s="719"/>
      <c r="G270" s="24">
        <f t="shared" si="51"/>
        <v>1</v>
      </c>
      <c r="H270" s="719"/>
      <c r="I270" s="24">
        <f t="shared" si="52"/>
        <v>1</v>
      </c>
      <c r="J270" s="719"/>
      <c r="K270" s="24">
        <f t="shared" si="53"/>
        <v>1</v>
      </c>
      <c r="L270" s="719"/>
      <c r="M270" s="24">
        <f t="shared" si="54"/>
        <v>1</v>
      </c>
      <c r="N270" s="719"/>
      <c r="O270" s="24">
        <f t="shared" si="55"/>
        <v>1</v>
      </c>
      <c r="P270" s="719"/>
      <c r="Q270" s="24">
        <f t="shared" si="56"/>
        <v>0</v>
      </c>
      <c r="R270" s="715">
        <f t="shared" si="57"/>
        <v>0</v>
      </c>
      <c r="S270" s="360">
        <f t="shared" si="58"/>
        <v>0</v>
      </c>
    </row>
    <row r="271" spans="1:19">
      <c r="A271" s="158"/>
      <c r="B271" s="59"/>
      <c r="C271" s="24">
        <f t="shared" si="48"/>
        <v>1</v>
      </c>
      <c r="D271" s="719"/>
      <c r="E271" s="24">
        <f t="shared" si="50"/>
        <v>1</v>
      </c>
      <c r="F271" s="719"/>
      <c r="G271" s="24">
        <f t="shared" si="51"/>
        <v>1</v>
      </c>
      <c r="H271" s="719"/>
      <c r="I271" s="24">
        <f t="shared" si="52"/>
        <v>1</v>
      </c>
      <c r="J271" s="719"/>
      <c r="K271" s="24">
        <f t="shared" si="53"/>
        <v>1</v>
      </c>
      <c r="L271" s="719"/>
      <c r="M271" s="24">
        <f t="shared" si="54"/>
        <v>1</v>
      </c>
      <c r="N271" s="719"/>
      <c r="O271" s="24">
        <f t="shared" si="55"/>
        <v>1</v>
      </c>
      <c r="P271" s="719"/>
      <c r="Q271" s="24">
        <f t="shared" si="56"/>
        <v>0</v>
      </c>
      <c r="R271" s="715">
        <f t="shared" si="57"/>
        <v>0</v>
      </c>
      <c r="S271" s="360">
        <f t="shared" si="58"/>
        <v>0</v>
      </c>
    </row>
    <row r="272" spans="1:19">
      <c r="A272" s="158"/>
      <c r="B272" s="59"/>
      <c r="C272" s="24">
        <f t="shared" si="48"/>
        <v>1</v>
      </c>
      <c r="D272" s="719"/>
      <c r="E272" s="24">
        <f t="shared" si="50"/>
        <v>1</v>
      </c>
      <c r="F272" s="719"/>
      <c r="G272" s="24">
        <f t="shared" si="51"/>
        <v>1</v>
      </c>
      <c r="H272" s="719"/>
      <c r="I272" s="24">
        <f t="shared" si="52"/>
        <v>1</v>
      </c>
      <c r="J272" s="719"/>
      <c r="K272" s="24">
        <f t="shared" si="53"/>
        <v>1</v>
      </c>
      <c r="L272" s="719"/>
      <c r="M272" s="24">
        <f t="shared" si="54"/>
        <v>1</v>
      </c>
      <c r="N272" s="719"/>
      <c r="O272" s="24">
        <f t="shared" si="55"/>
        <v>1</v>
      </c>
      <c r="P272" s="719"/>
      <c r="Q272" s="24">
        <f t="shared" si="56"/>
        <v>0</v>
      </c>
      <c r="R272" s="715">
        <f t="shared" si="57"/>
        <v>0</v>
      </c>
      <c r="S272" s="360">
        <f t="shared" si="58"/>
        <v>0</v>
      </c>
    </row>
    <row r="273" spans="1:19">
      <c r="A273" s="158"/>
      <c r="B273" s="59"/>
      <c r="C273" s="24">
        <f t="shared" si="48"/>
        <v>1</v>
      </c>
      <c r="D273" s="719"/>
      <c r="E273" s="24">
        <f t="shared" si="50"/>
        <v>1</v>
      </c>
      <c r="F273" s="719"/>
      <c r="G273" s="24">
        <f t="shared" si="51"/>
        <v>1</v>
      </c>
      <c r="H273" s="719"/>
      <c r="I273" s="24">
        <f t="shared" si="52"/>
        <v>1</v>
      </c>
      <c r="J273" s="719"/>
      <c r="K273" s="24">
        <f t="shared" si="53"/>
        <v>1</v>
      </c>
      <c r="L273" s="719"/>
      <c r="M273" s="24">
        <f t="shared" si="54"/>
        <v>1</v>
      </c>
      <c r="N273" s="719"/>
      <c r="O273" s="24">
        <f t="shared" si="55"/>
        <v>1</v>
      </c>
      <c r="P273" s="719"/>
      <c r="Q273" s="24">
        <f t="shared" si="56"/>
        <v>0</v>
      </c>
      <c r="R273" s="715">
        <f t="shared" si="57"/>
        <v>0</v>
      </c>
      <c r="S273" s="360">
        <f t="shared" si="58"/>
        <v>0</v>
      </c>
    </row>
    <row r="274" spans="1:19">
      <c r="A274" s="158"/>
      <c r="B274" s="59"/>
      <c r="C274" s="24">
        <f t="shared" si="48"/>
        <v>1</v>
      </c>
      <c r="D274" s="719"/>
      <c r="E274" s="24">
        <f t="shared" si="50"/>
        <v>1</v>
      </c>
      <c r="F274" s="719"/>
      <c r="G274" s="24">
        <f t="shared" si="51"/>
        <v>1</v>
      </c>
      <c r="H274" s="719"/>
      <c r="I274" s="24">
        <f t="shared" si="52"/>
        <v>1</v>
      </c>
      <c r="J274" s="719"/>
      <c r="K274" s="24">
        <f t="shared" si="53"/>
        <v>1</v>
      </c>
      <c r="L274" s="719"/>
      <c r="M274" s="24">
        <f t="shared" si="54"/>
        <v>1</v>
      </c>
      <c r="N274" s="719"/>
      <c r="O274" s="24">
        <f t="shared" si="55"/>
        <v>1</v>
      </c>
      <c r="P274" s="719"/>
      <c r="Q274" s="24">
        <f t="shared" si="56"/>
        <v>0</v>
      </c>
      <c r="R274" s="715">
        <f t="shared" si="57"/>
        <v>0</v>
      </c>
      <c r="S274" s="360">
        <f t="shared" si="58"/>
        <v>0</v>
      </c>
    </row>
    <row r="275" spans="1:19">
      <c r="A275" s="158"/>
      <c r="B275" s="59"/>
      <c r="C275" s="24">
        <f t="shared" si="48"/>
        <v>1</v>
      </c>
      <c r="D275" s="719"/>
      <c r="E275" s="24">
        <f t="shared" si="50"/>
        <v>1</v>
      </c>
      <c r="F275" s="719"/>
      <c r="G275" s="24">
        <f t="shared" si="51"/>
        <v>1</v>
      </c>
      <c r="H275" s="719"/>
      <c r="I275" s="24">
        <f t="shared" si="52"/>
        <v>1</v>
      </c>
      <c r="J275" s="719"/>
      <c r="K275" s="24">
        <f t="shared" si="53"/>
        <v>1</v>
      </c>
      <c r="L275" s="719"/>
      <c r="M275" s="24">
        <f t="shared" si="54"/>
        <v>1</v>
      </c>
      <c r="N275" s="719"/>
      <c r="O275" s="24">
        <f t="shared" si="55"/>
        <v>1</v>
      </c>
      <c r="P275" s="719"/>
      <c r="Q275" s="24">
        <f t="shared" si="56"/>
        <v>0</v>
      </c>
      <c r="R275" s="715">
        <f t="shared" si="57"/>
        <v>0</v>
      </c>
      <c r="S275" s="360">
        <f t="shared" si="58"/>
        <v>0</v>
      </c>
    </row>
    <row r="276" spans="1:19">
      <c r="A276" s="158"/>
      <c r="B276" s="59"/>
      <c r="C276" s="24">
        <f t="shared" si="48"/>
        <v>1</v>
      </c>
      <c r="D276" s="719"/>
      <c r="E276" s="24">
        <f t="shared" si="50"/>
        <v>1</v>
      </c>
      <c r="F276" s="719"/>
      <c r="G276" s="24">
        <f t="shared" si="51"/>
        <v>1</v>
      </c>
      <c r="H276" s="719"/>
      <c r="I276" s="24">
        <f t="shared" si="52"/>
        <v>1</v>
      </c>
      <c r="J276" s="719"/>
      <c r="K276" s="24">
        <f t="shared" si="53"/>
        <v>1</v>
      </c>
      <c r="L276" s="719"/>
      <c r="M276" s="24">
        <f t="shared" si="54"/>
        <v>1</v>
      </c>
      <c r="N276" s="719"/>
      <c r="O276" s="24">
        <f t="shared" si="55"/>
        <v>1</v>
      </c>
      <c r="P276" s="719"/>
      <c r="Q276" s="24">
        <f t="shared" si="56"/>
        <v>0</v>
      </c>
      <c r="R276" s="715">
        <f t="shared" si="57"/>
        <v>0</v>
      </c>
      <c r="S276" s="360">
        <f t="shared" si="58"/>
        <v>0</v>
      </c>
    </row>
    <row r="277" spans="1:19">
      <c r="A277" s="158"/>
      <c r="B277" s="59"/>
      <c r="C277" s="24">
        <f t="shared" si="48"/>
        <v>1</v>
      </c>
      <c r="D277" s="719"/>
      <c r="E277" s="24">
        <f t="shared" si="50"/>
        <v>1</v>
      </c>
      <c r="F277" s="719"/>
      <c r="G277" s="24">
        <f t="shared" si="51"/>
        <v>1</v>
      </c>
      <c r="H277" s="719"/>
      <c r="I277" s="24">
        <f t="shared" si="52"/>
        <v>1</v>
      </c>
      <c r="J277" s="719"/>
      <c r="K277" s="24">
        <f t="shared" si="53"/>
        <v>1</v>
      </c>
      <c r="L277" s="719"/>
      <c r="M277" s="24">
        <f t="shared" si="54"/>
        <v>1</v>
      </c>
      <c r="N277" s="719"/>
      <c r="O277" s="24">
        <f t="shared" si="55"/>
        <v>1</v>
      </c>
      <c r="P277" s="719"/>
      <c r="Q277" s="24">
        <f t="shared" si="56"/>
        <v>0</v>
      </c>
      <c r="R277" s="715">
        <f t="shared" si="57"/>
        <v>0</v>
      </c>
      <c r="S277" s="360">
        <f t="shared" si="58"/>
        <v>0</v>
      </c>
    </row>
    <row r="278" spans="1:19">
      <c r="A278" s="158"/>
      <c r="B278" s="59"/>
      <c r="C278" s="24">
        <f t="shared" si="48"/>
        <v>1</v>
      </c>
      <c r="D278" s="719"/>
      <c r="E278" s="24">
        <f t="shared" si="50"/>
        <v>1</v>
      </c>
      <c r="F278" s="719"/>
      <c r="G278" s="24">
        <f t="shared" si="51"/>
        <v>1</v>
      </c>
      <c r="H278" s="719"/>
      <c r="I278" s="24">
        <f t="shared" si="52"/>
        <v>1</v>
      </c>
      <c r="J278" s="719"/>
      <c r="K278" s="24">
        <f t="shared" si="53"/>
        <v>1</v>
      </c>
      <c r="L278" s="719"/>
      <c r="M278" s="24">
        <f t="shared" si="54"/>
        <v>1</v>
      </c>
      <c r="N278" s="719"/>
      <c r="O278" s="24">
        <f t="shared" si="55"/>
        <v>1</v>
      </c>
      <c r="P278" s="719"/>
      <c r="Q278" s="24">
        <f t="shared" si="56"/>
        <v>0</v>
      </c>
      <c r="R278" s="715">
        <f t="shared" si="57"/>
        <v>0</v>
      </c>
      <c r="S278" s="360">
        <f t="shared" si="58"/>
        <v>0</v>
      </c>
    </row>
    <row r="279" spans="1:19">
      <c r="A279" s="158"/>
      <c r="B279" s="59"/>
      <c r="C279" s="24">
        <f t="shared" si="48"/>
        <v>1</v>
      </c>
      <c r="D279" s="719"/>
      <c r="E279" s="24">
        <f t="shared" si="50"/>
        <v>1</v>
      </c>
      <c r="F279" s="719"/>
      <c r="G279" s="24">
        <f t="shared" si="51"/>
        <v>1</v>
      </c>
      <c r="H279" s="719"/>
      <c r="I279" s="24">
        <f t="shared" si="52"/>
        <v>1</v>
      </c>
      <c r="J279" s="719"/>
      <c r="K279" s="24">
        <f t="shared" si="53"/>
        <v>1</v>
      </c>
      <c r="L279" s="719"/>
      <c r="M279" s="24">
        <f t="shared" si="54"/>
        <v>1</v>
      </c>
      <c r="N279" s="719"/>
      <c r="O279" s="24">
        <f t="shared" si="55"/>
        <v>1</v>
      </c>
      <c r="P279" s="719"/>
      <c r="Q279" s="24">
        <f t="shared" si="56"/>
        <v>0</v>
      </c>
      <c r="R279" s="715">
        <f t="shared" si="57"/>
        <v>0</v>
      </c>
      <c r="S279" s="360">
        <f t="shared" si="58"/>
        <v>0</v>
      </c>
    </row>
    <row r="280" spans="1:19">
      <c r="A280" s="158"/>
      <c r="B280" s="59"/>
      <c r="C280" s="24">
        <f t="shared" si="48"/>
        <v>1</v>
      </c>
      <c r="D280" s="719"/>
      <c r="E280" s="24">
        <f t="shared" si="50"/>
        <v>1</v>
      </c>
      <c r="F280" s="719"/>
      <c r="G280" s="24">
        <f t="shared" si="51"/>
        <v>1</v>
      </c>
      <c r="H280" s="719"/>
      <c r="I280" s="24">
        <f t="shared" si="52"/>
        <v>1</v>
      </c>
      <c r="J280" s="719"/>
      <c r="K280" s="24">
        <f t="shared" si="53"/>
        <v>1</v>
      </c>
      <c r="L280" s="719"/>
      <c r="M280" s="24">
        <f t="shared" si="54"/>
        <v>1</v>
      </c>
      <c r="N280" s="719"/>
      <c r="O280" s="24">
        <f t="shared" si="55"/>
        <v>1</v>
      </c>
      <c r="P280" s="719"/>
      <c r="Q280" s="24">
        <f t="shared" si="56"/>
        <v>0</v>
      </c>
      <c r="R280" s="715">
        <f t="shared" si="57"/>
        <v>0</v>
      </c>
      <c r="S280" s="360">
        <f t="shared" si="58"/>
        <v>0</v>
      </c>
    </row>
    <row r="281" spans="1:19">
      <c r="A281" s="158"/>
      <c r="B281" s="59"/>
      <c r="C281" s="24">
        <f t="shared" ref="C281:C344" si="59">IF(B281="",1,(LOOKUP(B281,$3:$3,$4:$4)-LOOKUP($B$24,$3:$3,$4:$4)+100)/100)</f>
        <v>1</v>
      </c>
      <c r="D281" s="719"/>
      <c r="E281" s="24">
        <f t="shared" si="50"/>
        <v>1</v>
      </c>
      <c r="F281" s="719"/>
      <c r="G281" s="24">
        <f t="shared" si="51"/>
        <v>1</v>
      </c>
      <c r="H281" s="719"/>
      <c r="I281" s="24">
        <f t="shared" si="52"/>
        <v>1</v>
      </c>
      <c r="J281" s="719"/>
      <c r="K281" s="24">
        <f t="shared" si="53"/>
        <v>1</v>
      </c>
      <c r="L281" s="719"/>
      <c r="M281" s="24">
        <f t="shared" si="54"/>
        <v>1</v>
      </c>
      <c r="N281" s="719"/>
      <c r="O281" s="24">
        <f t="shared" si="55"/>
        <v>1</v>
      </c>
      <c r="P281" s="719"/>
      <c r="Q281" s="24">
        <f t="shared" si="56"/>
        <v>0</v>
      </c>
      <c r="R281" s="715">
        <f t="shared" si="57"/>
        <v>0</v>
      </c>
      <c r="S281" s="360">
        <f t="shared" si="58"/>
        <v>0</v>
      </c>
    </row>
    <row r="282" spans="1:19">
      <c r="A282" s="158"/>
      <c r="B282" s="59"/>
      <c r="C282" s="24">
        <f t="shared" si="59"/>
        <v>1</v>
      </c>
      <c r="D282" s="719"/>
      <c r="E282" s="24">
        <f t="shared" ref="E282:E345" si="60">(SUMIF($5:$5,D282,$6:$6)-SUMIF($5:$5,$D$24,$6:$6)+100)/100</f>
        <v>1</v>
      </c>
      <c r="F282" s="719"/>
      <c r="G282" s="24">
        <f t="shared" ref="G282:G345" si="61">(SUMIF($7:$7,F282,$8:$8)-SUMIF($7:$7,$F$24,$8:$8)+100)/100</f>
        <v>1</v>
      </c>
      <c r="H282" s="719"/>
      <c r="I282" s="24">
        <f t="shared" ref="I282:I345" si="62">(SUMIF($9:$9,H282,$10:$10)-SUMIF($9:$9,$H$24,$10:$10)+100)/100</f>
        <v>1</v>
      </c>
      <c r="J282" s="719"/>
      <c r="K282" s="24">
        <f t="shared" ref="K282:K345" si="63">(SUMIF($11:$11,J282,$12:$12)-SUMIF($11:$11,$J$24,$12:$12)+100)/100</f>
        <v>1</v>
      </c>
      <c r="L282" s="719"/>
      <c r="M282" s="24">
        <f t="shared" ref="M282:M345" si="64">(SUMIF($13:$13,L282,$14:$14)-SUMIF($13:$13,$L$24,$14:$14)+100)/100</f>
        <v>1</v>
      </c>
      <c r="N282" s="719"/>
      <c r="O282" s="24">
        <f t="shared" ref="O282:O345" si="65">(SUMIF($15:$15,N282,$16:$16)-SUMIF($15:$15,$N$24,$16:$16)+100)/100</f>
        <v>1</v>
      </c>
      <c r="P282" s="719"/>
      <c r="Q282" s="24">
        <f t="shared" ref="Q282:Q345" si="66">(SUMIF($17:$17,P282,$18:$18)-SUMIF($17:$17,$P$24,$18:$18)+100)/100</f>
        <v>0</v>
      </c>
      <c r="R282" s="715">
        <f t="shared" ref="R282:R345" si="67">IF(B282="",0,ROUND($R$24*C282*E282*G282*I282*K282*M282*O282*Q282,0))</f>
        <v>0</v>
      </c>
      <c r="S282" s="360">
        <f t="shared" si="58"/>
        <v>0</v>
      </c>
    </row>
    <row r="283" spans="1:19">
      <c r="A283" s="158"/>
      <c r="B283" s="59"/>
      <c r="C283" s="24">
        <f t="shared" si="59"/>
        <v>1</v>
      </c>
      <c r="D283" s="719"/>
      <c r="E283" s="24">
        <f t="shared" si="60"/>
        <v>1</v>
      </c>
      <c r="F283" s="719"/>
      <c r="G283" s="24">
        <f t="shared" si="61"/>
        <v>1</v>
      </c>
      <c r="H283" s="719"/>
      <c r="I283" s="24">
        <f t="shared" si="62"/>
        <v>1</v>
      </c>
      <c r="J283" s="719"/>
      <c r="K283" s="24">
        <f t="shared" si="63"/>
        <v>1</v>
      </c>
      <c r="L283" s="719"/>
      <c r="M283" s="24">
        <f t="shared" si="64"/>
        <v>1</v>
      </c>
      <c r="N283" s="719"/>
      <c r="O283" s="24">
        <f t="shared" si="65"/>
        <v>1</v>
      </c>
      <c r="P283" s="719"/>
      <c r="Q283" s="24">
        <f t="shared" si="66"/>
        <v>0</v>
      </c>
      <c r="R283" s="715">
        <f t="shared" si="67"/>
        <v>0</v>
      </c>
      <c r="S283" s="360">
        <f t="shared" si="58"/>
        <v>0</v>
      </c>
    </row>
    <row r="284" spans="1:19">
      <c r="A284" s="158"/>
      <c r="B284" s="59"/>
      <c r="C284" s="24">
        <f t="shared" si="59"/>
        <v>1</v>
      </c>
      <c r="D284" s="719"/>
      <c r="E284" s="24">
        <f t="shared" si="60"/>
        <v>1</v>
      </c>
      <c r="F284" s="719"/>
      <c r="G284" s="24">
        <f t="shared" si="61"/>
        <v>1</v>
      </c>
      <c r="H284" s="719"/>
      <c r="I284" s="24">
        <f t="shared" si="62"/>
        <v>1</v>
      </c>
      <c r="J284" s="719"/>
      <c r="K284" s="24">
        <f t="shared" si="63"/>
        <v>1</v>
      </c>
      <c r="L284" s="719"/>
      <c r="M284" s="24">
        <f t="shared" si="64"/>
        <v>1</v>
      </c>
      <c r="N284" s="719"/>
      <c r="O284" s="24">
        <f t="shared" si="65"/>
        <v>1</v>
      </c>
      <c r="P284" s="719"/>
      <c r="Q284" s="24">
        <f t="shared" si="66"/>
        <v>0</v>
      </c>
      <c r="R284" s="715">
        <f t="shared" si="67"/>
        <v>0</v>
      </c>
      <c r="S284" s="360">
        <f t="shared" si="58"/>
        <v>0</v>
      </c>
    </row>
    <row r="285" spans="1:19">
      <c r="A285" s="158"/>
      <c r="B285" s="59"/>
      <c r="C285" s="24">
        <f t="shared" si="59"/>
        <v>1</v>
      </c>
      <c r="D285" s="719"/>
      <c r="E285" s="24">
        <f t="shared" si="60"/>
        <v>1</v>
      </c>
      <c r="F285" s="719"/>
      <c r="G285" s="24">
        <f t="shared" si="61"/>
        <v>1</v>
      </c>
      <c r="H285" s="719"/>
      <c r="I285" s="24">
        <f t="shared" si="62"/>
        <v>1</v>
      </c>
      <c r="J285" s="719"/>
      <c r="K285" s="24">
        <f t="shared" si="63"/>
        <v>1</v>
      </c>
      <c r="L285" s="719"/>
      <c r="M285" s="24">
        <f t="shared" si="64"/>
        <v>1</v>
      </c>
      <c r="N285" s="719"/>
      <c r="O285" s="24">
        <f t="shared" si="65"/>
        <v>1</v>
      </c>
      <c r="P285" s="719"/>
      <c r="Q285" s="24">
        <f t="shared" si="66"/>
        <v>0</v>
      </c>
      <c r="R285" s="715">
        <f t="shared" si="67"/>
        <v>0</v>
      </c>
      <c r="S285" s="360">
        <f t="shared" si="58"/>
        <v>0</v>
      </c>
    </row>
    <row r="286" spans="1:19">
      <c r="A286" s="158"/>
      <c r="B286" s="59"/>
      <c r="C286" s="24">
        <f t="shared" si="59"/>
        <v>1</v>
      </c>
      <c r="D286" s="719"/>
      <c r="E286" s="24">
        <f t="shared" si="60"/>
        <v>1</v>
      </c>
      <c r="F286" s="719"/>
      <c r="G286" s="24">
        <f t="shared" si="61"/>
        <v>1</v>
      </c>
      <c r="H286" s="719"/>
      <c r="I286" s="24">
        <f t="shared" si="62"/>
        <v>1</v>
      </c>
      <c r="J286" s="719"/>
      <c r="K286" s="24">
        <f t="shared" si="63"/>
        <v>1</v>
      </c>
      <c r="L286" s="719"/>
      <c r="M286" s="24">
        <f t="shared" si="64"/>
        <v>1</v>
      </c>
      <c r="N286" s="719"/>
      <c r="O286" s="24">
        <f t="shared" si="65"/>
        <v>1</v>
      </c>
      <c r="P286" s="719"/>
      <c r="Q286" s="24">
        <f t="shared" si="66"/>
        <v>0</v>
      </c>
      <c r="R286" s="715">
        <f t="shared" si="67"/>
        <v>0</v>
      </c>
      <c r="S286" s="360">
        <f t="shared" si="58"/>
        <v>0</v>
      </c>
    </row>
    <row r="287" spans="1:19">
      <c r="A287" s="158"/>
      <c r="B287" s="59"/>
      <c r="C287" s="24">
        <f t="shared" si="59"/>
        <v>1</v>
      </c>
      <c r="D287" s="719"/>
      <c r="E287" s="24">
        <f t="shared" si="60"/>
        <v>1</v>
      </c>
      <c r="F287" s="719"/>
      <c r="G287" s="24">
        <f t="shared" si="61"/>
        <v>1</v>
      </c>
      <c r="H287" s="719"/>
      <c r="I287" s="24">
        <f t="shared" si="62"/>
        <v>1</v>
      </c>
      <c r="J287" s="719"/>
      <c r="K287" s="24">
        <f t="shared" si="63"/>
        <v>1</v>
      </c>
      <c r="L287" s="719"/>
      <c r="M287" s="24">
        <f t="shared" si="64"/>
        <v>1</v>
      </c>
      <c r="N287" s="719"/>
      <c r="O287" s="24">
        <f t="shared" si="65"/>
        <v>1</v>
      </c>
      <c r="P287" s="719"/>
      <c r="Q287" s="24">
        <f t="shared" si="66"/>
        <v>0</v>
      </c>
      <c r="R287" s="715">
        <f t="shared" si="67"/>
        <v>0</v>
      </c>
      <c r="S287" s="360">
        <f t="shared" ref="S287:S320" si="68">ROUND(R287*B287/10000,0)</f>
        <v>0</v>
      </c>
    </row>
    <row r="288" spans="1:19">
      <c r="A288" s="158"/>
      <c r="B288" s="59"/>
      <c r="C288" s="24">
        <f t="shared" si="59"/>
        <v>1</v>
      </c>
      <c r="D288" s="719"/>
      <c r="E288" s="24">
        <f t="shared" si="60"/>
        <v>1</v>
      </c>
      <c r="F288" s="719"/>
      <c r="G288" s="24">
        <f t="shared" si="61"/>
        <v>1</v>
      </c>
      <c r="H288" s="719"/>
      <c r="I288" s="24">
        <f t="shared" si="62"/>
        <v>1</v>
      </c>
      <c r="J288" s="719"/>
      <c r="K288" s="24">
        <f t="shared" si="63"/>
        <v>1</v>
      </c>
      <c r="L288" s="719"/>
      <c r="M288" s="24">
        <f t="shared" si="64"/>
        <v>1</v>
      </c>
      <c r="N288" s="719"/>
      <c r="O288" s="24">
        <f t="shared" si="65"/>
        <v>1</v>
      </c>
      <c r="P288" s="719"/>
      <c r="Q288" s="24">
        <f t="shared" si="66"/>
        <v>0</v>
      </c>
      <c r="R288" s="715">
        <f t="shared" si="67"/>
        <v>0</v>
      </c>
      <c r="S288" s="360">
        <f t="shared" si="68"/>
        <v>0</v>
      </c>
    </row>
    <row r="289" spans="1:19">
      <c r="A289" s="158"/>
      <c r="B289" s="59"/>
      <c r="C289" s="24">
        <f t="shared" si="59"/>
        <v>1</v>
      </c>
      <c r="D289" s="719"/>
      <c r="E289" s="24">
        <f t="shared" si="60"/>
        <v>1</v>
      </c>
      <c r="F289" s="719"/>
      <c r="G289" s="24">
        <f t="shared" si="61"/>
        <v>1</v>
      </c>
      <c r="H289" s="719"/>
      <c r="I289" s="24">
        <f t="shared" si="62"/>
        <v>1</v>
      </c>
      <c r="J289" s="719"/>
      <c r="K289" s="24">
        <f t="shared" si="63"/>
        <v>1</v>
      </c>
      <c r="L289" s="719"/>
      <c r="M289" s="24">
        <f t="shared" si="64"/>
        <v>1</v>
      </c>
      <c r="N289" s="719"/>
      <c r="O289" s="24">
        <f t="shared" si="65"/>
        <v>1</v>
      </c>
      <c r="P289" s="719"/>
      <c r="Q289" s="24">
        <f t="shared" si="66"/>
        <v>0</v>
      </c>
      <c r="R289" s="715">
        <f t="shared" si="67"/>
        <v>0</v>
      </c>
      <c r="S289" s="360">
        <f t="shared" si="68"/>
        <v>0</v>
      </c>
    </row>
    <row r="290" spans="1:19">
      <c r="A290" s="158"/>
      <c r="B290" s="59"/>
      <c r="C290" s="24">
        <f t="shared" si="59"/>
        <v>1</v>
      </c>
      <c r="D290" s="719"/>
      <c r="E290" s="24">
        <f t="shared" si="60"/>
        <v>1</v>
      </c>
      <c r="F290" s="719"/>
      <c r="G290" s="24">
        <f t="shared" si="61"/>
        <v>1</v>
      </c>
      <c r="H290" s="719"/>
      <c r="I290" s="24">
        <f t="shared" si="62"/>
        <v>1</v>
      </c>
      <c r="J290" s="719"/>
      <c r="K290" s="24">
        <f t="shared" si="63"/>
        <v>1</v>
      </c>
      <c r="L290" s="719"/>
      <c r="M290" s="24">
        <f t="shared" si="64"/>
        <v>1</v>
      </c>
      <c r="N290" s="719"/>
      <c r="O290" s="24">
        <f t="shared" si="65"/>
        <v>1</v>
      </c>
      <c r="P290" s="719"/>
      <c r="Q290" s="24">
        <f t="shared" si="66"/>
        <v>0</v>
      </c>
      <c r="R290" s="715">
        <f t="shared" si="67"/>
        <v>0</v>
      </c>
      <c r="S290" s="360">
        <f t="shared" si="68"/>
        <v>0</v>
      </c>
    </row>
    <row r="291" spans="1:19">
      <c r="A291" s="158"/>
      <c r="B291" s="59"/>
      <c r="C291" s="24">
        <f t="shared" si="59"/>
        <v>1</v>
      </c>
      <c r="D291" s="719"/>
      <c r="E291" s="24">
        <f t="shared" si="60"/>
        <v>1</v>
      </c>
      <c r="F291" s="719"/>
      <c r="G291" s="24">
        <f t="shared" si="61"/>
        <v>1</v>
      </c>
      <c r="H291" s="719"/>
      <c r="I291" s="24">
        <f t="shared" si="62"/>
        <v>1</v>
      </c>
      <c r="J291" s="719"/>
      <c r="K291" s="24">
        <f t="shared" si="63"/>
        <v>1</v>
      </c>
      <c r="L291" s="719"/>
      <c r="M291" s="24">
        <f t="shared" si="64"/>
        <v>1</v>
      </c>
      <c r="N291" s="719"/>
      <c r="O291" s="24">
        <f t="shared" si="65"/>
        <v>1</v>
      </c>
      <c r="P291" s="719"/>
      <c r="Q291" s="24">
        <f t="shared" si="66"/>
        <v>0</v>
      </c>
      <c r="R291" s="715">
        <f t="shared" si="67"/>
        <v>0</v>
      </c>
      <c r="S291" s="360">
        <f t="shared" si="68"/>
        <v>0</v>
      </c>
    </row>
    <row r="292" spans="1:19">
      <c r="A292" s="158"/>
      <c r="B292" s="59"/>
      <c r="C292" s="24">
        <f t="shared" si="59"/>
        <v>1</v>
      </c>
      <c r="D292" s="719"/>
      <c r="E292" s="24">
        <f t="shared" si="60"/>
        <v>1</v>
      </c>
      <c r="F292" s="719"/>
      <c r="G292" s="24">
        <f t="shared" si="61"/>
        <v>1</v>
      </c>
      <c r="H292" s="719"/>
      <c r="I292" s="24">
        <f t="shared" si="62"/>
        <v>1</v>
      </c>
      <c r="J292" s="719"/>
      <c r="K292" s="24">
        <f t="shared" si="63"/>
        <v>1</v>
      </c>
      <c r="L292" s="719"/>
      <c r="M292" s="24">
        <f t="shared" si="64"/>
        <v>1</v>
      </c>
      <c r="N292" s="719"/>
      <c r="O292" s="24">
        <f t="shared" si="65"/>
        <v>1</v>
      </c>
      <c r="P292" s="719"/>
      <c r="Q292" s="24">
        <f t="shared" si="66"/>
        <v>0</v>
      </c>
      <c r="R292" s="715">
        <f t="shared" si="67"/>
        <v>0</v>
      </c>
      <c r="S292" s="360">
        <f t="shared" si="68"/>
        <v>0</v>
      </c>
    </row>
    <row r="293" spans="1:19">
      <c r="A293" s="158"/>
      <c r="B293" s="59"/>
      <c r="C293" s="24">
        <f t="shared" si="59"/>
        <v>1</v>
      </c>
      <c r="D293" s="719"/>
      <c r="E293" s="24">
        <f t="shared" si="60"/>
        <v>1</v>
      </c>
      <c r="F293" s="719"/>
      <c r="G293" s="24">
        <f t="shared" si="61"/>
        <v>1</v>
      </c>
      <c r="H293" s="719"/>
      <c r="I293" s="24">
        <f t="shared" si="62"/>
        <v>1</v>
      </c>
      <c r="J293" s="719"/>
      <c r="K293" s="24">
        <f t="shared" si="63"/>
        <v>1</v>
      </c>
      <c r="L293" s="719"/>
      <c r="M293" s="24">
        <f t="shared" si="64"/>
        <v>1</v>
      </c>
      <c r="N293" s="719"/>
      <c r="O293" s="24">
        <f t="shared" si="65"/>
        <v>1</v>
      </c>
      <c r="P293" s="719"/>
      <c r="Q293" s="24">
        <f t="shared" si="66"/>
        <v>0</v>
      </c>
      <c r="R293" s="715">
        <f t="shared" si="67"/>
        <v>0</v>
      </c>
      <c r="S293" s="360">
        <f t="shared" si="68"/>
        <v>0</v>
      </c>
    </row>
    <row r="294" spans="1:19">
      <c r="A294" s="158"/>
      <c r="B294" s="59"/>
      <c r="C294" s="24">
        <f t="shared" si="59"/>
        <v>1</v>
      </c>
      <c r="D294" s="719"/>
      <c r="E294" s="24">
        <f t="shared" si="60"/>
        <v>1</v>
      </c>
      <c r="F294" s="719"/>
      <c r="G294" s="24">
        <f t="shared" si="61"/>
        <v>1</v>
      </c>
      <c r="H294" s="719"/>
      <c r="I294" s="24">
        <f t="shared" si="62"/>
        <v>1</v>
      </c>
      <c r="J294" s="719"/>
      <c r="K294" s="24">
        <f t="shared" si="63"/>
        <v>1</v>
      </c>
      <c r="L294" s="719"/>
      <c r="M294" s="24">
        <f t="shared" si="64"/>
        <v>1</v>
      </c>
      <c r="N294" s="719"/>
      <c r="O294" s="24">
        <f t="shared" si="65"/>
        <v>1</v>
      </c>
      <c r="P294" s="719"/>
      <c r="Q294" s="24">
        <f t="shared" si="66"/>
        <v>0</v>
      </c>
      <c r="R294" s="715">
        <f t="shared" si="67"/>
        <v>0</v>
      </c>
      <c r="S294" s="360">
        <f t="shared" si="68"/>
        <v>0</v>
      </c>
    </row>
    <row r="295" spans="1:19">
      <c r="A295" s="158"/>
      <c r="B295" s="59"/>
      <c r="C295" s="24">
        <f t="shared" si="59"/>
        <v>1</v>
      </c>
      <c r="D295" s="719"/>
      <c r="E295" s="24">
        <f t="shared" si="60"/>
        <v>1</v>
      </c>
      <c r="F295" s="719"/>
      <c r="G295" s="24">
        <f t="shared" si="61"/>
        <v>1</v>
      </c>
      <c r="H295" s="719"/>
      <c r="I295" s="24">
        <f t="shared" si="62"/>
        <v>1</v>
      </c>
      <c r="J295" s="719"/>
      <c r="K295" s="24">
        <f t="shared" si="63"/>
        <v>1</v>
      </c>
      <c r="L295" s="719"/>
      <c r="M295" s="24">
        <f t="shared" si="64"/>
        <v>1</v>
      </c>
      <c r="N295" s="719"/>
      <c r="O295" s="24">
        <f t="shared" si="65"/>
        <v>1</v>
      </c>
      <c r="P295" s="719"/>
      <c r="Q295" s="24">
        <f t="shared" si="66"/>
        <v>0</v>
      </c>
      <c r="R295" s="715">
        <f t="shared" si="67"/>
        <v>0</v>
      </c>
      <c r="S295" s="360">
        <f t="shared" si="68"/>
        <v>0</v>
      </c>
    </row>
    <row r="296" spans="1:19">
      <c r="A296" s="158"/>
      <c r="B296" s="59"/>
      <c r="C296" s="24">
        <f t="shared" si="59"/>
        <v>1</v>
      </c>
      <c r="D296" s="719"/>
      <c r="E296" s="24">
        <f t="shared" si="60"/>
        <v>1</v>
      </c>
      <c r="F296" s="719"/>
      <c r="G296" s="24">
        <f t="shared" si="61"/>
        <v>1</v>
      </c>
      <c r="H296" s="719"/>
      <c r="I296" s="24">
        <f t="shared" si="62"/>
        <v>1</v>
      </c>
      <c r="J296" s="719"/>
      <c r="K296" s="24">
        <f t="shared" si="63"/>
        <v>1</v>
      </c>
      <c r="L296" s="719"/>
      <c r="M296" s="24">
        <f t="shared" si="64"/>
        <v>1</v>
      </c>
      <c r="N296" s="719"/>
      <c r="O296" s="24">
        <f t="shared" si="65"/>
        <v>1</v>
      </c>
      <c r="P296" s="719"/>
      <c r="Q296" s="24">
        <f t="shared" si="66"/>
        <v>0</v>
      </c>
      <c r="R296" s="715">
        <f t="shared" si="67"/>
        <v>0</v>
      </c>
      <c r="S296" s="360">
        <f t="shared" si="68"/>
        <v>0</v>
      </c>
    </row>
    <row r="297" spans="1:19">
      <c r="A297" s="158"/>
      <c r="B297" s="59"/>
      <c r="C297" s="24">
        <f t="shared" si="59"/>
        <v>1</v>
      </c>
      <c r="D297" s="719"/>
      <c r="E297" s="24">
        <f t="shared" si="60"/>
        <v>1</v>
      </c>
      <c r="F297" s="719"/>
      <c r="G297" s="24">
        <f t="shared" si="61"/>
        <v>1</v>
      </c>
      <c r="H297" s="719"/>
      <c r="I297" s="24">
        <f t="shared" si="62"/>
        <v>1</v>
      </c>
      <c r="J297" s="719"/>
      <c r="K297" s="24">
        <f t="shared" si="63"/>
        <v>1</v>
      </c>
      <c r="L297" s="719"/>
      <c r="M297" s="24">
        <f t="shared" si="64"/>
        <v>1</v>
      </c>
      <c r="N297" s="719"/>
      <c r="O297" s="24">
        <f t="shared" si="65"/>
        <v>1</v>
      </c>
      <c r="P297" s="719"/>
      <c r="Q297" s="24">
        <f t="shared" si="66"/>
        <v>0</v>
      </c>
      <c r="R297" s="715">
        <f t="shared" si="67"/>
        <v>0</v>
      </c>
      <c r="S297" s="360">
        <f t="shared" si="68"/>
        <v>0</v>
      </c>
    </row>
    <row r="298" spans="1:19">
      <c r="A298" s="158"/>
      <c r="B298" s="59"/>
      <c r="C298" s="24">
        <f t="shared" si="59"/>
        <v>1</v>
      </c>
      <c r="D298" s="719"/>
      <c r="E298" s="24">
        <f t="shared" si="60"/>
        <v>1</v>
      </c>
      <c r="F298" s="719"/>
      <c r="G298" s="24">
        <f t="shared" si="61"/>
        <v>1</v>
      </c>
      <c r="H298" s="719"/>
      <c r="I298" s="24">
        <f t="shared" si="62"/>
        <v>1</v>
      </c>
      <c r="J298" s="719"/>
      <c r="K298" s="24">
        <f t="shared" si="63"/>
        <v>1</v>
      </c>
      <c r="L298" s="719"/>
      <c r="M298" s="24">
        <f t="shared" si="64"/>
        <v>1</v>
      </c>
      <c r="N298" s="719"/>
      <c r="O298" s="24">
        <f t="shared" si="65"/>
        <v>1</v>
      </c>
      <c r="P298" s="719"/>
      <c r="Q298" s="24">
        <f t="shared" si="66"/>
        <v>0</v>
      </c>
      <c r="R298" s="715">
        <f t="shared" si="67"/>
        <v>0</v>
      </c>
      <c r="S298" s="360">
        <f t="shared" si="68"/>
        <v>0</v>
      </c>
    </row>
    <row r="299" spans="1:19">
      <c r="A299" s="158"/>
      <c r="B299" s="59"/>
      <c r="C299" s="24">
        <f t="shared" si="59"/>
        <v>1</v>
      </c>
      <c r="D299" s="719"/>
      <c r="E299" s="24">
        <f t="shared" si="60"/>
        <v>1</v>
      </c>
      <c r="F299" s="719"/>
      <c r="G299" s="24">
        <f t="shared" si="61"/>
        <v>1</v>
      </c>
      <c r="H299" s="719"/>
      <c r="I299" s="24">
        <f t="shared" si="62"/>
        <v>1</v>
      </c>
      <c r="J299" s="719"/>
      <c r="K299" s="24">
        <f t="shared" si="63"/>
        <v>1</v>
      </c>
      <c r="L299" s="719"/>
      <c r="M299" s="24">
        <f t="shared" si="64"/>
        <v>1</v>
      </c>
      <c r="N299" s="719"/>
      <c r="O299" s="24">
        <f t="shared" si="65"/>
        <v>1</v>
      </c>
      <c r="P299" s="719"/>
      <c r="Q299" s="24">
        <f t="shared" si="66"/>
        <v>0</v>
      </c>
      <c r="R299" s="715">
        <f t="shared" si="67"/>
        <v>0</v>
      </c>
      <c r="S299" s="360">
        <f t="shared" si="68"/>
        <v>0</v>
      </c>
    </row>
    <row r="300" spans="1:19">
      <c r="A300" s="158"/>
      <c r="B300" s="59"/>
      <c r="C300" s="24">
        <f t="shared" si="59"/>
        <v>1</v>
      </c>
      <c r="D300" s="719"/>
      <c r="E300" s="24">
        <f t="shared" si="60"/>
        <v>1</v>
      </c>
      <c r="F300" s="719"/>
      <c r="G300" s="24">
        <f t="shared" si="61"/>
        <v>1</v>
      </c>
      <c r="H300" s="719"/>
      <c r="I300" s="24">
        <f t="shared" si="62"/>
        <v>1</v>
      </c>
      <c r="J300" s="719"/>
      <c r="K300" s="24">
        <f t="shared" si="63"/>
        <v>1</v>
      </c>
      <c r="L300" s="719"/>
      <c r="M300" s="24">
        <f t="shared" si="64"/>
        <v>1</v>
      </c>
      <c r="N300" s="719"/>
      <c r="O300" s="24">
        <f t="shared" si="65"/>
        <v>1</v>
      </c>
      <c r="P300" s="719"/>
      <c r="Q300" s="24">
        <f t="shared" si="66"/>
        <v>0</v>
      </c>
      <c r="R300" s="715">
        <f t="shared" si="67"/>
        <v>0</v>
      </c>
      <c r="S300" s="360">
        <f t="shared" si="68"/>
        <v>0</v>
      </c>
    </row>
    <row r="301" spans="1:19">
      <c r="A301" s="158"/>
      <c r="B301" s="59"/>
      <c r="C301" s="24">
        <f t="shared" si="59"/>
        <v>1</v>
      </c>
      <c r="D301" s="719"/>
      <c r="E301" s="24">
        <f t="shared" si="60"/>
        <v>1</v>
      </c>
      <c r="F301" s="719"/>
      <c r="G301" s="24">
        <f t="shared" si="61"/>
        <v>1</v>
      </c>
      <c r="H301" s="719"/>
      <c r="I301" s="24">
        <f t="shared" si="62"/>
        <v>1</v>
      </c>
      <c r="J301" s="719"/>
      <c r="K301" s="24">
        <f t="shared" si="63"/>
        <v>1</v>
      </c>
      <c r="L301" s="719"/>
      <c r="M301" s="24">
        <f t="shared" si="64"/>
        <v>1</v>
      </c>
      <c r="N301" s="719"/>
      <c r="O301" s="24">
        <f t="shared" si="65"/>
        <v>1</v>
      </c>
      <c r="P301" s="719"/>
      <c r="Q301" s="24">
        <f t="shared" si="66"/>
        <v>0</v>
      </c>
      <c r="R301" s="715">
        <f t="shared" si="67"/>
        <v>0</v>
      </c>
      <c r="S301" s="360">
        <f t="shared" si="68"/>
        <v>0</v>
      </c>
    </row>
    <row r="302" spans="1:19">
      <c r="A302" s="158"/>
      <c r="B302" s="59"/>
      <c r="C302" s="24">
        <f t="shared" si="59"/>
        <v>1</v>
      </c>
      <c r="D302" s="719"/>
      <c r="E302" s="24">
        <f t="shared" si="60"/>
        <v>1</v>
      </c>
      <c r="F302" s="719"/>
      <c r="G302" s="24">
        <f t="shared" si="61"/>
        <v>1</v>
      </c>
      <c r="H302" s="719"/>
      <c r="I302" s="24">
        <f t="shared" si="62"/>
        <v>1</v>
      </c>
      <c r="J302" s="719"/>
      <c r="K302" s="24">
        <f t="shared" si="63"/>
        <v>1</v>
      </c>
      <c r="L302" s="719"/>
      <c r="M302" s="24">
        <f t="shared" si="64"/>
        <v>1</v>
      </c>
      <c r="N302" s="719"/>
      <c r="O302" s="24">
        <f t="shared" si="65"/>
        <v>1</v>
      </c>
      <c r="P302" s="719"/>
      <c r="Q302" s="24">
        <f t="shared" si="66"/>
        <v>0</v>
      </c>
      <c r="R302" s="715">
        <f t="shared" si="67"/>
        <v>0</v>
      </c>
      <c r="S302" s="360">
        <f t="shared" si="68"/>
        <v>0</v>
      </c>
    </row>
    <row r="303" spans="1:19">
      <c r="A303" s="158"/>
      <c r="B303" s="59"/>
      <c r="C303" s="24">
        <f t="shared" si="59"/>
        <v>1</v>
      </c>
      <c r="D303" s="719"/>
      <c r="E303" s="24">
        <f t="shared" si="60"/>
        <v>1</v>
      </c>
      <c r="F303" s="719"/>
      <c r="G303" s="24">
        <f t="shared" si="61"/>
        <v>1</v>
      </c>
      <c r="H303" s="719"/>
      <c r="I303" s="24">
        <f t="shared" si="62"/>
        <v>1</v>
      </c>
      <c r="J303" s="719"/>
      <c r="K303" s="24">
        <f t="shared" si="63"/>
        <v>1</v>
      </c>
      <c r="L303" s="719"/>
      <c r="M303" s="24">
        <f t="shared" si="64"/>
        <v>1</v>
      </c>
      <c r="N303" s="719"/>
      <c r="O303" s="24">
        <f t="shared" si="65"/>
        <v>1</v>
      </c>
      <c r="P303" s="719"/>
      <c r="Q303" s="24">
        <f t="shared" si="66"/>
        <v>0</v>
      </c>
      <c r="R303" s="715">
        <f t="shared" si="67"/>
        <v>0</v>
      </c>
      <c r="S303" s="360">
        <f t="shared" si="68"/>
        <v>0</v>
      </c>
    </row>
    <row r="304" spans="1:19">
      <c r="A304" s="158"/>
      <c r="B304" s="59"/>
      <c r="C304" s="24">
        <f t="shared" si="59"/>
        <v>1</v>
      </c>
      <c r="D304" s="719"/>
      <c r="E304" s="24">
        <f t="shared" si="60"/>
        <v>1</v>
      </c>
      <c r="F304" s="719"/>
      <c r="G304" s="24">
        <f t="shared" si="61"/>
        <v>1</v>
      </c>
      <c r="H304" s="719"/>
      <c r="I304" s="24">
        <f t="shared" si="62"/>
        <v>1</v>
      </c>
      <c r="J304" s="719"/>
      <c r="K304" s="24">
        <f t="shared" si="63"/>
        <v>1</v>
      </c>
      <c r="L304" s="719"/>
      <c r="M304" s="24">
        <f t="shared" si="64"/>
        <v>1</v>
      </c>
      <c r="N304" s="719"/>
      <c r="O304" s="24">
        <f t="shared" si="65"/>
        <v>1</v>
      </c>
      <c r="P304" s="719"/>
      <c r="Q304" s="24">
        <f t="shared" si="66"/>
        <v>0</v>
      </c>
      <c r="R304" s="715">
        <f t="shared" si="67"/>
        <v>0</v>
      </c>
      <c r="S304" s="360">
        <f t="shared" si="68"/>
        <v>0</v>
      </c>
    </row>
    <row r="305" spans="1:19">
      <c r="A305" s="158"/>
      <c r="B305" s="59"/>
      <c r="C305" s="24">
        <f t="shared" si="59"/>
        <v>1</v>
      </c>
      <c r="D305" s="719"/>
      <c r="E305" s="24">
        <f t="shared" si="60"/>
        <v>1</v>
      </c>
      <c r="F305" s="719"/>
      <c r="G305" s="24">
        <f t="shared" si="61"/>
        <v>1</v>
      </c>
      <c r="H305" s="719"/>
      <c r="I305" s="24">
        <f t="shared" si="62"/>
        <v>1</v>
      </c>
      <c r="J305" s="719"/>
      <c r="K305" s="24">
        <f t="shared" si="63"/>
        <v>1</v>
      </c>
      <c r="L305" s="719"/>
      <c r="M305" s="24">
        <f t="shared" si="64"/>
        <v>1</v>
      </c>
      <c r="N305" s="719"/>
      <c r="O305" s="24">
        <f t="shared" si="65"/>
        <v>1</v>
      </c>
      <c r="P305" s="719"/>
      <c r="Q305" s="24">
        <f t="shared" si="66"/>
        <v>0</v>
      </c>
      <c r="R305" s="715">
        <f t="shared" si="67"/>
        <v>0</v>
      </c>
      <c r="S305" s="360">
        <f t="shared" si="68"/>
        <v>0</v>
      </c>
    </row>
    <row r="306" spans="1:19">
      <c r="A306" s="158"/>
      <c r="B306" s="59"/>
      <c r="C306" s="24">
        <f t="shared" si="59"/>
        <v>1</v>
      </c>
      <c r="D306" s="719"/>
      <c r="E306" s="24">
        <f t="shared" si="60"/>
        <v>1</v>
      </c>
      <c r="F306" s="719"/>
      <c r="G306" s="24">
        <f t="shared" si="61"/>
        <v>1</v>
      </c>
      <c r="H306" s="719"/>
      <c r="I306" s="24">
        <f t="shared" si="62"/>
        <v>1</v>
      </c>
      <c r="J306" s="719"/>
      <c r="K306" s="24">
        <f t="shared" si="63"/>
        <v>1</v>
      </c>
      <c r="L306" s="719"/>
      <c r="M306" s="24">
        <f t="shared" si="64"/>
        <v>1</v>
      </c>
      <c r="N306" s="719"/>
      <c r="O306" s="24">
        <f t="shared" si="65"/>
        <v>1</v>
      </c>
      <c r="P306" s="719"/>
      <c r="Q306" s="24">
        <f t="shared" si="66"/>
        <v>0</v>
      </c>
      <c r="R306" s="715">
        <f t="shared" si="67"/>
        <v>0</v>
      </c>
      <c r="S306" s="360">
        <f t="shared" si="68"/>
        <v>0</v>
      </c>
    </row>
    <row r="307" spans="1:19">
      <c r="A307" s="158"/>
      <c r="B307" s="59"/>
      <c r="C307" s="24">
        <f t="shared" si="59"/>
        <v>1</v>
      </c>
      <c r="D307" s="719"/>
      <c r="E307" s="24">
        <f t="shared" si="60"/>
        <v>1</v>
      </c>
      <c r="F307" s="719"/>
      <c r="G307" s="24">
        <f t="shared" si="61"/>
        <v>1</v>
      </c>
      <c r="H307" s="719"/>
      <c r="I307" s="24">
        <f t="shared" si="62"/>
        <v>1</v>
      </c>
      <c r="J307" s="719"/>
      <c r="K307" s="24">
        <f t="shared" si="63"/>
        <v>1</v>
      </c>
      <c r="L307" s="719"/>
      <c r="M307" s="24">
        <f t="shared" si="64"/>
        <v>1</v>
      </c>
      <c r="N307" s="719"/>
      <c r="O307" s="24">
        <f t="shared" si="65"/>
        <v>1</v>
      </c>
      <c r="P307" s="719"/>
      <c r="Q307" s="24">
        <f t="shared" si="66"/>
        <v>0</v>
      </c>
      <c r="R307" s="715">
        <f t="shared" si="67"/>
        <v>0</v>
      </c>
      <c r="S307" s="360">
        <f t="shared" si="68"/>
        <v>0</v>
      </c>
    </row>
    <row r="308" spans="1:19">
      <c r="A308" s="158"/>
      <c r="B308" s="59"/>
      <c r="C308" s="24">
        <f t="shared" si="59"/>
        <v>1</v>
      </c>
      <c r="D308" s="719"/>
      <c r="E308" s="24">
        <f t="shared" si="60"/>
        <v>1</v>
      </c>
      <c r="F308" s="719"/>
      <c r="G308" s="24">
        <f t="shared" si="61"/>
        <v>1</v>
      </c>
      <c r="H308" s="719"/>
      <c r="I308" s="24">
        <f t="shared" si="62"/>
        <v>1</v>
      </c>
      <c r="J308" s="719"/>
      <c r="K308" s="24">
        <f t="shared" si="63"/>
        <v>1</v>
      </c>
      <c r="L308" s="719"/>
      <c r="M308" s="24">
        <f t="shared" si="64"/>
        <v>1</v>
      </c>
      <c r="N308" s="719"/>
      <c r="O308" s="24">
        <f t="shared" si="65"/>
        <v>1</v>
      </c>
      <c r="P308" s="719"/>
      <c r="Q308" s="24">
        <f t="shared" si="66"/>
        <v>0</v>
      </c>
      <c r="R308" s="715">
        <f t="shared" si="67"/>
        <v>0</v>
      </c>
      <c r="S308" s="360">
        <f t="shared" si="68"/>
        <v>0</v>
      </c>
    </row>
    <row r="309" spans="1:19">
      <c r="A309" s="158"/>
      <c r="B309" s="59"/>
      <c r="C309" s="24">
        <f t="shared" si="59"/>
        <v>1</v>
      </c>
      <c r="D309" s="719"/>
      <c r="E309" s="24">
        <f t="shared" si="60"/>
        <v>1</v>
      </c>
      <c r="F309" s="719"/>
      <c r="G309" s="24">
        <f t="shared" si="61"/>
        <v>1</v>
      </c>
      <c r="H309" s="719"/>
      <c r="I309" s="24">
        <f t="shared" si="62"/>
        <v>1</v>
      </c>
      <c r="J309" s="719"/>
      <c r="K309" s="24">
        <f t="shared" si="63"/>
        <v>1</v>
      </c>
      <c r="L309" s="719"/>
      <c r="M309" s="24">
        <f t="shared" si="64"/>
        <v>1</v>
      </c>
      <c r="N309" s="719"/>
      <c r="O309" s="24">
        <f t="shared" si="65"/>
        <v>1</v>
      </c>
      <c r="P309" s="719"/>
      <c r="Q309" s="24">
        <f t="shared" si="66"/>
        <v>0</v>
      </c>
      <c r="R309" s="715">
        <f t="shared" si="67"/>
        <v>0</v>
      </c>
      <c r="S309" s="360">
        <f t="shared" si="68"/>
        <v>0</v>
      </c>
    </row>
    <row r="310" spans="1:19">
      <c r="A310" s="158"/>
      <c r="B310" s="59"/>
      <c r="C310" s="24">
        <f t="shared" si="59"/>
        <v>1</v>
      </c>
      <c r="D310" s="719"/>
      <c r="E310" s="24">
        <f t="shared" si="60"/>
        <v>1</v>
      </c>
      <c r="F310" s="719"/>
      <c r="G310" s="24">
        <f t="shared" si="61"/>
        <v>1</v>
      </c>
      <c r="H310" s="719"/>
      <c r="I310" s="24">
        <f t="shared" si="62"/>
        <v>1</v>
      </c>
      <c r="J310" s="719"/>
      <c r="K310" s="24">
        <f t="shared" si="63"/>
        <v>1</v>
      </c>
      <c r="L310" s="719"/>
      <c r="M310" s="24">
        <f t="shared" si="64"/>
        <v>1</v>
      </c>
      <c r="N310" s="719"/>
      <c r="O310" s="24">
        <f t="shared" si="65"/>
        <v>1</v>
      </c>
      <c r="P310" s="719"/>
      <c r="Q310" s="24">
        <f t="shared" si="66"/>
        <v>0</v>
      </c>
      <c r="R310" s="715">
        <f t="shared" si="67"/>
        <v>0</v>
      </c>
      <c r="S310" s="360">
        <f t="shared" si="68"/>
        <v>0</v>
      </c>
    </row>
    <row r="311" spans="1:19">
      <c r="A311" s="158"/>
      <c r="B311" s="59"/>
      <c r="C311" s="24">
        <f t="shared" si="59"/>
        <v>1</v>
      </c>
      <c r="D311" s="719"/>
      <c r="E311" s="24">
        <f t="shared" si="60"/>
        <v>1</v>
      </c>
      <c r="F311" s="719"/>
      <c r="G311" s="24">
        <f t="shared" si="61"/>
        <v>1</v>
      </c>
      <c r="H311" s="719"/>
      <c r="I311" s="24">
        <f t="shared" si="62"/>
        <v>1</v>
      </c>
      <c r="J311" s="719"/>
      <c r="K311" s="24">
        <f t="shared" si="63"/>
        <v>1</v>
      </c>
      <c r="L311" s="719"/>
      <c r="M311" s="24">
        <f t="shared" si="64"/>
        <v>1</v>
      </c>
      <c r="N311" s="719"/>
      <c r="O311" s="24">
        <f t="shared" si="65"/>
        <v>1</v>
      </c>
      <c r="P311" s="719"/>
      <c r="Q311" s="24">
        <f t="shared" si="66"/>
        <v>0</v>
      </c>
      <c r="R311" s="715">
        <f t="shared" si="67"/>
        <v>0</v>
      </c>
      <c r="S311" s="360">
        <f t="shared" si="68"/>
        <v>0</v>
      </c>
    </row>
    <row r="312" spans="1:19">
      <c r="A312" s="158"/>
      <c r="B312" s="59"/>
      <c r="C312" s="24">
        <f t="shared" si="59"/>
        <v>1</v>
      </c>
      <c r="D312" s="719"/>
      <c r="E312" s="24">
        <f t="shared" si="60"/>
        <v>1</v>
      </c>
      <c r="F312" s="719"/>
      <c r="G312" s="24">
        <f t="shared" si="61"/>
        <v>1</v>
      </c>
      <c r="H312" s="719"/>
      <c r="I312" s="24">
        <f t="shared" si="62"/>
        <v>1</v>
      </c>
      <c r="J312" s="719"/>
      <c r="K312" s="24">
        <f t="shared" si="63"/>
        <v>1</v>
      </c>
      <c r="L312" s="719"/>
      <c r="M312" s="24">
        <f t="shared" si="64"/>
        <v>1</v>
      </c>
      <c r="N312" s="719"/>
      <c r="O312" s="24">
        <f t="shared" si="65"/>
        <v>1</v>
      </c>
      <c r="P312" s="719"/>
      <c r="Q312" s="24">
        <f t="shared" si="66"/>
        <v>0</v>
      </c>
      <c r="R312" s="715">
        <f t="shared" si="67"/>
        <v>0</v>
      </c>
      <c r="S312" s="360">
        <f t="shared" si="68"/>
        <v>0</v>
      </c>
    </row>
    <row r="313" spans="1:19">
      <c r="A313" s="158"/>
      <c r="B313" s="59"/>
      <c r="C313" s="24">
        <f t="shared" si="59"/>
        <v>1</v>
      </c>
      <c r="D313" s="719"/>
      <c r="E313" s="24">
        <f t="shared" si="60"/>
        <v>1</v>
      </c>
      <c r="F313" s="719"/>
      <c r="G313" s="24">
        <f t="shared" si="61"/>
        <v>1</v>
      </c>
      <c r="H313" s="719"/>
      <c r="I313" s="24">
        <f t="shared" si="62"/>
        <v>1</v>
      </c>
      <c r="J313" s="719"/>
      <c r="K313" s="24">
        <f t="shared" si="63"/>
        <v>1</v>
      </c>
      <c r="L313" s="719"/>
      <c r="M313" s="24">
        <f t="shared" si="64"/>
        <v>1</v>
      </c>
      <c r="N313" s="719"/>
      <c r="O313" s="24">
        <f t="shared" si="65"/>
        <v>1</v>
      </c>
      <c r="P313" s="719"/>
      <c r="Q313" s="24">
        <f t="shared" si="66"/>
        <v>0</v>
      </c>
      <c r="R313" s="715">
        <f t="shared" si="67"/>
        <v>0</v>
      </c>
      <c r="S313" s="360">
        <f t="shared" si="68"/>
        <v>0</v>
      </c>
    </row>
    <row r="314" spans="1:19">
      <c r="A314" s="158"/>
      <c r="B314" s="59"/>
      <c r="C314" s="24">
        <f t="shared" si="59"/>
        <v>1</v>
      </c>
      <c r="D314" s="719"/>
      <c r="E314" s="24">
        <f t="shared" si="60"/>
        <v>1</v>
      </c>
      <c r="F314" s="719"/>
      <c r="G314" s="24">
        <f t="shared" si="61"/>
        <v>1</v>
      </c>
      <c r="H314" s="719"/>
      <c r="I314" s="24">
        <f t="shared" si="62"/>
        <v>1</v>
      </c>
      <c r="J314" s="719"/>
      <c r="K314" s="24">
        <f t="shared" si="63"/>
        <v>1</v>
      </c>
      <c r="L314" s="719"/>
      <c r="M314" s="24">
        <f t="shared" si="64"/>
        <v>1</v>
      </c>
      <c r="N314" s="719"/>
      <c r="O314" s="24">
        <f t="shared" si="65"/>
        <v>1</v>
      </c>
      <c r="P314" s="719"/>
      <c r="Q314" s="24">
        <f t="shared" si="66"/>
        <v>0</v>
      </c>
      <c r="R314" s="715">
        <f t="shared" si="67"/>
        <v>0</v>
      </c>
      <c r="S314" s="360">
        <f t="shared" si="68"/>
        <v>0</v>
      </c>
    </row>
    <row r="315" spans="1:19">
      <c r="A315" s="158"/>
      <c r="B315" s="59"/>
      <c r="C315" s="24">
        <f t="shared" si="59"/>
        <v>1</v>
      </c>
      <c r="D315" s="719"/>
      <c r="E315" s="24">
        <f t="shared" si="60"/>
        <v>1</v>
      </c>
      <c r="F315" s="719"/>
      <c r="G315" s="24">
        <f t="shared" si="61"/>
        <v>1</v>
      </c>
      <c r="H315" s="719"/>
      <c r="I315" s="24">
        <f t="shared" si="62"/>
        <v>1</v>
      </c>
      <c r="J315" s="719"/>
      <c r="K315" s="24">
        <f t="shared" si="63"/>
        <v>1</v>
      </c>
      <c r="L315" s="719"/>
      <c r="M315" s="24">
        <f t="shared" si="64"/>
        <v>1</v>
      </c>
      <c r="N315" s="719"/>
      <c r="O315" s="24">
        <f t="shared" si="65"/>
        <v>1</v>
      </c>
      <c r="P315" s="719"/>
      <c r="Q315" s="24">
        <f t="shared" si="66"/>
        <v>0</v>
      </c>
      <c r="R315" s="715">
        <f t="shared" si="67"/>
        <v>0</v>
      </c>
      <c r="S315" s="360">
        <f t="shared" si="68"/>
        <v>0</v>
      </c>
    </row>
    <row r="316" spans="1:19">
      <c r="A316" s="158"/>
      <c r="B316" s="59"/>
      <c r="C316" s="24">
        <f t="shared" si="59"/>
        <v>1</v>
      </c>
      <c r="D316" s="719"/>
      <c r="E316" s="24">
        <f t="shared" si="60"/>
        <v>1</v>
      </c>
      <c r="F316" s="719"/>
      <c r="G316" s="24">
        <f t="shared" si="61"/>
        <v>1</v>
      </c>
      <c r="H316" s="719"/>
      <c r="I316" s="24">
        <f t="shared" si="62"/>
        <v>1</v>
      </c>
      <c r="J316" s="719"/>
      <c r="K316" s="24">
        <f t="shared" si="63"/>
        <v>1</v>
      </c>
      <c r="L316" s="719"/>
      <c r="M316" s="24">
        <f t="shared" si="64"/>
        <v>1</v>
      </c>
      <c r="N316" s="719"/>
      <c r="O316" s="24">
        <f t="shared" si="65"/>
        <v>1</v>
      </c>
      <c r="P316" s="719"/>
      <c r="Q316" s="24">
        <f t="shared" si="66"/>
        <v>0</v>
      </c>
      <c r="R316" s="715">
        <f t="shared" si="67"/>
        <v>0</v>
      </c>
      <c r="S316" s="360">
        <f t="shared" si="68"/>
        <v>0</v>
      </c>
    </row>
    <row r="317" spans="1:19">
      <c r="A317" s="158"/>
      <c r="B317" s="59"/>
      <c r="C317" s="24">
        <f t="shared" si="59"/>
        <v>1</v>
      </c>
      <c r="D317" s="719"/>
      <c r="E317" s="24">
        <f t="shared" si="60"/>
        <v>1</v>
      </c>
      <c r="F317" s="719"/>
      <c r="G317" s="24">
        <f t="shared" si="61"/>
        <v>1</v>
      </c>
      <c r="H317" s="719"/>
      <c r="I317" s="24">
        <f t="shared" si="62"/>
        <v>1</v>
      </c>
      <c r="J317" s="719"/>
      <c r="K317" s="24">
        <f t="shared" si="63"/>
        <v>1</v>
      </c>
      <c r="L317" s="719"/>
      <c r="M317" s="24">
        <f t="shared" si="64"/>
        <v>1</v>
      </c>
      <c r="N317" s="719"/>
      <c r="O317" s="24">
        <f t="shared" si="65"/>
        <v>1</v>
      </c>
      <c r="P317" s="719"/>
      <c r="Q317" s="24">
        <f t="shared" si="66"/>
        <v>0</v>
      </c>
      <c r="R317" s="715">
        <f t="shared" si="67"/>
        <v>0</v>
      </c>
      <c r="S317" s="360">
        <f t="shared" si="68"/>
        <v>0</v>
      </c>
    </row>
    <row r="318" spans="1:19">
      <c r="A318" s="158"/>
      <c r="B318" s="59"/>
      <c r="C318" s="24">
        <f t="shared" si="59"/>
        <v>1</v>
      </c>
      <c r="D318" s="719"/>
      <c r="E318" s="24">
        <f t="shared" si="60"/>
        <v>1</v>
      </c>
      <c r="F318" s="719"/>
      <c r="G318" s="24">
        <f t="shared" si="61"/>
        <v>1</v>
      </c>
      <c r="H318" s="719"/>
      <c r="I318" s="24">
        <f t="shared" si="62"/>
        <v>1</v>
      </c>
      <c r="J318" s="719"/>
      <c r="K318" s="24">
        <f t="shared" si="63"/>
        <v>1</v>
      </c>
      <c r="L318" s="719"/>
      <c r="M318" s="24">
        <f t="shared" si="64"/>
        <v>1</v>
      </c>
      <c r="N318" s="719"/>
      <c r="O318" s="24">
        <f t="shared" si="65"/>
        <v>1</v>
      </c>
      <c r="P318" s="719"/>
      <c r="Q318" s="24">
        <f t="shared" si="66"/>
        <v>0</v>
      </c>
      <c r="R318" s="715">
        <f t="shared" si="67"/>
        <v>0</v>
      </c>
      <c r="S318" s="360">
        <f t="shared" si="68"/>
        <v>0</v>
      </c>
    </row>
    <row r="319" spans="1:19">
      <c r="A319" s="158"/>
      <c r="B319" s="59"/>
      <c r="C319" s="24">
        <f t="shared" si="59"/>
        <v>1</v>
      </c>
      <c r="D319" s="719"/>
      <c r="E319" s="24">
        <f t="shared" si="60"/>
        <v>1</v>
      </c>
      <c r="F319" s="719"/>
      <c r="G319" s="24">
        <f t="shared" si="61"/>
        <v>1</v>
      </c>
      <c r="H319" s="719"/>
      <c r="I319" s="24">
        <f t="shared" si="62"/>
        <v>1</v>
      </c>
      <c r="J319" s="719"/>
      <c r="K319" s="24">
        <f t="shared" si="63"/>
        <v>1</v>
      </c>
      <c r="L319" s="719"/>
      <c r="M319" s="24">
        <f t="shared" si="64"/>
        <v>1</v>
      </c>
      <c r="N319" s="719"/>
      <c r="O319" s="24">
        <f t="shared" si="65"/>
        <v>1</v>
      </c>
      <c r="P319" s="719"/>
      <c r="Q319" s="24">
        <f t="shared" si="66"/>
        <v>0</v>
      </c>
      <c r="R319" s="715">
        <f t="shared" si="67"/>
        <v>0</v>
      </c>
      <c r="S319" s="360">
        <f t="shared" si="68"/>
        <v>0</v>
      </c>
    </row>
    <row r="320" spans="1:19">
      <c r="A320" s="158"/>
      <c r="B320" s="59"/>
      <c r="C320" s="24">
        <f t="shared" si="59"/>
        <v>1</v>
      </c>
      <c r="D320" s="719"/>
      <c r="E320" s="24">
        <f t="shared" si="60"/>
        <v>1</v>
      </c>
      <c r="F320" s="719"/>
      <c r="G320" s="24">
        <f t="shared" si="61"/>
        <v>1</v>
      </c>
      <c r="H320" s="719"/>
      <c r="I320" s="24">
        <f t="shared" si="62"/>
        <v>1</v>
      </c>
      <c r="J320" s="719"/>
      <c r="K320" s="24">
        <f t="shared" si="63"/>
        <v>1</v>
      </c>
      <c r="L320" s="719"/>
      <c r="M320" s="24">
        <f t="shared" si="64"/>
        <v>1</v>
      </c>
      <c r="N320" s="719"/>
      <c r="O320" s="24">
        <f t="shared" si="65"/>
        <v>1</v>
      </c>
      <c r="P320" s="719"/>
      <c r="Q320" s="24">
        <f t="shared" si="66"/>
        <v>0</v>
      </c>
      <c r="R320" s="715">
        <f t="shared" si="67"/>
        <v>0</v>
      </c>
      <c r="S320" s="360">
        <f t="shared" si="68"/>
        <v>0</v>
      </c>
    </row>
    <row r="321" spans="1:19">
      <c r="A321" s="158"/>
      <c r="B321" s="59"/>
      <c r="C321" s="24">
        <f t="shared" si="59"/>
        <v>1</v>
      </c>
      <c r="D321" s="719"/>
      <c r="E321" s="24">
        <f t="shared" si="60"/>
        <v>1</v>
      </c>
      <c r="F321" s="719"/>
      <c r="G321" s="24">
        <f t="shared" si="61"/>
        <v>1</v>
      </c>
      <c r="H321" s="719"/>
      <c r="I321" s="24">
        <f t="shared" si="62"/>
        <v>1</v>
      </c>
      <c r="J321" s="719"/>
      <c r="K321" s="24">
        <f t="shared" si="63"/>
        <v>1</v>
      </c>
      <c r="L321" s="719"/>
      <c r="M321" s="24">
        <f t="shared" si="64"/>
        <v>1</v>
      </c>
      <c r="N321" s="719"/>
      <c r="O321" s="24">
        <f t="shared" si="65"/>
        <v>1</v>
      </c>
      <c r="P321" s="719"/>
      <c r="Q321" s="24">
        <f t="shared" si="66"/>
        <v>0</v>
      </c>
      <c r="R321" s="715">
        <f t="shared" si="67"/>
        <v>0</v>
      </c>
      <c r="S321" s="360">
        <f t="shared" ref="S321:S384" si="69">ROUND(R321*B321/10000,0)</f>
        <v>0</v>
      </c>
    </row>
    <row r="322" spans="1:19">
      <c r="A322" s="158"/>
      <c r="B322" s="59"/>
      <c r="C322" s="24">
        <f t="shared" si="59"/>
        <v>1</v>
      </c>
      <c r="D322" s="719"/>
      <c r="E322" s="24">
        <f t="shared" si="60"/>
        <v>1</v>
      </c>
      <c r="F322" s="719"/>
      <c r="G322" s="24">
        <f t="shared" si="61"/>
        <v>1</v>
      </c>
      <c r="H322" s="719"/>
      <c r="I322" s="24">
        <f t="shared" si="62"/>
        <v>1</v>
      </c>
      <c r="J322" s="719"/>
      <c r="K322" s="24">
        <f t="shared" si="63"/>
        <v>1</v>
      </c>
      <c r="L322" s="719"/>
      <c r="M322" s="24">
        <f t="shared" si="64"/>
        <v>1</v>
      </c>
      <c r="N322" s="719"/>
      <c r="O322" s="24">
        <f t="shared" si="65"/>
        <v>1</v>
      </c>
      <c r="P322" s="719"/>
      <c r="Q322" s="24">
        <f t="shared" si="66"/>
        <v>0</v>
      </c>
      <c r="R322" s="715">
        <f t="shared" si="67"/>
        <v>0</v>
      </c>
      <c r="S322" s="360">
        <f t="shared" si="69"/>
        <v>0</v>
      </c>
    </row>
    <row r="323" spans="1:19">
      <c r="A323" s="158"/>
      <c r="B323" s="59"/>
      <c r="C323" s="24">
        <f t="shared" si="59"/>
        <v>1</v>
      </c>
      <c r="D323" s="719"/>
      <c r="E323" s="24">
        <f t="shared" si="60"/>
        <v>1</v>
      </c>
      <c r="F323" s="719"/>
      <c r="G323" s="24">
        <f t="shared" si="61"/>
        <v>1</v>
      </c>
      <c r="H323" s="719"/>
      <c r="I323" s="24">
        <f t="shared" si="62"/>
        <v>1</v>
      </c>
      <c r="J323" s="719"/>
      <c r="K323" s="24">
        <f t="shared" si="63"/>
        <v>1</v>
      </c>
      <c r="L323" s="719"/>
      <c r="M323" s="24">
        <f t="shared" si="64"/>
        <v>1</v>
      </c>
      <c r="N323" s="719"/>
      <c r="O323" s="24">
        <f t="shared" si="65"/>
        <v>1</v>
      </c>
      <c r="P323" s="719"/>
      <c r="Q323" s="24">
        <f t="shared" si="66"/>
        <v>0</v>
      </c>
      <c r="R323" s="715">
        <f t="shared" si="67"/>
        <v>0</v>
      </c>
      <c r="S323" s="360">
        <f t="shared" si="69"/>
        <v>0</v>
      </c>
    </row>
    <row r="324" spans="1:19">
      <c r="A324" s="158"/>
      <c r="B324" s="59"/>
      <c r="C324" s="24">
        <f t="shared" si="59"/>
        <v>1</v>
      </c>
      <c r="D324" s="719"/>
      <c r="E324" s="24">
        <f t="shared" si="60"/>
        <v>1</v>
      </c>
      <c r="F324" s="719"/>
      <c r="G324" s="24">
        <f t="shared" si="61"/>
        <v>1</v>
      </c>
      <c r="H324" s="719"/>
      <c r="I324" s="24">
        <f t="shared" si="62"/>
        <v>1</v>
      </c>
      <c r="J324" s="719"/>
      <c r="K324" s="24">
        <f t="shared" si="63"/>
        <v>1</v>
      </c>
      <c r="L324" s="719"/>
      <c r="M324" s="24">
        <f t="shared" si="64"/>
        <v>1</v>
      </c>
      <c r="N324" s="719"/>
      <c r="O324" s="24">
        <f t="shared" si="65"/>
        <v>1</v>
      </c>
      <c r="P324" s="719"/>
      <c r="Q324" s="24">
        <f t="shared" si="66"/>
        <v>0</v>
      </c>
      <c r="R324" s="715">
        <f t="shared" si="67"/>
        <v>0</v>
      </c>
      <c r="S324" s="360">
        <f t="shared" si="69"/>
        <v>0</v>
      </c>
    </row>
    <row r="325" spans="1:19">
      <c r="A325" s="158"/>
      <c r="B325" s="59"/>
      <c r="C325" s="24">
        <f t="shared" si="59"/>
        <v>1</v>
      </c>
      <c r="D325" s="719"/>
      <c r="E325" s="24">
        <f t="shared" si="60"/>
        <v>1</v>
      </c>
      <c r="F325" s="719"/>
      <c r="G325" s="24">
        <f t="shared" si="61"/>
        <v>1</v>
      </c>
      <c r="H325" s="719"/>
      <c r="I325" s="24">
        <f t="shared" si="62"/>
        <v>1</v>
      </c>
      <c r="J325" s="719"/>
      <c r="K325" s="24">
        <f t="shared" si="63"/>
        <v>1</v>
      </c>
      <c r="L325" s="719"/>
      <c r="M325" s="24">
        <f t="shared" si="64"/>
        <v>1</v>
      </c>
      <c r="N325" s="719"/>
      <c r="O325" s="24">
        <f t="shared" si="65"/>
        <v>1</v>
      </c>
      <c r="P325" s="719"/>
      <c r="Q325" s="24">
        <f t="shared" si="66"/>
        <v>0</v>
      </c>
      <c r="R325" s="715">
        <f t="shared" si="67"/>
        <v>0</v>
      </c>
      <c r="S325" s="360">
        <f t="shared" si="69"/>
        <v>0</v>
      </c>
    </row>
    <row r="326" spans="1:19">
      <c r="A326" s="158"/>
      <c r="B326" s="59"/>
      <c r="C326" s="24">
        <f t="shared" si="59"/>
        <v>1</v>
      </c>
      <c r="D326" s="719"/>
      <c r="E326" s="24">
        <f t="shared" si="60"/>
        <v>1</v>
      </c>
      <c r="F326" s="719"/>
      <c r="G326" s="24">
        <f t="shared" si="61"/>
        <v>1</v>
      </c>
      <c r="H326" s="719"/>
      <c r="I326" s="24">
        <f t="shared" si="62"/>
        <v>1</v>
      </c>
      <c r="J326" s="719"/>
      <c r="K326" s="24">
        <f t="shared" si="63"/>
        <v>1</v>
      </c>
      <c r="L326" s="719"/>
      <c r="M326" s="24">
        <f t="shared" si="64"/>
        <v>1</v>
      </c>
      <c r="N326" s="719"/>
      <c r="O326" s="24">
        <f t="shared" si="65"/>
        <v>1</v>
      </c>
      <c r="P326" s="719"/>
      <c r="Q326" s="24">
        <f t="shared" si="66"/>
        <v>0</v>
      </c>
      <c r="R326" s="715">
        <f t="shared" si="67"/>
        <v>0</v>
      </c>
      <c r="S326" s="360">
        <f t="shared" si="69"/>
        <v>0</v>
      </c>
    </row>
    <row r="327" spans="1:19">
      <c r="A327" s="158"/>
      <c r="B327" s="59"/>
      <c r="C327" s="24">
        <f t="shared" si="59"/>
        <v>1</v>
      </c>
      <c r="D327" s="719"/>
      <c r="E327" s="24">
        <f t="shared" si="60"/>
        <v>1</v>
      </c>
      <c r="F327" s="719"/>
      <c r="G327" s="24">
        <f t="shared" si="61"/>
        <v>1</v>
      </c>
      <c r="H327" s="719"/>
      <c r="I327" s="24">
        <f t="shared" si="62"/>
        <v>1</v>
      </c>
      <c r="J327" s="719"/>
      <c r="K327" s="24">
        <f t="shared" si="63"/>
        <v>1</v>
      </c>
      <c r="L327" s="719"/>
      <c r="M327" s="24">
        <f t="shared" si="64"/>
        <v>1</v>
      </c>
      <c r="N327" s="719"/>
      <c r="O327" s="24">
        <f t="shared" si="65"/>
        <v>1</v>
      </c>
      <c r="P327" s="719"/>
      <c r="Q327" s="24">
        <f t="shared" si="66"/>
        <v>0</v>
      </c>
      <c r="R327" s="715">
        <f t="shared" si="67"/>
        <v>0</v>
      </c>
      <c r="S327" s="360">
        <f t="shared" si="69"/>
        <v>0</v>
      </c>
    </row>
    <row r="328" spans="1:19">
      <c r="A328" s="158"/>
      <c r="B328" s="59"/>
      <c r="C328" s="24">
        <f t="shared" si="59"/>
        <v>1</v>
      </c>
      <c r="D328" s="719"/>
      <c r="E328" s="24">
        <f t="shared" si="60"/>
        <v>1</v>
      </c>
      <c r="F328" s="719"/>
      <c r="G328" s="24">
        <f t="shared" si="61"/>
        <v>1</v>
      </c>
      <c r="H328" s="719"/>
      <c r="I328" s="24">
        <f t="shared" si="62"/>
        <v>1</v>
      </c>
      <c r="J328" s="719"/>
      <c r="K328" s="24">
        <f t="shared" si="63"/>
        <v>1</v>
      </c>
      <c r="L328" s="719"/>
      <c r="M328" s="24">
        <f t="shared" si="64"/>
        <v>1</v>
      </c>
      <c r="N328" s="719"/>
      <c r="O328" s="24">
        <f t="shared" si="65"/>
        <v>1</v>
      </c>
      <c r="P328" s="719"/>
      <c r="Q328" s="24">
        <f t="shared" si="66"/>
        <v>0</v>
      </c>
      <c r="R328" s="715">
        <f t="shared" si="67"/>
        <v>0</v>
      </c>
      <c r="S328" s="360">
        <f t="shared" si="69"/>
        <v>0</v>
      </c>
    </row>
    <row r="329" spans="1:19">
      <c r="A329" s="158"/>
      <c r="B329" s="59"/>
      <c r="C329" s="24">
        <f t="shared" si="59"/>
        <v>1</v>
      </c>
      <c r="D329" s="719"/>
      <c r="E329" s="24">
        <f t="shared" si="60"/>
        <v>1</v>
      </c>
      <c r="F329" s="719"/>
      <c r="G329" s="24">
        <f t="shared" si="61"/>
        <v>1</v>
      </c>
      <c r="H329" s="719"/>
      <c r="I329" s="24">
        <f t="shared" si="62"/>
        <v>1</v>
      </c>
      <c r="J329" s="719"/>
      <c r="K329" s="24">
        <f t="shared" si="63"/>
        <v>1</v>
      </c>
      <c r="L329" s="719"/>
      <c r="M329" s="24">
        <f t="shared" si="64"/>
        <v>1</v>
      </c>
      <c r="N329" s="719"/>
      <c r="O329" s="24">
        <f t="shared" si="65"/>
        <v>1</v>
      </c>
      <c r="P329" s="719"/>
      <c r="Q329" s="24">
        <f t="shared" si="66"/>
        <v>0</v>
      </c>
      <c r="R329" s="715">
        <f t="shared" si="67"/>
        <v>0</v>
      </c>
      <c r="S329" s="360">
        <f t="shared" si="69"/>
        <v>0</v>
      </c>
    </row>
    <row r="330" spans="1:19">
      <c r="A330" s="158"/>
      <c r="B330" s="59"/>
      <c r="C330" s="24">
        <f t="shared" si="59"/>
        <v>1</v>
      </c>
      <c r="D330" s="719"/>
      <c r="E330" s="24">
        <f t="shared" si="60"/>
        <v>1</v>
      </c>
      <c r="F330" s="719"/>
      <c r="G330" s="24">
        <f t="shared" si="61"/>
        <v>1</v>
      </c>
      <c r="H330" s="719"/>
      <c r="I330" s="24">
        <f t="shared" si="62"/>
        <v>1</v>
      </c>
      <c r="J330" s="719"/>
      <c r="K330" s="24">
        <f t="shared" si="63"/>
        <v>1</v>
      </c>
      <c r="L330" s="719"/>
      <c r="M330" s="24">
        <f t="shared" si="64"/>
        <v>1</v>
      </c>
      <c r="N330" s="719"/>
      <c r="O330" s="24">
        <f t="shared" si="65"/>
        <v>1</v>
      </c>
      <c r="P330" s="719"/>
      <c r="Q330" s="24">
        <f t="shared" si="66"/>
        <v>0</v>
      </c>
      <c r="R330" s="715">
        <f t="shared" si="67"/>
        <v>0</v>
      </c>
      <c r="S330" s="360">
        <f t="shared" si="69"/>
        <v>0</v>
      </c>
    </row>
    <row r="331" spans="1:19">
      <c r="A331" s="158"/>
      <c r="B331" s="59"/>
      <c r="C331" s="24">
        <f t="shared" si="59"/>
        <v>1</v>
      </c>
      <c r="D331" s="719"/>
      <c r="E331" s="24">
        <f t="shared" si="60"/>
        <v>1</v>
      </c>
      <c r="F331" s="719"/>
      <c r="G331" s="24">
        <f t="shared" si="61"/>
        <v>1</v>
      </c>
      <c r="H331" s="719"/>
      <c r="I331" s="24">
        <f t="shared" si="62"/>
        <v>1</v>
      </c>
      <c r="J331" s="719"/>
      <c r="K331" s="24">
        <f t="shared" si="63"/>
        <v>1</v>
      </c>
      <c r="L331" s="719"/>
      <c r="M331" s="24">
        <f t="shared" si="64"/>
        <v>1</v>
      </c>
      <c r="N331" s="719"/>
      <c r="O331" s="24">
        <f t="shared" si="65"/>
        <v>1</v>
      </c>
      <c r="P331" s="719"/>
      <c r="Q331" s="24">
        <f t="shared" si="66"/>
        <v>0</v>
      </c>
      <c r="R331" s="715">
        <f t="shared" si="67"/>
        <v>0</v>
      </c>
      <c r="S331" s="360">
        <f t="shared" si="69"/>
        <v>0</v>
      </c>
    </row>
    <row r="332" spans="1:19">
      <c r="A332" s="158"/>
      <c r="B332" s="59"/>
      <c r="C332" s="24">
        <f t="shared" si="59"/>
        <v>1</v>
      </c>
      <c r="D332" s="719"/>
      <c r="E332" s="24">
        <f t="shared" si="60"/>
        <v>1</v>
      </c>
      <c r="F332" s="719"/>
      <c r="G332" s="24">
        <f t="shared" si="61"/>
        <v>1</v>
      </c>
      <c r="H332" s="719"/>
      <c r="I332" s="24">
        <f t="shared" si="62"/>
        <v>1</v>
      </c>
      <c r="J332" s="719"/>
      <c r="K332" s="24">
        <f t="shared" si="63"/>
        <v>1</v>
      </c>
      <c r="L332" s="719"/>
      <c r="M332" s="24">
        <f t="shared" si="64"/>
        <v>1</v>
      </c>
      <c r="N332" s="719"/>
      <c r="O332" s="24">
        <f t="shared" si="65"/>
        <v>1</v>
      </c>
      <c r="P332" s="719"/>
      <c r="Q332" s="24">
        <f t="shared" si="66"/>
        <v>0</v>
      </c>
      <c r="R332" s="715">
        <f t="shared" si="67"/>
        <v>0</v>
      </c>
      <c r="S332" s="360">
        <f t="shared" si="69"/>
        <v>0</v>
      </c>
    </row>
    <row r="333" spans="1:19">
      <c r="A333" s="158"/>
      <c r="B333" s="59"/>
      <c r="C333" s="24">
        <f t="shared" si="59"/>
        <v>1</v>
      </c>
      <c r="D333" s="719"/>
      <c r="E333" s="24">
        <f t="shared" si="60"/>
        <v>1</v>
      </c>
      <c r="F333" s="719"/>
      <c r="G333" s="24">
        <f t="shared" si="61"/>
        <v>1</v>
      </c>
      <c r="H333" s="719"/>
      <c r="I333" s="24">
        <f t="shared" si="62"/>
        <v>1</v>
      </c>
      <c r="J333" s="719"/>
      <c r="K333" s="24">
        <f t="shared" si="63"/>
        <v>1</v>
      </c>
      <c r="L333" s="719"/>
      <c r="M333" s="24">
        <f t="shared" si="64"/>
        <v>1</v>
      </c>
      <c r="N333" s="719"/>
      <c r="O333" s="24">
        <f t="shared" si="65"/>
        <v>1</v>
      </c>
      <c r="P333" s="719"/>
      <c r="Q333" s="24">
        <f t="shared" si="66"/>
        <v>0</v>
      </c>
      <c r="R333" s="715">
        <f t="shared" si="67"/>
        <v>0</v>
      </c>
      <c r="S333" s="360">
        <f t="shared" si="69"/>
        <v>0</v>
      </c>
    </row>
    <row r="334" spans="1:19">
      <c r="A334" s="158"/>
      <c r="B334" s="59"/>
      <c r="C334" s="24">
        <f t="shared" si="59"/>
        <v>1</v>
      </c>
      <c r="D334" s="719"/>
      <c r="E334" s="24">
        <f t="shared" si="60"/>
        <v>1</v>
      </c>
      <c r="F334" s="719"/>
      <c r="G334" s="24">
        <f t="shared" si="61"/>
        <v>1</v>
      </c>
      <c r="H334" s="719"/>
      <c r="I334" s="24">
        <f t="shared" si="62"/>
        <v>1</v>
      </c>
      <c r="J334" s="719"/>
      <c r="K334" s="24">
        <f t="shared" si="63"/>
        <v>1</v>
      </c>
      <c r="L334" s="719"/>
      <c r="M334" s="24">
        <f t="shared" si="64"/>
        <v>1</v>
      </c>
      <c r="N334" s="719"/>
      <c r="O334" s="24">
        <f t="shared" si="65"/>
        <v>1</v>
      </c>
      <c r="P334" s="719"/>
      <c r="Q334" s="24">
        <f t="shared" si="66"/>
        <v>0</v>
      </c>
      <c r="R334" s="715">
        <f t="shared" si="67"/>
        <v>0</v>
      </c>
      <c r="S334" s="360">
        <f t="shared" si="69"/>
        <v>0</v>
      </c>
    </row>
    <row r="335" spans="1:19">
      <c r="A335" s="158"/>
      <c r="B335" s="59"/>
      <c r="C335" s="24">
        <f t="shared" si="59"/>
        <v>1</v>
      </c>
      <c r="D335" s="719"/>
      <c r="E335" s="24">
        <f t="shared" si="60"/>
        <v>1</v>
      </c>
      <c r="F335" s="719"/>
      <c r="G335" s="24">
        <f t="shared" si="61"/>
        <v>1</v>
      </c>
      <c r="H335" s="719"/>
      <c r="I335" s="24">
        <f t="shared" si="62"/>
        <v>1</v>
      </c>
      <c r="J335" s="719"/>
      <c r="K335" s="24">
        <f t="shared" si="63"/>
        <v>1</v>
      </c>
      <c r="L335" s="719"/>
      <c r="M335" s="24">
        <f t="shared" si="64"/>
        <v>1</v>
      </c>
      <c r="N335" s="719"/>
      <c r="O335" s="24">
        <f t="shared" si="65"/>
        <v>1</v>
      </c>
      <c r="P335" s="719"/>
      <c r="Q335" s="24">
        <f t="shared" si="66"/>
        <v>0</v>
      </c>
      <c r="R335" s="715">
        <f t="shared" si="67"/>
        <v>0</v>
      </c>
      <c r="S335" s="360">
        <f t="shared" si="69"/>
        <v>0</v>
      </c>
    </row>
    <row r="336" spans="1:19">
      <c r="A336" s="158"/>
      <c r="B336" s="59"/>
      <c r="C336" s="24">
        <f t="shared" si="59"/>
        <v>1</v>
      </c>
      <c r="D336" s="719"/>
      <c r="E336" s="24">
        <f t="shared" si="60"/>
        <v>1</v>
      </c>
      <c r="F336" s="719"/>
      <c r="G336" s="24">
        <f t="shared" si="61"/>
        <v>1</v>
      </c>
      <c r="H336" s="719"/>
      <c r="I336" s="24">
        <f t="shared" si="62"/>
        <v>1</v>
      </c>
      <c r="J336" s="719"/>
      <c r="K336" s="24">
        <f t="shared" si="63"/>
        <v>1</v>
      </c>
      <c r="L336" s="719"/>
      <c r="M336" s="24">
        <f t="shared" si="64"/>
        <v>1</v>
      </c>
      <c r="N336" s="719"/>
      <c r="O336" s="24">
        <f t="shared" si="65"/>
        <v>1</v>
      </c>
      <c r="P336" s="719"/>
      <c r="Q336" s="24">
        <f t="shared" si="66"/>
        <v>0</v>
      </c>
      <c r="R336" s="715">
        <f t="shared" si="67"/>
        <v>0</v>
      </c>
      <c r="S336" s="360">
        <f t="shared" si="69"/>
        <v>0</v>
      </c>
    </row>
    <row r="337" spans="1:19">
      <c r="A337" s="158"/>
      <c r="B337" s="59"/>
      <c r="C337" s="24">
        <f t="shared" si="59"/>
        <v>1</v>
      </c>
      <c r="D337" s="719"/>
      <c r="E337" s="24">
        <f t="shared" si="60"/>
        <v>1</v>
      </c>
      <c r="F337" s="719"/>
      <c r="G337" s="24">
        <f t="shared" si="61"/>
        <v>1</v>
      </c>
      <c r="H337" s="719"/>
      <c r="I337" s="24">
        <f t="shared" si="62"/>
        <v>1</v>
      </c>
      <c r="J337" s="719"/>
      <c r="K337" s="24">
        <f t="shared" si="63"/>
        <v>1</v>
      </c>
      <c r="L337" s="719"/>
      <c r="M337" s="24">
        <f t="shared" si="64"/>
        <v>1</v>
      </c>
      <c r="N337" s="719"/>
      <c r="O337" s="24">
        <f t="shared" si="65"/>
        <v>1</v>
      </c>
      <c r="P337" s="719"/>
      <c r="Q337" s="24">
        <f t="shared" si="66"/>
        <v>0</v>
      </c>
      <c r="R337" s="715">
        <f t="shared" si="67"/>
        <v>0</v>
      </c>
      <c r="S337" s="360">
        <f t="shared" si="69"/>
        <v>0</v>
      </c>
    </row>
    <row r="338" spans="1:19">
      <c r="A338" s="158"/>
      <c r="B338" s="59"/>
      <c r="C338" s="24">
        <f t="shared" si="59"/>
        <v>1</v>
      </c>
      <c r="D338" s="719"/>
      <c r="E338" s="24">
        <f t="shared" si="60"/>
        <v>1</v>
      </c>
      <c r="F338" s="719"/>
      <c r="G338" s="24">
        <f t="shared" si="61"/>
        <v>1</v>
      </c>
      <c r="H338" s="719"/>
      <c r="I338" s="24">
        <f t="shared" si="62"/>
        <v>1</v>
      </c>
      <c r="J338" s="719"/>
      <c r="K338" s="24">
        <f t="shared" si="63"/>
        <v>1</v>
      </c>
      <c r="L338" s="719"/>
      <c r="M338" s="24">
        <f t="shared" si="64"/>
        <v>1</v>
      </c>
      <c r="N338" s="719"/>
      <c r="O338" s="24">
        <f t="shared" si="65"/>
        <v>1</v>
      </c>
      <c r="P338" s="719"/>
      <c r="Q338" s="24">
        <f t="shared" si="66"/>
        <v>0</v>
      </c>
      <c r="R338" s="715">
        <f t="shared" si="67"/>
        <v>0</v>
      </c>
      <c r="S338" s="360">
        <f t="shared" si="69"/>
        <v>0</v>
      </c>
    </row>
    <row r="339" spans="1:19">
      <c r="A339" s="158"/>
      <c r="B339" s="59"/>
      <c r="C339" s="24">
        <f t="shared" si="59"/>
        <v>1</v>
      </c>
      <c r="D339" s="719"/>
      <c r="E339" s="24">
        <f t="shared" si="60"/>
        <v>1</v>
      </c>
      <c r="F339" s="719"/>
      <c r="G339" s="24">
        <f t="shared" si="61"/>
        <v>1</v>
      </c>
      <c r="H339" s="719"/>
      <c r="I339" s="24">
        <f t="shared" si="62"/>
        <v>1</v>
      </c>
      <c r="J339" s="719"/>
      <c r="K339" s="24">
        <f t="shared" si="63"/>
        <v>1</v>
      </c>
      <c r="L339" s="719"/>
      <c r="M339" s="24">
        <f t="shared" si="64"/>
        <v>1</v>
      </c>
      <c r="N339" s="719"/>
      <c r="O339" s="24">
        <f t="shared" si="65"/>
        <v>1</v>
      </c>
      <c r="P339" s="719"/>
      <c r="Q339" s="24">
        <f t="shared" si="66"/>
        <v>0</v>
      </c>
      <c r="R339" s="715">
        <f t="shared" si="67"/>
        <v>0</v>
      </c>
      <c r="S339" s="360">
        <f t="shared" si="69"/>
        <v>0</v>
      </c>
    </row>
    <row r="340" spans="1:19">
      <c r="A340" s="158"/>
      <c r="B340" s="59"/>
      <c r="C340" s="24">
        <f t="shared" si="59"/>
        <v>1</v>
      </c>
      <c r="D340" s="719"/>
      <c r="E340" s="24">
        <f t="shared" si="60"/>
        <v>1</v>
      </c>
      <c r="F340" s="719"/>
      <c r="G340" s="24">
        <f t="shared" si="61"/>
        <v>1</v>
      </c>
      <c r="H340" s="719"/>
      <c r="I340" s="24">
        <f t="shared" si="62"/>
        <v>1</v>
      </c>
      <c r="J340" s="719"/>
      <c r="K340" s="24">
        <f t="shared" si="63"/>
        <v>1</v>
      </c>
      <c r="L340" s="719"/>
      <c r="M340" s="24">
        <f t="shared" si="64"/>
        <v>1</v>
      </c>
      <c r="N340" s="719"/>
      <c r="O340" s="24">
        <f t="shared" si="65"/>
        <v>1</v>
      </c>
      <c r="P340" s="719"/>
      <c r="Q340" s="24">
        <f t="shared" si="66"/>
        <v>0</v>
      </c>
      <c r="R340" s="715">
        <f t="shared" si="67"/>
        <v>0</v>
      </c>
      <c r="S340" s="360">
        <f t="shared" si="69"/>
        <v>0</v>
      </c>
    </row>
    <row r="341" spans="1:19">
      <c r="A341" s="158"/>
      <c r="B341" s="59"/>
      <c r="C341" s="24">
        <f t="shared" si="59"/>
        <v>1</v>
      </c>
      <c r="D341" s="719"/>
      <c r="E341" s="24">
        <f t="shared" si="60"/>
        <v>1</v>
      </c>
      <c r="F341" s="719"/>
      <c r="G341" s="24">
        <f t="shared" si="61"/>
        <v>1</v>
      </c>
      <c r="H341" s="719"/>
      <c r="I341" s="24">
        <f t="shared" si="62"/>
        <v>1</v>
      </c>
      <c r="J341" s="719"/>
      <c r="K341" s="24">
        <f t="shared" si="63"/>
        <v>1</v>
      </c>
      <c r="L341" s="719"/>
      <c r="M341" s="24">
        <f t="shared" si="64"/>
        <v>1</v>
      </c>
      <c r="N341" s="719"/>
      <c r="O341" s="24">
        <f t="shared" si="65"/>
        <v>1</v>
      </c>
      <c r="P341" s="719"/>
      <c r="Q341" s="24">
        <f t="shared" si="66"/>
        <v>0</v>
      </c>
      <c r="R341" s="715">
        <f t="shared" si="67"/>
        <v>0</v>
      </c>
      <c r="S341" s="360">
        <f t="shared" si="69"/>
        <v>0</v>
      </c>
    </row>
    <row r="342" spans="1:19">
      <c r="A342" s="158"/>
      <c r="B342" s="59"/>
      <c r="C342" s="24">
        <f t="shared" si="59"/>
        <v>1</v>
      </c>
      <c r="D342" s="719"/>
      <c r="E342" s="24">
        <f t="shared" si="60"/>
        <v>1</v>
      </c>
      <c r="F342" s="719"/>
      <c r="G342" s="24">
        <f t="shared" si="61"/>
        <v>1</v>
      </c>
      <c r="H342" s="719"/>
      <c r="I342" s="24">
        <f t="shared" si="62"/>
        <v>1</v>
      </c>
      <c r="J342" s="719"/>
      <c r="K342" s="24">
        <f t="shared" si="63"/>
        <v>1</v>
      </c>
      <c r="L342" s="719"/>
      <c r="M342" s="24">
        <f t="shared" si="64"/>
        <v>1</v>
      </c>
      <c r="N342" s="719"/>
      <c r="O342" s="24">
        <f t="shared" si="65"/>
        <v>1</v>
      </c>
      <c r="P342" s="719"/>
      <c r="Q342" s="24">
        <f t="shared" si="66"/>
        <v>0</v>
      </c>
      <c r="R342" s="715">
        <f t="shared" si="67"/>
        <v>0</v>
      </c>
      <c r="S342" s="360">
        <f t="shared" si="69"/>
        <v>0</v>
      </c>
    </row>
    <row r="343" spans="1:19">
      <c r="A343" s="158"/>
      <c r="B343" s="59"/>
      <c r="C343" s="24">
        <f t="shared" si="59"/>
        <v>1</v>
      </c>
      <c r="D343" s="719"/>
      <c r="E343" s="24">
        <f t="shared" si="60"/>
        <v>1</v>
      </c>
      <c r="F343" s="719"/>
      <c r="G343" s="24">
        <f t="shared" si="61"/>
        <v>1</v>
      </c>
      <c r="H343" s="719"/>
      <c r="I343" s="24">
        <f t="shared" si="62"/>
        <v>1</v>
      </c>
      <c r="J343" s="719"/>
      <c r="K343" s="24">
        <f t="shared" si="63"/>
        <v>1</v>
      </c>
      <c r="L343" s="719"/>
      <c r="M343" s="24">
        <f t="shared" si="64"/>
        <v>1</v>
      </c>
      <c r="N343" s="719"/>
      <c r="O343" s="24">
        <f t="shared" si="65"/>
        <v>1</v>
      </c>
      <c r="P343" s="719"/>
      <c r="Q343" s="24">
        <f t="shared" si="66"/>
        <v>0</v>
      </c>
      <c r="R343" s="715">
        <f t="shared" si="67"/>
        <v>0</v>
      </c>
      <c r="S343" s="360">
        <f t="shared" si="69"/>
        <v>0</v>
      </c>
    </row>
    <row r="344" spans="1:19">
      <c r="A344" s="158"/>
      <c r="B344" s="59"/>
      <c r="C344" s="24">
        <f t="shared" si="59"/>
        <v>1</v>
      </c>
      <c r="D344" s="719"/>
      <c r="E344" s="24">
        <f t="shared" si="60"/>
        <v>1</v>
      </c>
      <c r="F344" s="719"/>
      <c r="G344" s="24">
        <f t="shared" si="61"/>
        <v>1</v>
      </c>
      <c r="H344" s="719"/>
      <c r="I344" s="24">
        <f t="shared" si="62"/>
        <v>1</v>
      </c>
      <c r="J344" s="719"/>
      <c r="K344" s="24">
        <f t="shared" si="63"/>
        <v>1</v>
      </c>
      <c r="L344" s="719"/>
      <c r="M344" s="24">
        <f t="shared" si="64"/>
        <v>1</v>
      </c>
      <c r="N344" s="719"/>
      <c r="O344" s="24">
        <f t="shared" si="65"/>
        <v>1</v>
      </c>
      <c r="P344" s="719"/>
      <c r="Q344" s="24">
        <f t="shared" si="66"/>
        <v>0</v>
      </c>
      <c r="R344" s="715">
        <f t="shared" si="67"/>
        <v>0</v>
      </c>
      <c r="S344" s="360">
        <f t="shared" si="69"/>
        <v>0</v>
      </c>
    </row>
    <row r="345" spans="1:19">
      <c r="A345" s="158"/>
      <c r="B345" s="59"/>
      <c r="C345" s="24">
        <f t="shared" ref="C345:C408" si="70">IF(B345="",1,(LOOKUP(B345,$3:$3,$4:$4)-LOOKUP($B$24,$3:$3,$4:$4)+100)/100)</f>
        <v>1</v>
      </c>
      <c r="D345" s="719"/>
      <c r="E345" s="24">
        <f t="shared" si="60"/>
        <v>1</v>
      </c>
      <c r="F345" s="719"/>
      <c r="G345" s="24">
        <f t="shared" si="61"/>
        <v>1</v>
      </c>
      <c r="H345" s="719"/>
      <c r="I345" s="24">
        <f t="shared" si="62"/>
        <v>1</v>
      </c>
      <c r="J345" s="719"/>
      <c r="K345" s="24">
        <f t="shared" si="63"/>
        <v>1</v>
      </c>
      <c r="L345" s="719"/>
      <c r="M345" s="24">
        <f t="shared" si="64"/>
        <v>1</v>
      </c>
      <c r="N345" s="719"/>
      <c r="O345" s="24">
        <f t="shared" si="65"/>
        <v>1</v>
      </c>
      <c r="P345" s="719"/>
      <c r="Q345" s="24">
        <f t="shared" si="66"/>
        <v>0</v>
      </c>
      <c r="R345" s="715">
        <f t="shared" si="67"/>
        <v>0</v>
      </c>
      <c r="S345" s="360">
        <f t="shared" si="69"/>
        <v>0</v>
      </c>
    </row>
    <row r="346" spans="1:19">
      <c r="A346" s="158"/>
      <c r="B346" s="59"/>
      <c r="C346" s="24">
        <f t="shared" si="70"/>
        <v>1</v>
      </c>
      <c r="D346" s="719"/>
      <c r="E346" s="24">
        <f t="shared" ref="E346:E409" si="71">(SUMIF($5:$5,D346,$6:$6)-SUMIF($5:$5,$D$24,$6:$6)+100)/100</f>
        <v>1</v>
      </c>
      <c r="F346" s="719"/>
      <c r="G346" s="24">
        <f t="shared" ref="G346:G409" si="72">(SUMIF($7:$7,F346,$8:$8)-SUMIF($7:$7,$F$24,$8:$8)+100)/100</f>
        <v>1</v>
      </c>
      <c r="H346" s="719"/>
      <c r="I346" s="24">
        <f t="shared" ref="I346:I409" si="73">(SUMIF($9:$9,H346,$10:$10)-SUMIF($9:$9,$H$24,$10:$10)+100)/100</f>
        <v>1</v>
      </c>
      <c r="J346" s="719"/>
      <c r="K346" s="24">
        <f t="shared" ref="K346:K409" si="74">(SUMIF($11:$11,J346,$12:$12)-SUMIF($11:$11,$J$24,$12:$12)+100)/100</f>
        <v>1</v>
      </c>
      <c r="L346" s="719"/>
      <c r="M346" s="24">
        <f t="shared" ref="M346:M409" si="75">(SUMIF($13:$13,L346,$14:$14)-SUMIF($13:$13,$L$24,$14:$14)+100)/100</f>
        <v>1</v>
      </c>
      <c r="N346" s="719"/>
      <c r="O346" s="24">
        <f t="shared" ref="O346:O409" si="76">(SUMIF($15:$15,N346,$16:$16)-SUMIF($15:$15,$N$24,$16:$16)+100)/100</f>
        <v>1</v>
      </c>
      <c r="P346" s="719"/>
      <c r="Q346" s="24">
        <f t="shared" ref="Q346:Q409" si="77">(SUMIF($17:$17,P346,$18:$18)-SUMIF($17:$17,$P$24,$18:$18)+100)/100</f>
        <v>0</v>
      </c>
      <c r="R346" s="715">
        <f t="shared" ref="R346:R409" si="78">IF(B346="",0,ROUND($R$24*C346*E346*G346*I346*K346*M346*O346*Q346,0))</f>
        <v>0</v>
      </c>
      <c r="S346" s="360">
        <f t="shared" si="69"/>
        <v>0</v>
      </c>
    </row>
    <row r="347" spans="1:19">
      <c r="A347" s="158"/>
      <c r="B347" s="59"/>
      <c r="C347" s="24">
        <f t="shared" si="70"/>
        <v>1</v>
      </c>
      <c r="D347" s="719"/>
      <c r="E347" s="24">
        <f t="shared" si="71"/>
        <v>1</v>
      </c>
      <c r="F347" s="719"/>
      <c r="G347" s="24">
        <f t="shared" si="72"/>
        <v>1</v>
      </c>
      <c r="H347" s="719"/>
      <c r="I347" s="24">
        <f t="shared" si="73"/>
        <v>1</v>
      </c>
      <c r="J347" s="719"/>
      <c r="K347" s="24">
        <f t="shared" si="74"/>
        <v>1</v>
      </c>
      <c r="L347" s="719"/>
      <c r="M347" s="24">
        <f t="shared" si="75"/>
        <v>1</v>
      </c>
      <c r="N347" s="719"/>
      <c r="O347" s="24">
        <f t="shared" si="76"/>
        <v>1</v>
      </c>
      <c r="P347" s="719"/>
      <c r="Q347" s="24">
        <f t="shared" si="77"/>
        <v>0</v>
      </c>
      <c r="R347" s="715">
        <f t="shared" si="78"/>
        <v>0</v>
      </c>
      <c r="S347" s="360">
        <f t="shared" si="69"/>
        <v>0</v>
      </c>
    </row>
    <row r="348" spans="1:19">
      <c r="A348" s="158"/>
      <c r="B348" s="59"/>
      <c r="C348" s="24">
        <f t="shared" si="70"/>
        <v>1</v>
      </c>
      <c r="D348" s="719"/>
      <c r="E348" s="24">
        <f t="shared" si="71"/>
        <v>1</v>
      </c>
      <c r="F348" s="719"/>
      <c r="G348" s="24">
        <f t="shared" si="72"/>
        <v>1</v>
      </c>
      <c r="H348" s="719"/>
      <c r="I348" s="24">
        <f t="shared" si="73"/>
        <v>1</v>
      </c>
      <c r="J348" s="719"/>
      <c r="K348" s="24">
        <f t="shared" si="74"/>
        <v>1</v>
      </c>
      <c r="L348" s="719"/>
      <c r="M348" s="24">
        <f t="shared" si="75"/>
        <v>1</v>
      </c>
      <c r="N348" s="719"/>
      <c r="O348" s="24">
        <f t="shared" si="76"/>
        <v>1</v>
      </c>
      <c r="P348" s="719"/>
      <c r="Q348" s="24">
        <f t="shared" si="77"/>
        <v>0</v>
      </c>
      <c r="R348" s="715">
        <f t="shared" si="78"/>
        <v>0</v>
      </c>
      <c r="S348" s="360">
        <f t="shared" si="69"/>
        <v>0</v>
      </c>
    </row>
    <row r="349" spans="1:19">
      <c r="A349" s="158"/>
      <c r="B349" s="59"/>
      <c r="C349" s="24">
        <f t="shared" si="70"/>
        <v>1</v>
      </c>
      <c r="D349" s="719"/>
      <c r="E349" s="24">
        <f t="shared" si="71"/>
        <v>1</v>
      </c>
      <c r="F349" s="719"/>
      <c r="G349" s="24">
        <f t="shared" si="72"/>
        <v>1</v>
      </c>
      <c r="H349" s="719"/>
      <c r="I349" s="24">
        <f t="shared" si="73"/>
        <v>1</v>
      </c>
      <c r="J349" s="719"/>
      <c r="K349" s="24">
        <f t="shared" si="74"/>
        <v>1</v>
      </c>
      <c r="L349" s="719"/>
      <c r="M349" s="24">
        <f t="shared" si="75"/>
        <v>1</v>
      </c>
      <c r="N349" s="719"/>
      <c r="O349" s="24">
        <f t="shared" si="76"/>
        <v>1</v>
      </c>
      <c r="P349" s="719"/>
      <c r="Q349" s="24">
        <f t="shared" si="77"/>
        <v>0</v>
      </c>
      <c r="R349" s="715">
        <f t="shared" si="78"/>
        <v>0</v>
      </c>
      <c r="S349" s="360">
        <f t="shared" si="69"/>
        <v>0</v>
      </c>
    </row>
    <row r="350" spans="1:19">
      <c r="A350" s="158"/>
      <c r="B350" s="59"/>
      <c r="C350" s="24">
        <f t="shared" si="70"/>
        <v>1</v>
      </c>
      <c r="D350" s="719"/>
      <c r="E350" s="24">
        <f t="shared" si="71"/>
        <v>1</v>
      </c>
      <c r="F350" s="719"/>
      <c r="G350" s="24">
        <f t="shared" si="72"/>
        <v>1</v>
      </c>
      <c r="H350" s="719"/>
      <c r="I350" s="24">
        <f t="shared" si="73"/>
        <v>1</v>
      </c>
      <c r="J350" s="719"/>
      <c r="K350" s="24">
        <f t="shared" si="74"/>
        <v>1</v>
      </c>
      <c r="L350" s="719"/>
      <c r="M350" s="24">
        <f t="shared" si="75"/>
        <v>1</v>
      </c>
      <c r="N350" s="719"/>
      <c r="O350" s="24">
        <f t="shared" si="76"/>
        <v>1</v>
      </c>
      <c r="P350" s="719"/>
      <c r="Q350" s="24">
        <f t="shared" si="77"/>
        <v>0</v>
      </c>
      <c r="R350" s="715">
        <f t="shared" si="78"/>
        <v>0</v>
      </c>
      <c r="S350" s="360">
        <f t="shared" si="69"/>
        <v>0</v>
      </c>
    </row>
    <row r="351" spans="1:19">
      <c r="A351" s="158"/>
      <c r="B351" s="59"/>
      <c r="C351" s="24">
        <f t="shared" si="70"/>
        <v>1</v>
      </c>
      <c r="D351" s="719"/>
      <c r="E351" s="24">
        <f t="shared" si="71"/>
        <v>1</v>
      </c>
      <c r="F351" s="719"/>
      <c r="G351" s="24">
        <f t="shared" si="72"/>
        <v>1</v>
      </c>
      <c r="H351" s="719"/>
      <c r="I351" s="24">
        <f t="shared" si="73"/>
        <v>1</v>
      </c>
      <c r="J351" s="719"/>
      <c r="K351" s="24">
        <f t="shared" si="74"/>
        <v>1</v>
      </c>
      <c r="L351" s="719"/>
      <c r="M351" s="24">
        <f t="shared" si="75"/>
        <v>1</v>
      </c>
      <c r="N351" s="719"/>
      <c r="O351" s="24">
        <f t="shared" si="76"/>
        <v>1</v>
      </c>
      <c r="P351" s="719"/>
      <c r="Q351" s="24">
        <f t="shared" si="77"/>
        <v>0</v>
      </c>
      <c r="R351" s="715">
        <f t="shared" si="78"/>
        <v>0</v>
      </c>
      <c r="S351" s="360">
        <f t="shared" si="69"/>
        <v>0</v>
      </c>
    </row>
    <row r="352" spans="1:19">
      <c r="A352" s="158"/>
      <c r="B352" s="59"/>
      <c r="C352" s="24">
        <f t="shared" si="70"/>
        <v>1</v>
      </c>
      <c r="D352" s="719"/>
      <c r="E352" s="24">
        <f t="shared" si="71"/>
        <v>1</v>
      </c>
      <c r="F352" s="719"/>
      <c r="G352" s="24">
        <f t="shared" si="72"/>
        <v>1</v>
      </c>
      <c r="H352" s="719"/>
      <c r="I352" s="24">
        <f t="shared" si="73"/>
        <v>1</v>
      </c>
      <c r="J352" s="719"/>
      <c r="K352" s="24">
        <f t="shared" si="74"/>
        <v>1</v>
      </c>
      <c r="L352" s="719"/>
      <c r="M352" s="24">
        <f t="shared" si="75"/>
        <v>1</v>
      </c>
      <c r="N352" s="719"/>
      <c r="O352" s="24">
        <f t="shared" si="76"/>
        <v>1</v>
      </c>
      <c r="P352" s="719"/>
      <c r="Q352" s="24">
        <f t="shared" si="77"/>
        <v>0</v>
      </c>
      <c r="R352" s="715">
        <f t="shared" si="78"/>
        <v>0</v>
      </c>
      <c r="S352" s="360">
        <f t="shared" si="69"/>
        <v>0</v>
      </c>
    </row>
    <row r="353" spans="1:19">
      <c r="A353" s="158"/>
      <c r="B353" s="59"/>
      <c r="C353" s="24">
        <f t="shared" si="70"/>
        <v>1</v>
      </c>
      <c r="D353" s="719"/>
      <c r="E353" s="24">
        <f t="shared" si="71"/>
        <v>1</v>
      </c>
      <c r="F353" s="719"/>
      <c r="G353" s="24">
        <f t="shared" si="72"/>
        <v>1</v>
      </c>
      <c r="H353" s="719"/>
      <c r="I353" s="24">
        <f t="shared" si="73"/>
        <v>1</v>
      </c>
      <c r="J353" s="719"/>
      <c r="K353" s="24">
        <f t="shared" si="74"/>
        <v>1</v>
      </c>
      <c r="L353" s="719"/>
      <c r="M353" s="24">
        <f t="shared" si="75"/>
        <v>1</v>
      </c>
      <c r="N353" s="719"/>
      <c r="O353" s="24">
        <f t="shared" si="76"/>
        <v>1</v>
      </c>
      <c r="P353" s="719"/>
      <c r="Q353" s="24">
        <f t="shared" si="77"/>
        <v>0</v>
      </c>
      <c r="R353" s="715">
        <f t="shared" si="78"/>
        <v>0</v>
      </c>
      <c r="S353" s="360">
        <f t="shared" si="69"/>
        <v>0</v>
      </c>
    </row>
    <row r="354" spans="1:19">
      <c r="A354" s="158"/>
      <c r="B354" s="59"/>
      <c r="C354" s="24">
        <f t="shared" si="70"/>
        <v>1</v>
      </c>
      <c r="D354" s="719"/>
      <c r="E354" s="24">
        <f t="shared" si="71"/>
        <v>1</v>
      </c>
      <c r="F354" s="719"/>
      <c r="G354" s="24">
        <f t="shared" si="72"/>
        <v>1</v>
      </c>
      <c r="H354" s="719"/>
      <c r="I354" s="24">
        <f t="shared" si="73"/>
        <v>1</v>
      </c>
      <c r="J354" s="719"/>
      <c r="K354" s="24">
        <f t="shared" si="74"/>
        <v>1</v>
      </c>
      <c r="L354" s="719"/>
      <c r="M354" s="24">
        <f t="shared" si="75"/>
        <v>1</v>
      </c>
      <c r="N354" s="719"/>
      <c r="O354" s="24">
        <f t="shared" si="76"/>
        <v>1</v>
      </c>
      <c r="P354" s="719"/>
      <c r="Q354" s="24">
        <f t="shared" si="77"/>
        <v>0</v>
      </c>
      <c r="R354" s="715">
        <f t="shared" si="78"/>
        <v>0</v>
      </c>
      <c r="S354" s="360">
        <f t="shared" si="69"/>
        <v>0</v>
      </c>
    </row>
    <row r="355" spans="1:19">
      <c r="A355" s="158"/>
      <c r="B355" s="59"/>
      <c r="C355" s="24">
        <f t="shared" si="70"/>
        <v>1</v>
      </c>
      <c r="D355" s="719"/>
      <c r="E355" s="24">
        <f t="shared" si="71"/>
        <v>1</v>
      </c>
      <c r="F355" s="719"/>
      <c r="G355" s="24">
        <f t="shared" si="72"/>
        <v>1</v>
      </c>
      <c r="H355" s="719"/>
      <c r="I355" s="24">
        <f t="shared" si="73"/>
        <v>1</v>
      </c>
      <c r="J355" s="719"/>
      <c r="K355" s="24">
        <f t="shared" si="74"/>
        <v>1</v>
      </c>
      <c r="L355" s="719"/>
      <c r="M355" s="24">
        <f t="shared" si="75"/>
        <v>1</v>
      </c>
      <c r="N355" s="719"/>
      <c r="O355" s="24">
        <f t="shared" si="76"/>
        <v>1</v>
      </c>
      <c r="P355" s="719"/>
      <c r="Q355" s="24">
        <f t="shared" si="77"/>
        <v>0</v>
      </c>
      <c r="R355" s="715">
        <f t="shared" si="78"/>
        <v>0</v>
      </c>
      <c r="S355" s="360">
        <f t="shared" si="69"/>
        <v>0</v>
      </c>
    </row>
    <row r="356" spans="1:19">
      <c r="A356" s="158"/>
      <c r="B356" s="59"/>
      <c r="C356" s="24">
        <f t="shared" si="70"/>
        <v>1</v>
      </c>
      <c r="D356" s="719"/>
      <c r="E356" s="24">
        <f t="shared" si="71"/>
        <v>1</v>
      </c>
      <c r="F356" s="719"/>
      <c r="G356" s="24">
        <f t="shared" si="72"/>
        <v>1</v>
      </c>
      <c r="H356" s="719"/>
      <c r="I356" s="24">
        <f t="shared" si="73"/>
        <v>1</v>
      </c>
      <c r="J356" s="719"/>
      <c r="K356" s="24">
        <f t="shared" si="74"/>
        <v>1</v>
      </c>
      <c r="L356" s="719"/>
      <c r="M356" s="24">
        <f t="shared" si="75"/>
        <v>1</v>
      </c>
      <c r="N356" s="719"/>
      <c r="O356" s="24">
        <f t="shared" si="76"/>
        <v>1</v>
      </c>
      <c r="P356" s="719"/>
      <c r="Q356" s="24">
        <f t="shared" si="77"/>
        <v>0</v>
      </c>
      <c r="R356" s="715">
        <f t="shared" si="78"/>
        <v>0</v>
      </c>
      <c r="S356" s="360">
        <f t="shared" si="69"/>
        <v>0</v>
      </c>
    </row>
    <row r="357" spans="1:19">
      <c r="A357" s="158"/>
      <c r="B357" s="59"/>
      <c r="C357" s="24">
        <f t="shared" si="70"/>
        <v>1</v>
      </c>
      <c r="D357" s="719"/>
      <c r="E357" s="24">
        <f t="shared" si="71"/>
        <v>1</v>
      </c>
      <c r="F357" s="719"/>
      <c r="G357" s="24">
        <f t="shared" si="72"/>
        <v>1</v>
      </c>
      <c r="H357" s="719"/>
      <c r="I357" s="24">
        <f t="shared" si="73"/>
        <v>1</v>
      </c>
      <c r="J357" s="719"/>
      <c r="K357" s="24">
        <f t="shared" si="74"/>
        <v>1</v>
      </c>
      <c r="L357" s="719"/>
      <c r="M357" s="24">
        <f t="shared" si="75"/>
        <v>1</v>
      </c>
      <c r="N357" s="719"/>
      <c r="O357" s="24">
        <f t="shared" si="76"/>
        <v>1</v>
      </c>
      <c r="P357" s="719"/>
      <c r="Q357" s="24">
        <f t="shared" si="77"/>
        <v>0</v>
      </c>
      <c r="R357" s="715">
        <f t="shared" si="78"/>
        <v>0</v>
      </c>
      <c r="S357" s="360">
        <f t="shared" si="69"/>
        <v>0</v>
      </c>
    </row>
    <row r="358" spans="1:19">
      <c r="A358" s="158"/>
      <c r="B358" s="59"/>
      <c r="C358" s="24">
        <f t="shared" si="70"/>
        <v>1</v>
      </c>
      <c r="D358" s="719"/>
      <c r="E358" s="24">
        <f t="shared" si="71"/>
        <v>1</v>
      </c>
      <c r="F358" s="719"/>
      <c r="G358" s="24">
        <f t="shared" si="72"/>
        <v>1</v>
      </c>
      <c r="H358" s="719"/>
      <c r="I358" s="24">
        <f t="shared" si="73"/>
        <v>1</v>
      </c>
      <c r="J358" s="719"/>
      <c r="K358" s="24">
        <f t="shared" si="74"/>
        <v>1</v>
      </c>
      <c r="L358" s="719"/>
      <c r="M358" s="24">
        <f t="shared" si="75"/>
        <v>1</v>
      </c>
      <c r="N358" s="719"/>
      <c r="O358" s="24">
        <f t="shared" si="76"/>
        <v>1</v>
      </c>
      <c r="P358" s="719"/>
      <c r="Q358" s="24">
        <f t="shared" si="77"/>
        <v>0</v>
      </c>
      <c r="R358" s="715">
        <f t="shared" si="78"/>
        <v>0</v>
      </c>
      <c r="S358" s="360">
        <f t="shared" si="69"/>
        <v>0</v>
      </c>
    </row>
    <row r="359" spans="1:19">
      <c r="A359" s="158"/>
      <c r="B359" s="59"/>
      <c r="C359" s="24">
        <f t="shared" si="70"/>
        <v>1</v>
      </c>
      <c r="D359" s="719"/>
      <c r="E359" s="24">
        <f t="shared" si="71"/>
        <v>1</v>
      </c>
      <c r="F359" s="719"/>
      <c r="G359" s="24">
        <f t="shared" si="72"/>
        <v>1</v>
      </c>
      <c r="H359" s="719"/>
      <c r="I359" s="24">
        <f t="shared" si="73"/>
        <v>1</v>
      </c>
      <c r="J359" s="719"/>
      <c r="K359" s="24">
        <f t="shared" si="74"/>
        <v>1</v>
      </c>
      <c r="L359" s="719"/>
      <c r="M359" s="24">
        <f t="shared" si="75"/>
        <v>1</v>
      </c>
      <c r="N359" s="719"/>
      <c r="O359" s="24">
        <f t="shared" si="76"/>
        <v>1</v>
      </c>
      <c r="P359" s="719"/>
      <c r="Q359" s="24">
        <f t="shared" si="77"/>
        <v>0</v>
      </c>
      <c r="R359" s="715">
        <f t="shared" si="78"/>
        <v>0</v>
      </c>
      <c r="S359" s="360">
        <f t="shared" si="69"/>
        <v>0</v>
      </c>
    </row>
    <row r="360" spans="1:19">
      <c r="A360" s="158"/>
      <c r="B360" s="59"/>
      <c r="C360" s="24">
        <f t="shared" si="70"/>
        <v>1</v>
      </c>
      <c r="D360" s="719"/>
      <c r="E360" s="24">
        <f t="shared" si="71"/>
        <v>1</v>
      </c>
      <c r="F360" s="719"/>
      <c r="G360" s="24">
        <f t="shared" si="72"/>
        <v>1</v>
      </c>
      <c r="H360" s="719"/>
      <c r="I360" s="24">
        <f t="shared" si="73"/>
        <v>1</v>
      </c>
      <c r="J360" s="719"/>
      <c r="K360" s="24">
        <f t="shared" si="74"/>
        <v>1</v>
      </c>
      <c r="L360" s="719"/>
      <c r="M360" s="24">
        <f t="shared" si="75"/>
        <v>1</v>
      </c>
      <c r="N360" s="719"/>
      <c r="O360" s="24">
        <f t="shared" si="76"/>
        <v>1</v>
      </c>
      <c r="P360" s="719"/>
      <c r="Q360" s="24">
        <f t="shared" si="77"/>
        <v>0</v>
      </c>
      <c r="R360" s="715">
        <f t="shared" si="78"/>
        <v>0</v>
      </c>
      <c r="S360" s="360">
        <f t="shared" si="69"/>
        <v>0</v>
      </c>
    </row>
    <row r="361" spans="1:19">
      <c r="A361" s="158"/>
      <c r="B361" s="59"/>
      <c r="C361" s="24">
        <f t="shared" si="70"/>
        <v>1</v>
      </c>
      <c r="D361" s="719"/>
      <c r="E361" s="24">
        <f t="shared" si="71"/>
        <v>1</v>
      </c>
      <c r="F361" s="719"/>
      <c r="G361" s="24">
        <f t="shared" si="72"/>
        <v>1</v>
      </c>
      <c r="H361" s="719"/>
      <c r="I361" s="24">
        <f t="shared" si="73"/>
        <v>1</v>
      </c>
      <c r="J361" s="719"/>
      <c r="K361" s="24">
        <f t="shared" si="74"/>
        <v>1</v>
      </c>
      <c r="L361" s="719"/>
      <c r="M361" s="24">
        <f t="shared" si="75"/>
        <v>1</v>
      </c>
      <c r="N361" s="719"/>
      <c r="O361" s="24">
        <f t="shared" si="76"/>
        <v>1</v>
      </c>
      <c r="P361" s="719"/>
      <c r="Q361" s="24">
        <f t="shared" si="77"/>
        <v>0</v>
      </c>
      <c r="R361" s="715">
        <f t="shared" si="78"/>
        <v>0</v>
      </c>
      <c r="S361" s="360">
        <f t="shared" si="69"/>
        <v>0</v>
      </c>
    </row>
    <row r="362" spans="1:19">
      <c r="A362" s="158"/>
      <c r="B362" s="59"/>
      <c r="C362" s="24">
        <f t="shared" si="70"/>
        <v>1</v>
      </c>
      <c r="D362" s="719"/>
      <c r="E362" s="24">
        <f t="shared" si="71"/>
        <v>1</v>
      </c>
      <c r="F362" s="719"/>
      <c r="G362" s="24">
        <f t="shared" si="72"/>
        <v>1</v>
      </c>
      <c r="H362" s="719"/>
      <c r="I362" s="24">
        <f t="shared" si="73"/>
        <v>1</v>
      </c>
      <c r="J362" s="719"/>
      <c r="K362" s="24">
        <f t="shared" si="74"/>
        <v>1</v>
      </c>
      <c r="L362" s="719"/>
      <c r="M362" s="24">
        <f t="shared" si="75"/>
        <v>1</v>
      </c>
      <c r="N362" s="719"/>
      <c r="O362" s="24">
        <f t="shared" si="76"/>
        <v>1</v>
      </c>
      <c r="P362" s="719"/>
      <c r="Q362" s="24">
        <f t="shared" si="77"/>
        <v>0</v>
      </c>
      <c r="R362" s="715">
        <f t="shared" si="78"/>
        <v>0</v>
      </c>
      <c r="S362" s="360">
        <f t="shared" si="69"/>
        <v>0</v>
      </c>
    </row>
    <row r="363" spans="1:19">
      <c r="A363" s="158"/>
      <c r="B363" s="59"/>
      <c r="C363" s="24">
        <f t="shared" si="70"/>
        <v>1</v>
      </c>
      <c r="D363" s="719"/>
      <c r="E363" s="24">
        <f t="shared" si="71"/>
        <v>1</v>
      </c>
      <c r="F363" s="719"/>
      <c r="G363" s="24">
        <f t="shared" si="72"/>
        <v>1</v>
      </c>
      <c r="H363" s="719"/>
      <c r="I363" s="24">
        <f t="shared" si="73"/>
        <v>1</v>
      </c>
      <c r="J363" s="719"/>
      <c r="K363" s="24">
        <f t="shared" si="74"/>
        <v>1</v>
      </c>
      <c r="L363" s="719"/>
      <c r="M363" s="24">
        <f t="shared" si="75"/>
        <v>1</v>
      </c>
      <c r="N363" s="719"/>
      <c r="O363" s="24">
        <f t="shared" si="76"/>
        <v>1</v>
      </c>
      <c r="P363" s="719"/>
      <c r="Q363" s="24">
        <f t="shared" si="77"/>
        <v>0</v>
      </c>
      <c r="R363" s="715">
        <f t="shared" si="78"/>
        <v>0</v>
      </c>
      <c r="S363" s="360">
        <f t="shared" si="69"/>
        <v>0</v>
      </c>
    </row>
    <row r="364" spans="1:19">
      <c r="A364" s="158"/>
      <c r="B364" s="59"/>
      <c r="C364" s="24">
        <f t="shared" si="70"/>
        <v>1</v>
      </c>
      <c r="D364" s="719"/>
      <c r="E364" s="24">
        <f t="shared" si="71"/>
        <v>1</v>
      </c>
      <c r="F364" s="719"/>
      <c r="G364" s="24">
        <f t="shared" si="72"/>
        <v>1</v>
      </c>
      <c r="H364" s="719"/>
      <c r="I364" s="24">
        <f t="shared" si="73"/>
        <v>1</v>
      </c>
      <c r="J364" s="719"/>
      <c r="K364" s="24">
        <f t="shared" si="74"/>
        <v>1</v>
      </c>
      <c r="L364" s="719"/>
      <c r="M364" s="24">
        <f t="shared" si="75"/>
        <v>1</v>
      </c>
      <c r="N364" s="719"/>
      <c r="O364" s="24">
        <f t="shared" si="76"/>
        <v>1</v>
      </c>
      <c r="P364" s="719"/>
      <c r="Q364" s="24">
        <f t="shared" si="77"/>
        <v>0</v>
      </c>
      <c r="R364" s="715">
        <f t="shared" si="78"/>
        <v>0</v>
      </c>
      <c r="S364" s="360">
        <f t="shared" si="69"/>
        <v>0</v>
      </c>
    </row>
    <row r="365" spans="1:19">
      <c r="A365" s="158"/>
      <c r="B365" s="59"/>
      <c r="C365" s="24">
        <f t="shared" si="70"/>
        <v>1</v>
      </c>
      <c r="D365" s="719"/>
      <c r="E365" s="24">
        <f t="shared" si="71"/>
        <v>1</v>
      </c>
      <c r="F365" s="719"/>
      <c r="G365" s="24">
        <f t="shared" si="72"/>
        <v>1</v>
      </c>
      <c r="H365" s="719"/>
      <c r="I365" s="24">
        <f t="shared" si="73"/>
        <v>1</v>
      </c>
      <c r="J365" s="719"/>
      <c r="K365" s="24">
        <f t="shared" si="74"/>
        <v>1</v>
      </c>
      <c r="L365" s="719"/>
      <c r="M365" s="24">
        <f t="shared" si="75"/>
        <v>1</v>
      </c>
      <c r="N365" s="719"/>
      <c r="O365" s="24">
        <f t="shared" si="76"/>
        <v>1</v>
      </c>
      <c r="P365" s="719"/>
      <c r="Q365" s="24">
        <f t="shared" si="77"/>
        <v>0</v>
      </c>
      <c r="R365" s="715">
        <f t="shared" si="78"/>
        <v>0</v>
      </c>
      <c r="S365" s="360">
        <f t="shared" si="69"/>
        <v>0</v>
      </c>
    </row>
    <row r="366" spans="1:19">
      <c r="A366" s="158"/>
      <c r="B366" s="59"/>
      <c r="C366" s="24">
        <f t="shared" si="70"/>
        <v>1</v>
      </c>
      <c r="D366" s="719"/>
      <c r="E366" s="24">
        <f t="shared" si="71"/>
        <v>1</v>
      </c>
      <c r="F366" s="719"/>
      <c r="G366" s="24">
        <f t="shared" si="72"/>
        <v>1</v>
      </c>
      <c r="H366" s="719"/>
      <c r="I366" s="24">
        <f t="shared" si="73"/>
        <v>1</v>
      </c>
      <c r="J366" s="719"/>
      <c r="K366" s="24">
        <f t="shared" si="74"/>
        <v>1</v>
      </c>
      <c r="L366" s="719"/>
      <c r="M366" s="24">
        <f t="shared" si="75"/>
        <v>1</v>
      </c>
      <c r="N366" s="719"/>
      <c r="O366" s="24">
        <f t="shared" si="76"/>
        <v>1</v>
      </c>
      <c r="P366" s="719"/>
      <c r="Q366" s="24">
        <f t="shared" si="77"/>
        <v>0</v>
      </c>
      <c r="R366" s="715">
        <f t="shared" si="78"/>
        <v>0</v>
      </c>
      <c r="S366" s="360">
        <f t="shared" si="69"/>
        <v>0</v>
      </c>
    </row>
    <row r="367" spans="1:19">
      <c r="A367" s="158"/>
      <c r="B367" s="59"/>
      <c r="C367" s="24">
        <f t="shared" si="70"/>
        <v>1</v>
      </c>
      <c r="D367" s="719"/>
      <c r="E367" s="24">
        <f t="shared" si="71"/>
        <v>1</v>
      </c>
      <c r="F367" s="719"/>
      <c r="G367" s="24">
        <f t="shared" si="72"/>
        <v>1</v>
      </c>
      <c r="H367" s="719"/>
      <c r="I367" s="24">
        <f t="shared" si="73"/>
        <v>1</v>
      </c>
      <c r="J367" s="719"/>
      <c r="K367" s="24">
        <f t="shared" si="74"/>
        <v>1</v>
      </c>
      <c r="L367" s="719"/>
      <c r="M367" s="24">
        <f t="shared" si="75"/>
        <v>1</v>
      </c>
      <c r="N367" s="719"/>
      <c r="O367" s="24">
        <f t="shared" si="76"/>
        <v>1</v>
      </c>
      <c r="P367" s="719"/>
      <c r="Q367" s="24">
        <f t="shared" si="77"/>
        <v>0</v>
      </c>
      <c r="R367" s="715">
        <f t="shared" si="78"/>
        <v>0</v>
      </c>
      <c r="S367" s="360">
        <f t="shared" si="69"/>
        <v>0</v>
      </c>
    </row>
    <row r="368" spans="1:19">
      <c r="A368" s="158"/>
      <c r="B368" s="59"/>
      <c r="C368" s="24">
        <f t="shared" si="70"/>
        <v>1</v>
      </c>
      <c r="D368" s="719"/>
      <c r="E368" s="24">
        <f t="shared" si="71"/>
        <v>1</v>
      </c>
      <c r="F368" s="719"/>
      <c r="G368" s="24">
        <f t="shared" si="72"/>
        <v>1</v>
      </c>
      <c r="H368" s="719"/>
      <c r="I368" s="24">
        <f t="shared" si="73"/>
        <v>1</v>
      </c>
      <c r="J368" s="719"/>
      <c r="K368" s="24">
        <f t="shared" si="74"/>
        <v>1</v>
      </c>
      <c r="L368" s="719"/>
      <c r="M368" s="24">
        <f t="shared" si="75"/>
        <v>1</v>
      </c>
      <c r="N368" s="719"/>
      <c r="O368" s="24">
        <f t="shared" si="76"/>
        <v>1</v>
      </c>
      <c r="P368" s="719"/>
      <c r="Q368" s="24">
        <f t="shared" si="77"/>
        <v>0</v>
      </c>
      <c r="R368" s="715">
        <f t="shared" si="78"/>
        <v>0</v>
      </c>
      <c r="S368" s="360">
        <f t="shared" si="69"/>
        <v>0</v>
      </c>
    </row>
    <row r="369" spans="1:19">
      <c r="A369" s="158"/>
      <c r="B369" s="59"/>
      <c r="C369" s="24">
        <f t="shared" si="70"/>
        <v>1</v>
      </c>
      <c r="D369" s="719"/>
      <c r="E369" s="24">
        <f t="shared" si="71"/>
        <v>1</v>
      </c>
      <c r="F369" s="719"/>
      <c r="G369" s="24">
        <f t="shared" si="72"/>
        <v>1</v>
      </c>
      <c r="H369" s="719"/>
      <c r="I369" s="24">
        <f t="shared" si="73"/>
        <v>1</v>
      </c>
      <c r="J369" s="719"/>
      <c r="K369" s="24">
        <f t="shared" si="74"/>
        <v>1</v>
      </c>
      <c r="L369" s="719"/>
      <c r="M369" s="24">
        <f t="shared" si="75"/>
        <v>1</v>
      </c>
      <c r="N369" s="719"/>
      <c r="O369" s="24">
        <f t="shared" si="76"/>
        <v>1</v>
      </c>
      <c r="P369" s="719"/>
      <c r="Q369" s="24">
        <f t="shared" si="77"/>
        <v>0</v>
      </c>
      <c r="R369" s="715">
        <f t="shared" si="78"/>
        <v>0</v>
      </c>
      <c r="S369" s="360">
        <f t="shared" si="69"/>
        <v>0</v>
      </c>
    </row>
    <row r="370" spans="1:19">
      <c r="A370" s="158"/>
      <c r="B370" s="59"/>
      <c r="C370" s="24">
        <f t="shared" si="70"/>
        <v>1</v>
      </c>
      <c r="D370" s="719"/>
      <c r="E370" s="24">
        <f t="shared" si="71"/>
        <v>1</v>
      </c>
      <c r="F370" s="719"/>
      <c r="G370" s="24">
        <f t="shared" si="72"/>
        <v>1</v>
      </c>
      <c r="H370" s="719"/>
      <c r="I370" s="24">
        <f t="shared" si="73"/>
        <v>1</v>
      </c>
      <c r="J370" s="719"/>
      <c r="K370" s="24">
        <f t="shared" si="74"/>
        <v>1</v>
      </c>
      <c r="L370" s="719"/>
      <c r="M370" s="24">
        <f t="shared" si="75"/>
        <v>1</v>
      </c>
      <c r="N370" s="719"/>
      <c r="O370" s="24">
        <f t="shared" si="76"/>
        <v>1</v>
      </c>
      <c r="P370" s="719"/>
      <c r="Q370" s="24">
        <f t="shared" si="77"/>
        <v>0</v>
      </c>
      <c r="R370" s="715">
        <f t="shared" si="78"/>
        <v>0</v>
      </c>
      <c r="S370" s="360">
        <f t="shared" si="69"/>
        <v>0</v>
      </c>
    </row>
    <row r="371" spans="1:19">
      <c r="A371" s="158"/>
      <c r="B371" s="59"/>
      <c r="C371" s="24">
        <f t="shared" si="70"/>
        <v>1</v>
      </c>
      <c r="D371" s="719"/>
      <c r="E371" s="24">
        <f t="shared" si="71"/>
        <v>1</v>
      </c>
      <c r="F371" s="719"/>
      <c r="G371" s="24">
        <f t="shared" si="72"/>
        <v>1</v>
      </c>
      <c r="H371" s="719"/>
      <c r="I371" s="24">
        <f t="shared" si="73"/>
        <v>1</v>
      </c>
      <c r="J371" s="719"/>
      <c r="K371" s="24">
        <f t="shared" si="74"/>
        <v>1</v>
      </c>
      <c r="L371" s="719"/>
      <c r="M371" s="24">
        <f t="shared" si="75"/>
        <v>1</v>
      </c>
      <c r="N371" s="719"/>
      <c r="O371" s="24">
        <f t="shared" si="76"/>
        <v>1</v>
      </c>
      <c r="P371" s="719"/>
      <c r="Q371" s="24">
        <f t="shared" si="77"/>
        <v>0</v>
      </c>
      <c r="R371" s="715">
        <f t="shared" si="78"/>
        <v>0</v>
      </c>
      <c r="S371" s="360">
        <f t="shared" si="69"/>
        <v>0</v>
      </c>
    </row>
    <row r="372" spans="1:19">
      <c r="A372" s="158"/>
      <c r="B372" s="59"/>
      <c r="C372" s="24">
        <f t="shared" si="70"/>
        <v>1</v>
      </c>
      <c r="D372" s="719"/>
      <c r="E372" s="24">
        <f t="shared" si="71"/>
        <v>1</v>
      </c>
      <c r="F372" s="719"/>
      <c r="G372" s="24">
        <f t="shared" si="72"/>
        <v>1</v>
      </c>
      <c r="H372" s="719"/>
      <c r="I372" s="24">
        <f t="shared" si="73"/>
        <v>1</v>
      </c>
      <c r="J372" s="719"/>
      <c r="K372" s="24">
        <f t="shared" si="74"/>
        <v>1</v>
      </c>
      <c r="L372" s="719"/>
      <c r="M372" s="24">
        <f t="shared" si="75"/>
        <v>1</v>
      </c>
      <c r="N372" s="719"/>
      <c r="O372" s="24">
        <f t="shared" si="76"/>
        <v>1</v>
      </c>
      <c r="P372" s="719"/>
      <c r="Q372" s="24">
        <f t="shared" si="77"/>
        <v>0</v>
      </c>
      <c r="R372" s="715">
        <f t="shared" si="78"/>
        <v>0</v>
      </c>
      <c r="S372" s="360">
        <f t="shared" si="69"/>
        <v>0</v>
      </c>
    </row>
    <row r="373" spans="1:19">
      <c r="A373" s="158"/>
      <c r="B373" s="59"/>
      <c r="C373" s="24">
        <f t="shared" si="70"/>
        <v>1</v>
      </c>
      <c r="D373" s="719"/>
      <c r="E373" s="24">
        <f t="shared" si="71"/>
        <v>1</v>
      </c>
      <c r="F373" s="719"/>
      <c r="G373" s="24">
        <f t="shared" si="72"/>
        <v>1</v>
      </c>
      <c r="H373" s="719"/>
      <c r="I373" s="24">
        <f t="shared" si="73"/>
        <v>1</v>
      </c>
      <c r="J373" s="719"/>
      <c r="K373" s="24">
        <f t="shared" si="74"/>
        <v>1</v>
      </c>
      <c r="L373" s="719"/>
      <c r="M373" s="24">
        <f t="shared" si="75"/>
        <v>1</v>
      </c>
      <c r="N373" s="719"/>
      <c r="O373" s="24">
        <f t="shared" si="76"/>
        <v>1</v>
      </c>
      <c r="P373" s="719"/>
      <c r="Q373" s="24">
        <f t="shared" si="77"/>
        <v>0</v>
      </c>
      <c r="R373" s="715">
        <f t="shared" si="78"/>
        <v>0</v>
      </c>
      <c r="S373" s="360">
        <f t="shared" si="69"/>
        <v>0</v>
      </c>
    </row>
    <row r="374" spans="1:19">
      <c r="A374" s="158"/>
      <c r="B374" s="59"/>
      <c r="C374" s="24">
        <f t="shared" si="70"/>
        <v>1</v>
      </c>
      <c r="D374" s="719"/>
      <c r="E374" s="24">
        <f t="shared" si="71"/>
        <v>1</v>
      </c>
      <c r="F374" s="719"/>
      <c r="G374" s="24">
        <f t="shared" si="72"/>
        <v>1</v>
      </c>
      <c r="H374" s="719"/>
      <c r="I374" s="24">
        <f t="shared" si="73"/>
        <v>1</v>
      </c>
      <c r="J374" s="719"/>
      <c r="K374" s="24">
        <f t="shared" si="74"/>
        <v>1</v>
      </c>
      <c r="L374" s="719"/>
      <c r="M374" s="24">
        <f t="shared" si="75"/>
        <v>1</v>
      </c>
      <c r="N374" s="719"/>
      <c r="O374" s="24">
        <f t="shared" si="76"/>
        <v>1</v>
      </c>
      <c r="P374" s="719"/>
      <c r="Q374" s="24">
        <f t="shared" si="77"/>
        <v>0</v>
      </c>
      <c r="R374" s="715">
        <f t="shared" si="78"/>
        <v>0</v>
      </c>
      <c r="S374" s="360">
        <f t="shared" si="69"/>
        <v>0</v>
      </c>
    </row>
    <row r="375" spans="1:19">
      <c r="A375" s="158"/>
      <c r="B375" s="59"/>
      <c r="C375" s="24">
        <f t="shared" si="70"/>
        <v>1</v>
      </c>
      <c r="D375" s="719"/>
      <c r="E375" s="24">
        <f t="shared" si="71"/>
        <v>1</v>
      </c>
      <c r="F375" s="719"/>
      <c r="G375" s="24">
        <f t="shared" si="72"/>
        <v>1</v>
      </c>
      <c r="H375" s="719"/>
      <c r="I375" s="24">
        <f t="shared" si="73"/>
        <v>1</v>
      </c>
      <c r="J375" s="719"/>
      <c r="K375" s="24">
        <f t="shared" si="74"/>
        <v>1</v>
      </c>
      <c r="L375" s="719"/>
      <c r="M375" s="24">
        <f t="shared" si="75"/>
        <v>1</v>
      </c>
      <c r="N375" s="719"/>
      <c r="O375" s="24">
        <f t="shared" si="76"/>
        <v>1</v>
      </c>
      <c r="P375" s="719"/>
      <c r="Q375" s="24">
        <f t="shared" si="77"/>
        <v>0</v>
      </c>
      <c r="R375" s="715">
        <f t="shared" si="78"/>
        <v>0</v>
      </c>
      <c r="S375" s="360">
        <f t="shared" si="69"/>
        <v>0</v>
      </c>
    </row>
    <row r="376" spans="1:19">
      <c r="A376" s="158"/>
      <c r="B376" s="59"/>
      <c r="C376" s="24">
        <f t="shared" si="70"/>
        <v>1</v>
      </c>
      <c r="D376" s="719"/>
      <c r="E376" s="24">
        <f t="shared" si="71"/>
        <v>1</v>
      </c>
      <c r="F376" s="719"/>
      <c r="G376" s="24">
        <f t="shared" si="72"/>
        <v>1</v>
      </c>
      <c r="H376" s="719"/>
      <c r="I376" s="24">
        <f t="shared" si="73"/>
        <v>1</v>
      </c>
      <c r="J376" s="719"/>
      <c r="K376" s="24">
        <f t="shared" si="74"/>
        <v>1</v>
      </c>
      <c r="L376" s="719"/>
      <c r="M376" s="24">
        <f t="shared" si="75"/>
        <v>1</v>
      </c>
      <c r="N376" s="719"/>
      <c r="O376" s="24">
        <f t="shared" si="76"/>
        <v>1</v>
      </c>
      <c r="P376" s="719"/>
      <c r="Q376" s="24">
        <f t="shared" si="77"/>
        <v>0</v>
      </c>
      <c r="R376" s="715">
        <f t="shared" si="78"/>
        <v>0</v>
      </c>
      <c r="S376" s="360">
        <f t="shared" si="69"/>
        <v>0</v>
      </c>
    </row>
    <row r="377" spans="1:19">
      <c r="A377" s="158"/>
      <c r="B377" s="59"/>
      <c r="C377" s="24">
        <f t="shared" si="70"/>
        <v>1</v>
      </c>
      <c r="D377" s="719"/>
      <c r="E377" s="24">
        <f t="shared" si="71"/>
        <v>1</v>
      </c>
      <c r="F377" s="719"/>
      <c r="G377" s="24">
        <f t="shared" si="72"/>
        <v>1</v>
      </c>
      <c r="H377" s="719"/>
      <c r="I377" s="24">
        <f t="shared" si="73"/>
        <v>1</v>
      </c>
      <c r="J377" s="719"/>
      <c r="K377" s="24">
        <f t="shared" si="74"/>
        <v>1</v>
      </c>
      <c r="L377" s="719"/>
      <c r="M377" s="24">
        <f t="shared" si="75"/>
        <v>1</v>
      </c>
      <c r="N377" s="719"/>
      <c r="O377" s="24">
        <f t="shared" si="76"/>
        <v>1</v>
      </c>
      <c r="P377" s="719"/>
      <c r="Q377" s="24">
        <f t="shared" si="77"/>
        <v>0</v>
      </c>
      <c r="R377" s="715">
        <f t="shared" si="78"/>
        <v>0</v>
      </c>
      <c r="S377" s="360">
        <f t="shared" si="69"/>
        <v>0</v>
      </c>
    </row>
    <row r="378" spans="1:19">
      <c r="A378" s="158"/>
      <c r="B378" s="59"/>
      <c r="C378" s="24">
        <f t="shared" si="70"/>
        <v>1</v>
      </c>
      <c r="D378" s="719"/>
      <c r="E378" s="24">
        <f t="shared" si="71"/>
        <v>1</v>
      </c>
      <c r="F378" s="719"/>
      <c r="G378" s="24">
        <f t="shared" si="72"/>
        <v>1</v>
      </c>
      <c r="H378" s="719"/>
      <c r="I378" s="24">
        <f t="shared" si="73"/>
        <v>1</v>
      </c>
      <c r="J378" s="719"/>
      <c r="K378" s="24">
        <f t="shared" si="74"/>
        <v>1</v>
      </c>
      <c r="L378" s="719"/>
      <c r="M378" s="24">
        <f t="shared" si="75"/>
        <v>1</v>
      </c>
      <c r="N378" s="719"/>
      <c r="O378" s="24">
        <f t="shared" si="76"/>
        <v>1</v>
      </c>
      <c r="P378" s="719"/>
      <c r="Q378" s="24">
        <f t="shared" si="77"/>
        <v>0</v>
      </c>
      <c r="R378" s="715">
        <f t="shared" si="78"/>
        <v>0</v>
      </c>
      <c r="S378" s="360">
        <f t="shared" si="69"/>
        <v>0</v>
      </c>
    </row>
    <row r="379" spans="1:19">
      <c r="A379" s="158"/>
      <c r="B379" s="59"/>
      <c r="C379" s="24">
        <f t="shared" si="70"/>
        <v>1</v>
      </c>
      <c r="D379" s="719"/>
      <c r="E379" s="24">
        <f t="shared" si="71"/>
        <v>1</v>
      </c>
      <c r="F379" s="719"/>
      <c r="G379" s="24">
        <f t="shared" si="72"/>
        <v>1</v>
      </c>
      <c r="H379" s="719"/>
      <c r="I379" s="24">
        <f t="shared" si="73"/>
        <v>1</v>
      </c>
      <c r="J379" s="719"/>
      <c r="K379" s="24">
        <f t="shared" si="74"/>
        <v>1</v>
      </c>
      <c r="L379" s="719"/>
      <c r="M379" s="24">
        <f t="shared" si="75"/>
        <v>1</v>
      </c>
      <c r="N379" s="719"/>
      <c r="O379" s="24">
        <f t="shared" si="76"/>
        <v>1</v>
      </c>
      <c r="P379" s="719"/>
      <c r="Q379" s="24">
        <f t="shared" si="77"/>
        <v>0</v>
      </c>
      <c r="R379" s="715">
        <f t="shared" si="78"/>
        <v>0</v>
      </c>
      <c r="S379" s="360">
        <f t="shared" si="69"/>
        <v>0</v>
      </c>
    </row>
    <row r="380" spans="1:19">
      <c r="A380" s="158"/>
      <c r="B380" s="59"/>
      <c r="C380" s="24">
        <f t="shared" si="70"/>
        <v>1</v>
      </c>
      <c r="D380" s="719"/>
      <c r="E380" s="24">
        <f t="shared" si="71"/>
        <v>1</v>
      </c>
      <c r="F380" s="719"/>
      <c r="G380" s="24">
        <f t="shared" si="72"/>
        <v>1</v>
      </c>
      <c r="H380" s="719"/>
      <c r="I380" s="24">
        <f t="shared" si="73"/>
        <v>1</v>
      </c>
      <c r="J380" s="719"/>
      <c r="K380" s="24">
        <f t="shared" si="74"/>
        <v>1</v>
      </c>
      <c r="L380" s="719"/>
      <c r="M380" s="24">
        <f t="shared" si="75"/>
        <v>1</v>
      </c>
      <c r="N380" s="719"/>
      <c r="O380" s="24">
        <f t="shared" si="76"/>
        <v>1</v>
      </c>
      <c r="P380" s="719"/>
      <c r="Q380" s="24">
        <f t="shared" si="77"/>
        <v>0</v>
      </c>
      <c r="R380" s="715">
        <f t="shared" si="78"/>
        <v>0</v>
      </c>
      <c r="S380" s="360">
        <f t="shared" si="69"/>
        <v>0</v>
      </c>
    </row>
    <row r="381" spans="1:19">
      <c r="A381" s="158"/>
      <c r="B381" s="59"/>
      <c r="C381" s="24">
        <f t="shared" si="70"/>
        <v>1</v>
      </c>
      <c r="D381" s="719"/>
      <c r="E381" s="24">
        <f t="shared" si="71"/>
        <v>1</v>
      </c>
      <c r="F381" s="719"/>
      <c r="G381" s="24">
        <f t="shared" si="72"/>
        <v>1</v>
      </c>
      <c r="H381" s="719"/>
      <c r="I381" s="24">
        <f t="shared" si="73"/>
        <v>1</v>
      </c>
      <c r="J381" s="719"/>
      <c r="K381" s="24">
        <f t="shared" si="74"/>
        <v>1</v>
      </c>
      <c r="L381" s="719"/>
      <c r="M381" s="24">
        <f t="shared" si="75"/>
        <v>1</v>
      </c>
      <c r="N381" s="719"/>
      <c r="O381" s="24">
        <f t="shared" si="76"/>
        <v>1</v>
      </c>
      <c r="P381" s="719"/>
      <c r="Q381" s="24">
        <f t="shared" si="77"/>
        <v>0</v>
      </c>
      <c r="R381" s="715">
        <f t="shared" si="78"/>
        <v>0</v>
      </c>
      <c r="S381" s="360">
        <f t="shared" si="69"/>
        <v>0</v>
      </c>
    </row>
    <row r="382" spans="1:19">
      <c r="A382" s="158"/>
      <c r="B382" s="59"/>
      <c r="C382" s="24">
        <f t="shared" si="70"/>
        <v>1</v>
      </c>
      <c r="D382" s="719"/>
      <c r="E382" s="24">
        <f t="shared" si="71"/>
        <v>1</v>
      </c>
      <c r="F382" s="719"/>
      <c r="G382" s="24">
        <f t="shared" si="72"/>
        <v>1</v>
      </c>
      <c r="H382" s="719"/>
      <c r="I382" s="24">
        <f t="shared" si="73"/>
        <v>1</v>
      </c>
      <c r="J382" s="719"/>
      <c r="K382" s="24">
        <f t="shared" si="74"/>
        <v>1</v>
      </c>
      <c r="L382" s="719"/>
      <c r="M382" s="24">
        <f t="shared" si="75"/>
        <v>1</v>
      </c>
      <c r="N382" s="719"/>
      <c r="O382" s="24">
        <f t="shared" si="76"/>
        <v>1</v>
      </c>
      <c r="P382" s="719"/>
      <c r="Q382" s="24">
        <f t="shared" si="77"/>
        <v>0</v>
      </c>
      <c r="R382" s="715">
        <f t="shared" si="78"/>
        <v>0</v>
      </c>
      <c r="S382" s="360">
        <f t="shared" si="69"/>
        <v>0</v>
      </c>
    </row>
    <row r="383" spans="1:19">
      <c r="A383" s="158"/>
      <c r="B383" s="59"/>
      <c r="C383" s="24">
        <f t="shared" si="70"/>
        <v>1</v>
      </c>
      <c r="D383" s="719"/>
      <c r="E383" s="24">
        <f t="shared" si="71"/>
        <v>1</v>
      </c>
      <c r="F383" s="719"/>
      <c r="G383" s="24">
        <f t="shared" si="72"/>
        <v>1</v>
      </c>
      <c r="H383" s="719"/>
      <c r="I383" s="24">
        <f t="shared" si="73"/>
        <v>1</v>
      </c>
      <c r="J383" s="719"/>
      <c r="K383" s="24">
        <f t="shared" si="74"/>
        <v>1</v>
      </c>
      <c r="L383" s="719"/>
      <c r="M383" s="24">
        <f t="shared" si="75"/>
        <v>1</v>
      </c>
      <c r="N383" s="719"/>
      <c r="O383" s="24">
        <f t="shared" si="76"/>
        <v>1</v>
      </c>
      <c r="P383" s="719"/>
      <c r="Q383" s="24">
        <f t="shared" si="77"/>
        <v>0</v>
      </c>
      <c r="R383" s="715">
        <f t="shared" si="78"/>
        <v>0</v>
      </c>
      <c r="S383" s="360">
        <f t="shared" si="69"/>
        <v>0</v>
      </c>
    </row>
    <row r="384" spans="1:19">
      <c r="A384" s="158"/>
      <c r="B384" s="59"/>
      <c r="C384" s="24">
        <f t="shared" si="70"/>
        <v>1</v>
      </c>
      <c r="D384" s="719"/>
      <c r="E384" s="24">
        <f t="shared" si="71"/>
        <v>1</v>
      </c>
      <c r="F384" s="719"/>
      <c r="G384" s="24">
        <f t="shared" si="72"/>
        <v>1</v>
      </c>
      <c r="H384" s="719"/>
      <c r="I384" s="24">
        <f t="shared" si="73"/>
        <v>1</v>
      </c>
      <c r="J384" s="719"/>
      <c r="K384" s="24">
        <f t="shared" si="74"/>
        <v>1</v>
      </c>
      <c r="L384" s="719"/>
      <c r="M384" s="24">
        <f t="shared" si="75"/>
        <v>1</v>
      </c>
      <c r="N384" s="719"/>
      <c r="O384" s="24">
        <f t="shared" si="76"/>
        <v>1</v>
      </c>
      <c r="P384" s="719"/>
      <c r="Q384" s="24">
        <f t="shared" si="77"/>
        <v>0</v>
      </c>
      <c r="R384" s="715">
        <f t="shared" si="78"/>
        <v>0</v>
      </c>
      <c r="S384" s="360">
        <f t="shared" si="69"/>
        <v>0</v>
      </c>
    </row>
    <row r="385" spans="1:19">
      <c r="A385" s="158"/>
      <c r="B385" s="59"/>
      <c r="C385" s="24">
        <f t="shared" si="70"/>
        <v>1</v>
      </c>
      <c r="D385" s="719"/>
      <c r="E385" s="24">
        <f t="shared" si="71"/>
        <v>1</v>
      </c>
      <c r="F385" s="719"/>
      <c r="G385" s="24">
        <f t="shared" si="72"/>
        <v>1</v>
      </c>
      <c r="H385" s="719"/>
      <c r="I385" s="24">
        <f t="shared" si="73"/>
        <v>1</v>
      </c>
      <c r="J385" s="719"/>
      <c r="K385" s="24">
        <f t="shared" si="74"/>
        <v>1</v>
      </c>
      <c r="L385" s="719"/>
      <c r="M385" s="24">
        <f t="shared" si="75"/>
        <v>1</v>
      </c>
      <c r="N385" s="719"/>
      <c r="O385" s="24">
        <f t="shared" si="76"/>
        <v>1</v>
      </c>
      <c r="P385" s="719"/>
      <c r="Q385" s="24">
        <f t="shared" si="77"/>
        <v>0</v>
      </c>
      <c r="R385" s="715">
        <f t="shared" si="78"/>
        <v>0</v>
      </c>
      <c r="S385" s="360">
        <f t="shared" ref="S385:S422" si="79">ROUND(R385*B385/10000,0)</f>
        <v>0</v>
      </c>
    </row>
    <row r="386" spans="1:19">
      <c r="A386" s="158"/>
      <c r="B386" s="59"/>
      <c r="C386" s="24">
        <f t="shared" si="70"/>
        <v>1</v>
      </c>
      <c r="D386" s="719"/>
      <c r="E386" s="24">
        <f t="shared" si="71"/>
        <v>1</v>
      </c>
      <c r="F386" s="719"/>
      <c r="G386" s="24">
        <f t="shared" si="72"/>
        <v>1</v>
      </c>
      <c r="H386" s="719"/>
      <c r="I386" s="24">
        <f t="shared" si="73"/>
        <v>1</v>
      </c>
      <c r="J386" s="719"/>
      <c r="K386" s="24">
        <f t="shared" si="74"/>
        <v>1</v>
      </c>
      <c r="L386" s="719"/>
      <c r="M386" s="24">
        <f t="shared" si="75"/>
        <v>1</v>
      </c>
      <c r="N386" s="719"/>
      <c r="O386" s="24">
        <f t="shared" si="76"/>
        <v>1</v>
      </c>
      <c r="P386" s="719"/>
      <c r="Q386" s="24">
        <f t="shared" si="77"/>
        <v>0</v>
      </c>
      <c r="R386" s="715">
        <f t="shared" si="78"/>
        <v>0</v>
      </c>
      <c r="S386" s="360">
        <f t="shared" si="79"/>
        <v>0</v>
      </c>
    </row>
    <row r="387" spans="1:19">
      <c r="A387" s="158"/>
      <c r="B387" s="59"/>
      <c r="C387" s="24">
        <f t="shared" si="70"/>
        <v>1</v>
      </c>
      <c r="D387" s="719"/>
      <c r="E387" s="24">
        <f t="shared" si="71"/>
        <v>1</v>
      </c>
      <c r="F387" s="719"/>
      <c r="G387" s="24">
        <f t="shared" si="72"/>
        <v>1</v>
      </c>
      <c r="H387" s="719"/>
      <c r="I387" s="24">
        <f t="shared" si="73"/>
        <v>1</v>
      </c>
      <c r="J387" s="719"/>
      <c r="K387" s="24">
        <f t="shared" si="74"/>
        <v>1</v>
      </c>
      <c r="L387" s="719"/>
      <c r="M387" s="24">
        <f t="shared" si="75"/>
        <v>1</v>
      </c>
      <c r="N387" s="719"/>
      <c r="O387" s="24">
        <f t="shared" si="76"/>
        <v>1</v>
      </c>
      <c r="P387" s="719"/>
      <c r="Q387" s="24">
        <f t="shared" si="77"/>
        <v>0</v>
      </c>
      <c r="R387" s="715">
        <f t="shared" si="78"/>
        <v>0</v>
      </c>
      <c r="S387" s="360">
        <f t="shared" si="79"/>
        <v>0</v>
      </c>
    </row>
    <row r="388" spans="1:19">
      <c r="A388" s="158"/>
      <c r="B388" s="59"/>
      <c r="C388" s="24">
        <f t="shared" si="70"/>
        <v>1</v>
      </c>
      <c r="D388" s="719"/>
      <c r="E388" s="24">
        <f t="shared" si="71"/>
        <v>1</v>
      </c>
      <c r="F388" s="719"/>
      <c r="G388" s="24">
        <f t="shared" si="72"/>
        <v>1</v>
      </c>
      <c r="H388" s="719"/>
      <c r="I388" s="24">
        <f t="shared" si="73"/>
        <v>1</v>
      </c>
      <c r="J388" s="719"/>
      <c r="K388" s="24">
        <f t="shared" si="74"/>
        <v>1</v>
      </c>
      <c r="L388" s="719"/>
      <c r="M388" s="24">
        <f t="shared" si="75"/>
        <v>1</v>
      </c>
      <c r="N388" s="719"/>
      <c r="O388" s="24">
        <f t="shared" si="76"/>
        <v>1</v>
      </c>
      <c r="P388" s="719"/>
      <c r="Q388" s="24">
        <f t="shared" si="77"/>
        <v>0</v>
      </c>
      <c r="R388" s="715">
        <f t="shared" si="78"/>
        <v>0</v>
      </c>
      <c r="S388" s="360">
        <f t="shared" si="79"/>
        <v>0</v>
      </c>
    </row>
    <row r="389" spans="1:19">
      <c r="A389" s="158"/>
      <c r="B389" s="59"/>
      <c r="C389" s="24">
        <f t="shared" si="70"/>
        <v>1</v>
      </c>
      <c r="D389" s="719"/>
      <c r="E389" s="24">
        <f t="shared" si="71"/>
        <v>1</v>
      </c>
      <c r="F389" s="719"/>
      <c r="G389" s="24">
        <f t="shared" si="72"/>
        <v>1</v>
      </c>
      <c r="H389" s="719"/>
      <c r="I389" s="24">
        <f t="shared" si="73"/>
        <v>1</v>
      </c>
      <c r="J389" s="719"/>
      <c r="K389" s="24">
        <f t="shared" si="74"/>
        <v>1</v>
      </c>
      <c r="L389" s="719"/>
      <c r="M389" s="24">
        <f t="shared" si="75"/>
        <v>1</v>
      </c>
      <c r="N389" s="719"/>
      <c r="O389" s="24">
        <f t="shared" si="76"/>
        <v>1</v>
      </c>
      <c r="P389" s="719"/>
      <c r="Q389" s="24">
        <f t="shared" si="77"/>
        <v>0</v>
      </c>
      <c r="R389" s="715">
        <f t="shared" si="78"/>
        <v>0</v>
      </c>
      <c r="S389" s="360">
        <f t="shared" si="79"/>
        <v>0</v>
      </c>
    </row>
    <row r="390" spans="1:19">
      <c r="A390" s="158"/>
      <c r="B390" s="59"/>
      <c r="C390" s="24">
        <f t="shared" si="70"/>
        <v>1</v>
      </c>
      <c r="D390" s="719"/>
      <c r="E390" s="24">
        <f t="shared" si="71"/>
        <v>1</v>
      </c>
      <c r="F390" s="719"/>
      <c r="G390" s="24">
        <f t="shared" si="72"/>
        <v>1</v>
      </c>
      <c r="H390" s="719"/>
      <c r="I390" s="24">
        <f t="shared" si="73"/>
        <v>1</v>
      </c>
      <c r="J390" s="719"/>
      <c r="K390" s="24">
        <f t="shared" si="74"/>
        <v>1</v>
      </c>
      <c r="L390" s="719"/>
      <c r="M390" s="24">
        <f t="shared" si="75"/>
        <v>1</v>
      </c>
      <c r="N390" s="719"/>
      <c r="O390" s="24">
        <f t="shared" si="76"/>
        <v>1</v>
      </c>
      <c r="P390" s="719"/>
      <c r="Q390" s="24">
        <f t="shared" si="77"/>
        <v>0</v>
      </c>
      <c r="R390" s="715">
        <f t="shared" si="78"/>
        <v>0</v>
      </c>
      <c r="S390" s="360">
        <f t="shared" si="79"/>
        <v>0</v>
      </c>
    </row>
    <row r="391" spans="1:19">
      <c r="A391" s="158"/>
      <c r="B391" s="59"/>
      <c r="C391" s="24">
        <f t="shared" si="70"/>
        <v>1</v>
      </c>
      <c r="D391" s="719"/>
      <c r="E391" s="24">
        <f t="shared" si="71"/>
        <v>1</v>
      </c>
      <c r="F391" s="719"/>
      <c r="G391" s="24">
        <f t="shared" si="72"/>
        <v>1</v>
      </c>
      <c r="H391" s="719"/>
      <c r="I391" s="24">
        <f t="shared" si="73"/>
        <v>1</v>
      </c>
      <c r="J391" s="719"/>
      <c r="K391" s="24">
        <f t="shared" si="74"/>
        <v>1</v>
      </c>
      <c r="L391" s="719"/>
      <c r="M391" s="24">
        <f t="shared" si="75"/>
        <v>1</v>
      </c>
      <c r="N391" s="719"/>
      <c r="O391" s="24">
        <f t="shared" si="76"/>
        <v>1</v>
      </c>
      <c r="P391" s="719"/>
      <c r="Q391" s="24">
        <f t="shared" si="77"/>
        <v>0</v>
      </c>
      <c r="R391" s="715">
        <f t="shared" si="78"/>
        <v>0</v>
      </c>
      <c r="S391" s="360">
        <f t="shared" si="79"/>
        <v>0</v>
      </c>
    </row>
    <row r="392" spans="1:19">
      <c r="A392" s="158"/>
      <c r="B392" s="59"/>
      <c r="C392" s="24">
        <f t="shared" si="70"/>
        <v>1</v>
      </c>
      <c r="D392" s="719"/>
      <c r="E392" s="24">
        <f t="shared" si="71"/>
        <v>1</v>
      </c>
      <c r="F392" s="719"/>
      <c r="G392" s="24">
        <f t="shared" si="72"/>
        <v>1</v>
      </c>
      <c r="H392" s="719"/>
      <c r="I392" s="24">
        <f t="shared" si="73"/>
        <v>1</v>
      </c>
      <c r="J392" s="719"/>
      <c r="K392" s="24">
        <f t="shared" si="74"/>
        <v>1</v>
      </c>
      <c r="L392" s="719"/>
      <c r="M392" s="24">
        <f t="shared" si="75"/>
        <v>1</v>
      </c>
      <c r="N392" s="719"/>
      <c r="O392" s="24">
        <f t="shared" si="76"/>
        <v>1</v>
      </c>
      <c r="P392" s="719"/>
      <c r="Q392" s="24">
        <f t="shared" si="77"/>
        <v>0</v>
      </c>
      <c r="R392" s="715">
        <f t="shared" si="78"/>
        <v>0</v>
      </c>
      <c r="S392" s="360">
        <f t="shared" si="79"/>
        <v>0</v>
      </c>
    </row>
    <row r="393" spans="1:19">
      <c r="A393" s="158"/>
      <c r="B393" s="59"/>
      <c r="C393" s="24">
        <f t="shared" si="70"/>
        <v>1</v>
      </c>
      <c r="D393" s="719"/>
      <c r="E393" s="24">
        <f t="shared" si="71"/>
        <v>1</v>
      </c>
      <c r="F393" s="719"/>
      <c r="G393" s="24">
        <f t="shared" si="72"/>
        <v>1</v>
      </c>
      <c r="H393" s="719"/>
      <c r="I393" s="24">
        <f t="shared" si="73"/>
        <v>1</v>
      </c>
      <c r="J393" s="719"/>
      <c r="K393" s="24">
        <f t="shared" si="74"/>
        <v>1</v>
      </c>
      <c r="L393" s="719"/>
      <c r="M393" s="24">
        <f t="shared" si="75"/>
        <v>1</v>
      </c>
      <c r="N393" s="719"/>
      <c r="O393" s="24">
        <f t="shared" si="76"/>
        <v>1</v>
      </c>
      <c r="P393" s="719"/>
      <c r="Q393" s="24">
        <f t="shared" si="77"/>
        <v>0</v>
      </c>
      <c r="R393" s="715">
        <f t="shared" si="78"/>
        <v>0</v>
      </c>
      <c r="S393" s="360">
        <f t="shared" si="79"/>
        <v>0</v>
      </c>
    </row>
    <row r="394" spans="1:19">
      <c r="A394" s="158"/>
      <c r="B394" s="59"/>
      <c r="C394" s="24">
        <f t="shared" si="70"/>
        <v>1</v>
      </c>
      <c r="D394" s="719"/>
      <c r="E394" s="24">
        <f t="shared" si="71"/>
        <v>1</v>
      </c>
      <c r="F394" s="719"/>
      <c r="G394" s="24">
        <f t="shared" si="72"/>
        <v>1</v>
      </c>
      <c r="H394" s="719"/>
      <c r="I394" s="24">
        <f t="shared" si="73"/>
        <v>1</v>
      </c>
      <c r="J394" s="719"/>
      <c r="K394" s="24">
        <f t="shared" si="74"/>
        <v>1</v>
      </c>
      <c r="L394" s="719"/>
      <c r="M394" s="24">
        <f t="shared" si="75"/>
        <v>1</v>
      </c>
      <c r="N394" s="719"/>
      <c r="O394" s="24">
        <f t="shared" si="76"/>
        <v>1</v>
      </c>
      <c r="P394" s="719"/>
      <c r="Q394" s="24">
        <f t="shared" si="77"/>
        <v>0</v>
      </c>
      <c r="R394" s="715">
        <f t="shared" si="78"/>
        <v>0</v>
      </c>
      <c r="S394" s="360">
        <f t="shared" si="79"/>
        <v>0</v>
      </c>
    </row>
    <row r="395" spans="1:19">
      <c r="A395" s="158"/>
      <c r="B395" s="59"/>
      <c r="C395" s="24">
        <f t="shared" si="70"/>
        <v>1</v>
      </c>
      <c r="D395" s="719"/>
      <c r="E395" s="24">
        <f t="shared" si="71"/>
        <v>1</v>
      </c>
      <c r="F395" s="719"/>
      <c r="G395" s="24">
        <f t="shared" si="72"/>
        <v>1</v>
      </c>
      <c r="H395" s="719"/>
      <c r="I395" s="24">
        <f t="shared" si="73"/>
        <v>1</v>
      </c>
      <c r="J395" s="719"/>
      <c r="K395" s="24">
        <f t="shared" si="74"/>
        <v>1</v>
      </c>
      <c r="L395" s="719"/>
      <c r="M395" s="24">
        <f t="shared" si="75"/>
        <v>1</v>
      </c>
      <c r="N395" s="719"/>
      <c r="O395" s="24">
        <f t="shared" si="76"/>
        <v>1</v>
      </c>
      <c r="P395" s="719"/>
      <c r="Q395" s="24">
        <f t="shared" si="77"/>
        <v>0</v>
      </c>
      <c r="R395" s="715">
        <f t="shared" si="78"/>
        <v>0</v>
      </c>
      <c r="S395" s="360">
        <f t="shared" si="79"/>
        <v>0</v>
      </c>
    </row>
    <row r="396" spans="1:19">
      <c r="A396" s="158"/>
      <c r="B396" s="59"/>
      <c r="C396" s="24">
        <f t="shared" si="70"/>
        <v>1</v>
      </c>
      <c r="D396" s="719"/>
      <c r="E396" s="24">
        <f t="shared" si="71"/>
        <v>1</v>
      </c>
      <c r="F396" s="719"/>
      <c r="G396" s="24">
        <f t="shared" si="72"/>
        <v>1</v>
      </c>
      <c r="H396" s="719"/>
      <c r="I396" s="24">
        <f t="shared" si="73"/>
        <v>1</v>
      </c>
      <c r="J396" s="719"/>
      <c r="K396" s="24">
        <f t="shared" si="74"/>
        <v>1</v>
      </c>
      <c r="L396" s="719"/>
      <c r="M396" s="24">
        <f t="shared" si="75"/>
        <v>1</v>
      </c>
      <c r="N396" s="719"/>
      <c r="O396" s="24">
        <f t="shared" si="76"/>
        <v>1</v>
      </c>
      <c r="P396" s="719"/>
      <c r="Q396" s="24">
        <f t="shared" si="77"/>
        <v>0</v>
      </c>
      <c r="R396" s="715">
        <f t="shared" si="78"/>
        <v>0</v>
      </c>
      <c r="S396" s="360">
        <f t="shared" si="79"/>
        <v>0</v>
      </c>
    </row>
    <row r="397" spans="1:19">
      <c r="A397" s="158"/>
      <c r="B397" s="59"/>
      <c r="C397" s="24">
        <f t="shared" si="70"/>
        <v>1</v>
      </c>
      <c r="D397" s="719"/>
      <c r="E397" s="24">
        <f t="shared" si="71"/>
        <v>1</v>
      </c>
      <c r="F397" s="719"/>
      <c r="G397" s="24">
        <f t="shared" si="72"/>
        <v>1</v>
      </c>
      <c r="H397" s="719"/>
      <c r="I397" s="24">
        <f t="shared" si="73"/>
        <v>1</v>
      </c>
      <c r="J397" s="719"/>
      <c r="K397" s="24">
        <f t="shared" si="74"/>
        <v>1</v>
      </c>
      <c r="L397" s="719"/>
      <c r="M397" s="24">
        <f t="shared" si="75"/>
        <v>1</v>
      </c>
      <c r="N397" s="719"/>
      <c r="O397" s="24">
        <f t="shared" si="76"/>
        <v>1</v>
      </c>
      <c r="P397" s="719"/>
      <c r="Q397" s="24">
        <f t="shared" si="77"/>
        <v>0</v>
      </c>
      <c r="R397" s="715">
        <f t="shared" si="78"/>
        <v>0</v>
      </c>
      <c r="S397" s="360">
        <f t="shared" si="79"/>
        <v>0</v>
      </c>
    </row>
    <row r="398" spans="1:19">
      <c r="A398" s="158"/>
      <c r="B398" s="59"/>
      <c r="C398" s="24">
        <f t="shared" si="70"/>
        <v>1</v>
      </c>
      <c r="D398" s="719"/>
      <c r="E398" s="24">
        <f t="shared" si="71"/>
        <v>1</v>
      </c>
      <c r="F398" s="719"/>
      <c r="G398" s="24">
        <f t="shared" si="72"/>
        <v>1</v>
      </c>
      <c r="H398" s="719"/>
      <c r="I398" s="24">
        <f t="shared" si="73"/>
        <v>1</v>
      </c>
      <c r="J398" s="719"/>
      <c r="K398" s="24">
        <f t="shared" si="74"/>
        <v>1</v>
      </c>
      <c r="L398" s="719"/>
      <c r="M398" s="24">
        <f t="shared" si="75"/>
        <v>1</v>
      </c>
      <c r="N398" s="719"/>
      <c r="O398" s="24">
        <f t="shared" si="76"/>
        <v>1</v>
      </c>
      <c r="P398" s="719"/>
      <c r="Q398" s="24">
        <f t="shared" si="77"/>
        <v>0</v>
      </c>
      <c r="R398" s="715">
        <f t="shared" si="78"/>
        <v>0</v>
      </c>
      <c r="S398" s="360">
        <f t="shared" si="79"/>
        <v>0</v>
      </c>
    </row>
    <row r="399" spans="1:19">
      <c r="A399" s="158"/>
      <c r="B399" s="59"/>
      <c r="C399" s="24">
        <f t="shared" si="70"/>
        <v>1</v>
      </c>
      <c r="D399" s="719"/>
      <c r="E399" s="24">
        <f t="shared" si="71"/>
        <v>1</v>
      </c>
      <c r="F399" s="719"/>
      <c r="G399" s="24">
        <f t="shared" si="72"/>
        <v>1</v>
      </c>
      <c r="H399" s="719"/>
      <c r="I399" s="24">
        <f t="shared" si="73"/>
        <v>1</v>
      </c>
      <c r="J399" s="719"/>
      <c r="K399" s="24">
        <f t="shared" si="74"/>
        <v>1</v>
      </c>
      <c r="L399" s="719"/>
      <c r="M399" s="24">
        <f t="shared" si="75"/>
        <v>1</v>
      </c>
      <c r="N399" s="719"/>
      <c r="O399" s="24">
        <f t="shared" si="76"/>
        <v>1</v>
      </c>
      <c r="P399" s="719"/>
      <c r="Q399" s="24">
        <f t="shared" si="77"/>
        <v>0</v>
      </c>
      <c r="R399" s="715">
        <f t="shared" si="78"/>
        <v>0</v>
      </c>
      <c r="S399" s="360">
        <f t="shared" si="79"/>
        <v>0</v>
      </c>
    </row>
    <row r="400" spans="1:19">
      <c r="A400" s="158"/>
      <c r="B400" s="59"/>
      <c r="C400" s="24">
        <f t="shared" si="70"/>
        <v>1</v>
      </c>
      <c r="D400" s="719"/>
      <c r="E400" s="24">
        <f t="shared" si="71"/>
        <v>1</v>
      </c>
      <c r="F400" s="719"/>
      <c r="G400" s="24">
        <f t="shared" si="72"/>
        <v>1</v>
      </c>
      <c r="H400" s="719"/>
      <c r="I400" s="24">
        <f t="shared" si="73"/>
        <v>1</v>
      </c>
      <c r="J400" s="719"/>
      <c r="K400" s="24">
        <f t="shared" si="74"/>
        <v>1</v>
      </c>
      <c r="L400" s="719"/>
      <c r="M400" s="24">
        <f t="shared" si="75"/>
        <v>1</v>
      </c>
      <c r="N400" s="719"/>
      <c r="O400" s="24">
        <f t="shared" si="76"/>
        <v>1</v>
      </c>
      <c r="P400" s="719"/>
      <c r="Q400" s="24">
        <f t="shared" si="77"/>
        <v>0</v>
      </c>
      <c r="R400" s="715">
        <f t="shared" si="78"/>
        <v>0</v>
      </c>
      <c r="S400" s="360">
        <f t="shared" si="79"/>
        <v>0</v>
      </c>
    </row>
    <row r="401" spans="1:19">
      <c r="A401" s="158"/>
      <c r="B401" s="59"/>
      <c r="C401" s="24">
        <f t="shared" si="70"/>
        <v>1</v>
      </c>
      <c r="D401" s="719"/>
      <c r="E401" s="24">
        <f t="shared" si="71"/>
        <v>1</v>
      </c>
      <c r="F401" s="719"/>
      <c r="G401" s="24">
        <f t="shared" si="72"/>
        <v>1</v>
      </c>
      <c r="H401" s="719"/>
      <c r="I401" s="24">
        <f t="shared" si="73"/>
        <v>1</v>
      </c>
      <c r="J401" s="719"/>
      <c r="K401" s="24">
        <f t="shared" si="74"/>
        <v>1</v>
      </c>
      <c r="L401" s="719"/>
      <c r="M401" s="24">
        <f t="shared" si="75"/>
        <v>1</v>
      </c>
      <c r="N401" s="719"/>
      <c r="O401" s="24">
        <f t="shared" si="76"/>
        <v>1</v>
      </c>
      <c r="P401" s="719"/>
      <c r="Q401" s="24">
        <f t="shared" si="77"/>
        <v>0</v>
      </c>
      <c r="R401" s="715">
        <f t="shared" si="78"/>
        <v>0</v>
      </c>
      <c r="S401" s="360">
        <f t="shared" si="79"/>
        <v>0</v>
      </c>
    </row>
    <row r="402" spans="1:19">
      <c r="A402" s="158"/>
      <c r="B402" s="59"/>
      <c r="C402" s="24">
        <f t="shared" si="70"/>
        <v>1</v>
      </c>
      <c r="D402" s="719"/>
      <c r="E402" s="24">
        <f t="shared" si="71"/>
        <v>1</v>
      </c>
      <c r="F402" s="719"/>
      <c r="G402" s="24">
        <f t="shared" si="72"/>
        <v>1</v>
      </c>
      <c r="H402" s="719"/>
      <c r="I402" s="24">
        <f t="shared" si="73"/>
        <v>1</v>
      </c>
      <c r="J402" s="719"/>
      <c r="K402" s="24">
        <f t="shared" si="74"/>
        <v>1</v>
      </c>
      <c r="L402" s="719"/>
      <c r="M402" s="24">
        <f t="shared" si="75"/>
        <v>1</v>
      </c>
      <c r="N402" s="719"/>
      <c r="O402" s="24">
        <f t="shared" si="76"/>
        <v>1</v>
      </c>
      <c r="P402" s="719"/>
      <c r="Q402" s="24">
        <f t="shared" si="77"/>
        <v>0</v>
      </c>
      <c r="R402" s="715">
        <f t="shared" si="78"/>
        <v>0</v>
      </c>
      <c r="S402" s="360">
        <f t="shared" si="79"/>
        <v>0</v>
      </c>
    </row>
    <row r="403" spans="1:19">
      <c r="A403" s="158"/>
      <c r="B403" s="59"/>
      <c r="C403" s="24">
        <f t="shared" si="70"/>
        <v>1</v>
      </c>
      <c r="D403" s="719"/>
      <c r="E403" s="24">
        <f t="shared" si="71"/>
        <v>1</v>
      </c>
      <c r="F403" s="719"/>
      <c r="G403" s="24">
        <f t="shared" si="72"/>
        <v>1</v>
      </c>
      <c r="H403" s="719"/>
      <c r="I403" s="24">
        <f t="shared" si="73"/>
        <v>1</v>
      </c>
      <c r="J403" s="719"/>
      <c r="K403" s="24">
        <f t="shared" si="74"/>
        <v>1</v>
      </c>
      <c r="L403" s="719"/>
      <c r="M403" s="24">
        <f t="shared" si="75"/>
        <v>1</v>
      </c>
      <c r="N403" s="719"/>
      <c r="O403" s="24">
        <f t="shared" si="76"/>
        <v>1</v>
      </c>
      <c r="P403" s="719"/>
      <c r="Q403" s="24">
        <f t="shared" si="77"/>
        <v>0</v>
      </c>
      <c r="R403" s="715">
        <f t="shared" si="78"/>
        <v>0</v>
      </c>
      <c r="S403" s="360">
        <f t="shared" si="79"/>
        <v>0</v>
      </c>
    </row>
    <row r="404" spans="1:19">
      <c r="A404" s="158"/>
      <c r="B404" s="59"/>
      <c r="C404" s="24">
        <f t="shared" si="70"/>
        <v>1</v>
      </c>
      <c r="D404" s="719"/>
      <c r="E404" s="24">
        <f t="shared" si="71"/>
        <v>1</v>
      </c>
      <c r="F404" s="719"/>
      <c r="G404" s="24">
        <f t="shared" si="72"/>
        <v>1</v>
      </c>
      <c r="H404" s="719"/>
      <c r="I404" s="24">
        <f t="shared" si="73"/>
        <v>1</v>
      </c>
      <c r="J404" s="719"/>
      <c r="K404" s="24">
        <f t="shared" si="74"/>
        <v>1</v>
      </c>
      <c r="L404" s="719"/>
      <c r="M404" s="24">
        <f t="shared" si="75"/>
        <v>1</v>
      </c>
      <c r="N404" s="719"/>
      <c r="O404" s="24">
        <f t="shared" si="76"/>
        <v>1</v>
      </c>
      <c r="P404" s="719"/>
      <c r="Q404" s="24">
        <f t="shared" si="77"/>
        <v>0</v>
      </c>
      <c r="R404" s="715">
        <f t="shared" si="78"/>
        <v>0</v>
      </c>
      <c r="S404" s="360">
        <f t="shared" si="79"/>
        <v>0</v>
      </c>
    </row>
    <row r="405" spans="1:19">
      <c r="A405" s="158"/>
      <c r="B405" s="59"/>
      <c r="C405" s="24">
        <f t="shared" si="70"/>
        <v>1</v>
      </c>
      <c r="D405" s="719"/>
      <c r="E405" s="24">
        <f t="shared" si="71"/>
        <v>1</v>
      </c>
      <c r="F405" s="719"/>
      <c r="G405" s="24">
        <f t="shared" si="72"/>
        <v>1</v>
      </c>
      <c r="H405" s="719"/>
      <c r="I405" s="24">
        <f t="shared" si="73"/>
        <v>1</v>
      </c>
      <c r="J405" s="719"/>
      <c r="K405" s="24">
        <f t="shared" si="74"/>
        <v>1</v>
      </c>
      <c r="L405" s="719"/>
      <c r="M405" s="24">
        <f t="shared" si="75"/>
        <v>1</v>
      </c>
      <c r="N405" s="719"/>
      <c r="O405" s="24">
        <f t="shared" si="76"/>
        <v>1</v>
      </c>
      <c r="P405" s="719"/>
      <c r="Q405" s="24">
        <f t="shared" si="77"/>
        <v>0</v>
      </c>
      <c r="R405" s="715">
        <f t="shared" si="78"/>
        <v>0</v>
      </c>
      <c r="S405" s="360">
        <f t="shared" si="79"/>
        <v>0</v>
      </c>
    </row>
    <row r="406" spans="1:19">
      <c r="A406" s="158"/>
      <c r="B406" s="59"/>
      <c r="C406" s="24">
        <f t="shared" si="70"/>
        <v>1</v>
      </c>
      <c r="D406" s="719"/>
      <c r="E406" s="24">
        <f t="shared" si="71"/>
        <v>1</v>
      </c>
      <c r="F406" s="719"/>
      <c r="G406" s="24">
        <f t="shared" si="72"/>
        <v>1</v>
      </c>
      <c r="H406" s="719"/>
      <c r="I406" s="24">
        <f t="shared" si="73"/>
        <v>1</v>
      </c>
      <c r="J406" s="719"/>
      <c r="K406" s="24">
        <f t="shared" si="74"/>
        <v>1</v>
      </c>
      <c r="L406" s="719"/>
      <c r="M406" s="24">
        <f t="shared" si="75"/>
        <v>1</v>
      </c>
      <c r="N406" s="719"/>
      <c r="O406" s="24">
        <f t="shared" si="76"/>
        <v>1</v>
      </c>
      <c r="P406" s="719"/>
      <c r="Q406" s="24">
        <f t="shared" si="77"/>
        <v>0</v>
      </c>
      <c r="R406" s="715">
        <f t="shared" si="78"/>
        <v>0</v>
      </c>
      <c r="S406" s="360">
        <f t="shared" si="79"/>
        <v>0</v>
      </c>
    </row>
    <row r="407" spans="1:19">
      <c r="A407" s="158"/>
      <c r="B407" s="59"/>
      <c r="C407" s="24">
        <f t="shared" si="70"/>
        <v>1</v>
      </c>
      <c r="D407" s="719"/>
      <c r="E407" s="24">
        <f t="shared" si="71"/>
        <v>1</v>
      </c>
      <c r="F407" s="719"/>
      <c r="G407" s="24">
        <f t="shared" si="72"/>
        <v>1</v>
      </c>
      <c r="H407" s="719"/>
      <c r="I407" s="24">
        <f t="shared" si="73"/>
        <v>1</v>
      </c>
      <c r="J407" s="719"/>
      <c r="K407" s="24">
        <f t="shared" si="74"/>
        <v>1</v>
      </c>
      <c r="L407" s="719"/>
      <c r="M407" s="24">
        <f t="shared" si="75"/>
        <v>1</v>
      </c>
      <c r="N407" s="719"/>
      <c r="O407" s="24">
        <f t="shared" si="76"/>
        <v>1</v>
      </c>
      <c r="P407" s="719"/>
      <c r="Q407" s="24">
        <f t="shared" si="77"/>
        <v>0</v>
      </c>
      <c r="R407" s="715">
        <f t="shared" si="78"/>
        <v>0</v>
      </c>
      <c r="S407" s="360">
        <f t="shared" si="79"/>
        <v>0</v>
      </c>
    </row>
    <row r="408" spans="1:19">
      <c r="A408" s="158"/>
      <c r="B408" s="59"/>
      <c r="C408" s="24">
        <f t="shared" si="70"/>
        <v>1</v>
      </c>
      <c r="D408" s="719"/>
      <c r="E408" s="24">
        <f t="shared" si="71"/>
        <v>1</v>
      </c>
      <c r="F408" s="719"/>
      <c r="G408" s="24">
        <f t="shared" si="72"/>
        <v>1</v>
      </c>
      <c r="H408" s="719"/>
      <c r="I408" s="24">
        <f t="shared" si="73"/>
        <v>1</v>
      </c>
      <c r="J408" s="719"/>
      <c r="K408" s="24">
        <f t="shared" si="74"/>
        <v>1</v>
      </c>
      <c r="L408" s="719"/>
      <c r="M408" s="24">
        <f t="shared" si="75"/>
        <v>1</v>
      </c>
      <c r="N408" s="719"/>
      <c r="O408" s="24">
        <f t="shared" si="76"/>
        <v>1</v>
      </c>
      <c r="P408" s="719"/>
      <c r="Q408" s="24">
        <f t="shared" si="77"/>
        <v>0</v>
      </c>
      <c r="R408" s="715">
        <f t="shared" si="78"/>
        <v>0</v>
      </c>
      <c r="S408" s="360">
        <f t="shared" si="79"/>
        <v>0</v>
      </c>
    </row>
    <row r="409" spans="1:19">
      <c r="A409" s="158"/>
      <c r="B409" s="59"/>
      <c r="C409" s="24">
        <f t="shared" ref="C409:C472" si="80">IF(B409="",1,(LOOKUP(B409,$3:$3,$4:$4)-LOOKUP($B$24,$3:$3,$4:$4)+100)/100)</f>
        <v>1</v>
      </c>
      <c r="D409" s="719"/>
      <c r="E409" s="24">
        <f t="shared" si="71"/>
        <v>1</v>
      </c>
      <c r="F409" s="719"/>
      <c r="G409" s="24">
        <f t="shared" si="72"/>
        <v>1</v>
      </c>
      <c r="H409" s="719"/>
      <c r="I409" s="24">
        <f t="shared" si="73"/>
        <v>1</v>
      </c>
      <c r="J409" s="719"/>
      <c r="K409" s="24">
        <f t="shared" si="74"/>
        <v>1</v>
      </c>
      <c r="L409" s="719"/>
      <c r="M409" s="24">
        <f t="shared" si="75"/>
        <v>1</v>
      </c>
      <c r="N409" s="719"/>
      <c r="O409" s="24">
        <f t="shared" si="76"/>
        <v>1</v>
      </c>
      <c r="P409" s="719"/>
      <c r="Q409" s="24">
        <f t="shared" si="77"/>
        <v>0</v>
      </c>
      <c r="R409" s="715">
        <f t="shared" si="78"/>
        <v>0</v>
      </c>
      <c r="S409" s="360">
        <f t="shared" si="79"/>
        <v>0</v>
      </c>
    </row>
    <row r="410" spans="1:19">
      <c r="A410" s="158"/>
      <c r="B410" s="59"/>
      <c r="C410" s="24">
        <f t="shared" si="80"/>
        <v>1</v>
      </c>
      <c r="D410" s="719"/>
      <c r="E410" s="24">
        <f t="shared" ref="E410:E473" si="81">(SUMIF($5:$5,D410,$6:$6)-SUMIF($5:$5,$D$24,$6:$6)+100)/100</f>
        <v>1</v>
      </c>
      <c r="F410" s="719"/>
      <c r="G410" s="24">
        <f t="shared" ref="G410:G473" si="82">(SUMIF($7:$7,F410,$8:$8)-SUMIF($7:$7,$F$24,$8:$8)+100)/100</f>
        <v>1</v>
      </c>
      <c r="H410" s="719"/>
      <c r="I410" s="24">
        <f t="shared" ref="I410:I473" si="83">(SUMIF($9:$9,H410,$10:$10)-SUMIF($9:$9,$H$24,$10:$10)+100)/100</f>
        <v>1</v>
      </c>
      <c r="J410" s="719"/>
      <c r="K410" s="24">
        <f t="shared" ref="K410:K473" si="84">(SUMIF($11:$11,J410,$12:$12)-SUMIF($11:$11,$J$24,$12:$12)+100)/100</f>
        <v>1</v>
      </c>
      <c r="L410" s="719"/>
      <c r="M410" s="24">
        <f t="shared" ref="M410:M473" si="85">(SUMIF($13:$13,L410,$14:$14)-SUMIF($13:$13,$L$24,$14:$14)+100)/100</f>
        <v>1</v>
      </c>
      <c r="N410" s="719"/>
      <c r="O410" s="24">
        <f t="shared" ref="O410:O473" si="86">(SUMIF($15:$15,N410,$16:$16)-SUMIF($15:$15,$N$24,$16:$16)+100)/100</f>
        <v>1</v>
      </c>
      <c r="P410" s="719"/>
      <c r="Q410" s="24">
        <f t="shared" ref="Q410:Q473" si="87">(SUMIF($17:$17,P410,$18:$18)-SUMIF($17:$17,$P$24,$18:$18)+100)/100</f>
        <v>0</v>
      </c>
      <c r="R410" s="715">
        <f t="shared" ref="R410:R473" si="88">IF(B410="",0,ROUND($R$24*C410*E410*G410*I410*K410*M410*O410*Q410,0))</f>
        <v>0</v>
      </c>
      <c r="S410" s="360">
        <f t="shared" si="79"/>
        <v>0</v>
      </c>
    </row>
    <row r="411" spans="1:19">
      <c r="A411" s="158"/>
      <c r="B411" s="59"/>
      <c r="C411" s="24">
        <f t="shared" si="80"/>
        <v>1</v>
      </c>
      <c r="D411" s="719"/>
      <c r="E411" s="24">
        <f t="shared" si="81"/>
        <v>1</v>
      </c>
      <c r="F411" s="719"/>
      <c r="G411" s="24">
        <f t="shared" si="82"/>
        <v>1</v>
      </c>
      <c r="H411" s="719"/>
      <c r="I411" s="24">
        <f t="shared" si="83"/>
        <v>1</v>
      </c>
      <c r="J411" s="719"/>
      <c r="K411" s="24">
        <f t="shared" si="84"/>
        <v>1</v>
      </c>
      <c r="L411" s="719"/>
      <c r="M411" s="24">
        <f t="shared" si="85"/>
        <v>1</v>
      </c>
      <c r="N411" s="719"/>
      <c r="O411" s="24">
        <f t="shared" si="86"/>
        <v>1</v>
      </c>
      <c r="P411" s="719"/>
      <c r="Q411" s="24">
        <f t="shared" si="87"/>
        <v>0</v>
      </c>
      <c r="R411" s="715">
        <f t="shared" si="88"/>
        <v>0</v>
      </c>
      <c r="S411" s="360">
        <f t="shared" si="79"/>
        <v>0</v>
      </c>
    </row>
    <row r="412" spans="1:19">
      <c r="A412" s="158"/>
      <c r="B412" s="59"/>
      <c r="C412" s="24">
        <f t="shared" si="80"/>
        <v>1</v>
      </c>
      <c r="D412" s="719"/>
      <c r="E412" s="24">
        <f t="shared" si="81"/>
        <v>1</v>
      </c>
      <c r="F412" s="719"/>
      <c r="G412" s="24">
        <f t="shared" si="82"/>
        <v>1</v>
      </c>
      <c r="H412" s="719"/>
      <c r="I412" s="24">
        <f t="shared" si="83"/>
        <v>1</v>
      </c>
      <c r="J412" s="719"/>
      <c r="K412" s="24">
        <f t="shared" si="84"/>
        <v>1</v>
      </c>
      <c r="L412" s="719"/>
      <c r="M412" s="24">
        <f t="shared" si="85"/>
        <v>1</v>
      </c>
      <c r="N412" s="719"/>
      <c r="O412" s="24">
        <f t="shared" si="86"/>
        <v>1</v>
      </c>
      <c r="P412" s="719"/>
      <c r="Q412" s="24">
        <f t="shared" si="87"/>
        <v>0</v>
      </c>
      <c r="R412" s="715">
        <f t="shared" si="88"/>
        <v>0</v>
      </c>
      <c r="S412" s="360">
        <f t="shared" si="79"/>
        <v>0</v>
      </c>
    </row>
    <row r="413" spans="1:19">
      <c r="A413" s="158"/>
      <c r="B413" s="59"/>
      <c r="C413" s="24">
        <f t="shared" si="80"/>
        <v>1</v>
      </c>
      <c r="D413" s="719"/>
      <c r="E413" s="24">
        <f t="shared" si="81"/>
        <v>1</v>
      </c>
      <c r="F413" s="719"/>
      <c r="G413" s="24">
        <f t="shared" si="82"/>
        <v>1</v>
      </c>
      <c r="H413" s="719"/>
      <c r="I413" s="24">
        <f t="shared" si="83"/>
        <v>1</v>
      </c>
      <c r="J413" s="719"/>
      <c r="K413" s="24">
        <f t="shared" si="84"/>
        <v>1</v>
      </c>
      <c r="L413" s="719"/>
      <c r="M413" s="24">
        <f t="shared" si="85"/>
        <v>1</v>
      </c>
      <c r="N413" s="719"/>
      <c r="O413" s="24">
        <f t="shared" si="86"/>
        <v>1</v>
      </c>
      <c r="P413" s="719"/>
      <c r="Q413" s="24">
        <f t="shared" si="87"/>
        <v>0</v>
      </c>
      <c r="R413" s="715">
        <f t="shared" si="88"/>
        <v>0</v>
      </c>
      <c r="S413" s="360">
        <f t="shared" si="79"/>
        <v>0</v>
      </c>
    </row>
    <row r="414" spans="1:19">
      <c r="A414" s="158"/>
      <c r="B414" s="59"/>
      <c r="C414" s="24">
        <f t="shared" si="80"/>
        <v>1</v>
      </c>
      <c r="D414" s="719"/>
      <c r="E414" s="24">
        <f t="shared" si="81"/>
        <v>1</v>
      </c>
      <c r="F414" s="719"/>
      <c r="G414" s="24">
        <f t="shared" si="82"/>
        <v>1</v>
      </c>
      <c r="H414" s="719"/>
      <c r="I414" s="24">
        <f t="shared" si="83"/>
        <v>1</v>
      </c>
      <c r="J414" s="719"/>
      <c r="K414" s="24">
        <f t="shared" si="84"/>
        <v>1</v>
      </c>
      <c r="L414" s="719"/>
      <c r="M414" s="24">
        <f t="shared" si="85"/>
        <v>1</v>
      </c>
      <c r="N414" s="719"/>
      <c r="O414" s="24">
        <f t="shared" si="86"/>
        <v>1</v>
      </c>
      <c r="P414" s="719"/>
      <c r="Q414" s="24">
        <f t="shared" si="87"/>
        <v>0</v>
      </c>
      <c r="R414" s="715">
        <f t="shared" si="88"/>
        <v>0</v>
      </c>
      <c r="S414" s="360">
        <f t="shared" si="79"/>
        <v>0</v>
      </c>
    </row>
    <row r="415" spans="1:19">
      <c r="A415" s="158"/>
      <c r="B415" s="59"/>
      <c r="C415" s="24">
        <f t="shared" si="80"/>
        <v>1</v>
      </c>
      <c r="D415" s="719"/>
      <c r="E415" s="24">
        <f t="shared" si="81"/>
        <v>1</v>
      </c>
      <c r="F415" s="719"/>
      <c r="G415" s="24">
        <f t="shared" si="82"/>
        <v>1</v>
      </c>
      <c r="H415" s="719"/>
      <c r="I415" s="24">
        <f t="shared" si="83"/>
        <v>1</v>
      </c>
      <c r="J415" s="719"/>
      <c r="K415" s="24">
        <f t="shared" si="84"/>
        <v>1</v>
      </c>
      <c r="L415" s="719"/>
      <c r="M415" s="24">
        <f t="shared" si="85"/>
        <v>1</v>
      </c>
      <c r="N415" s="719"/>
      <c r="O415" s="24">
        <f t="shared" si="86"/>
        <v>1</v>
      </c>
      <c r="P415" s="719"/>
      <c r="Q415" s="24">
        <f t="shared" si="87"/>
        <v>0</v>
      </c>
      <c r="R415" s="715">
        <f t="shared" si="88"/>
        <v>0</v>
      </c>
      <c r="S415" s="360">
        <f t="shared" si="79"/>
        <v>0</v>
      </c>
    </row>
    <row r="416" spans="1:19">
      <c r="A416" s="158"/>
      <c r="B416" s="59"/>
      <c r="C416" s="24">
        <f t="shared" si="80"/>
        <v>1</v>
      </c>
      <c r="D416" s="719"/>
      <c r="E416" s="24">
        <f t="shared" si="81"/>
        <v>1</v>
      </c>
      <c r="F416" s="719"/>
      <c r="G416" s="24">
        <f t="shared" si="82"/>
        <v>1</v>
      </c>
      <c r="H416" s="719"/>
      <c r="I416" s="24">
        <f t="shared" si="83"/>
        <v>1</v>
      </c>
      <c r="J416" s="719"/>
      <c r="K416" s="24">
        <f t="shared" si="84"/>
        <v>1</v>
      </c>
      <c r="L416" s="719"/>
      <c r="M416" s="24">
        <f t="shared" si="85"/>
        <v>1</v>
      </c>
      <c r="N416" s="719"/>
      <c r="O416" s="24">
        <f t="shared" si="86"/>
        <v>1</v>
      </c>
      <c r="P416" s="719"/>
      <c r="Q416" s="24">
        <f t="shared" si="87"/>
        <v>0</v>
      </c>
      <c r="R416" s="715">
        <f t="shared" si="88"/>
        <v>0</v>
      </c>
      <c r="S416" s="360">
        <f t="shared" si="79"/>
        <v>0</v>
      </c>
    </row>
    <row r="417" spans="1:19">
      <c r="A417" s="158"/>
      <c r="B417" s="59"/>
      <c r="C417" s="24">
        <f t="shared" si="80"/>
        <v>1</v>
      </c>
      <c r="D417" s="719"/>
      <c r="E417" s="24">
        <f t="shared" si="81"/>
        <v>1</v>
      </c>
      <c r="F417" s="719"/>
      <c r="G417" s="24">
        <f t="shared" si="82"/>
        <v>1</v>
      </c>
      <c r="H417" s="719"/>
      <c r="I417" s="24">
        <f t="shared" si="83"/>
        <v>1</v>
      </c>
      <c r="J417" s="719"/>
      <c r="K417" s="24">
        <f t="shared" si="84"/>
        <v>1</v>
      </c>
      <c r="L417" s="719"/>
      <c r="M417" s="24">
        <f t="shared" si="85"/>
        <v>1</v>
      </c>
      <c r="N417" s="719"/>
      <c r="O417" s="24">
        <f t="shared" si="86"/>
        <v>1</v>
      </c>
      <c r="P417" s="719"/>
      <c r="Q417" s="24">
        <f t="shared" si="87"/>
        <v>0</v>
      </c>
      <c r="R417" s="715">
        <f t="shared" si="88"/>
        <v>0</v>
      </c>
      <c r="S417" s="360">
        <f t="shared" si="79"/>
        <v>0</v>
      </c>
    </row>
    <row r="418" spans="1:19">
      <c r="A418" s="158"/>
      <c r="B418" s="59"/>
      <c r="C418" s="24">
        <f t="shared" si="80"/>
        <v>1</v>
      </c>
      <c r="D418" s="719"/>
      <c r="E418" s="24">
        <f t="shared" si="81"/>
        <v>1</v>
      </c>
      <c r="F418" s="719"/>
      <c r="G418" s="24">
        <f t="shared" si="82"/>
        <v>1</v>
      </c>
      <c r="H418" s="719"/>
      <c r="I418" s="24">
        <f t="shared" si="83"/>
        <v>1</v>
      </c>
      <c r="J418" s="719"/>
      <c r="K418" s="24">
        <f t="shared" si="84"/>
        <v>1</v>
      </c>
      <c r="L418" s="719"/>
      <c r="M418" s="24">
        <f t="shared" si="85"/>
        <v>1</v>
      </c>
      <c r="N418" s="719"/>
      <c r="O418" s="24">
        <f t="shared" si="86"/>
        <v>1</v>
      </c>
      <c r="P418" s="719"/>
      <c r="Q418" s="24">
        <f t="shared" si="87"/>
        <v>0</v>
      </c>
      <c r="R418" s="715">
        <f t="shared" si="88"/>
        <v>0</v>
      </c>
      <c r="S418" s="360">
        <f t="shared" si="79"/>
        <v>0</v>
      </c>
    </row>
    <row r="419" spans="1:19">
      <c r="A419" s="158"/>
      <c r="B419" s="59"/>
      <c r="C419" s="24">
        <f t="shared" si="80"/>
        <v>1</v>
      </c>
      <c r="D419" s="719"/>
      <c r="E419" s="24">
        <f t="shared" si="81"/>
        <v>1</v>
      </c>
      <c r="F419" s="719"/>
      <c r="G419" s="24">
        <f t="shared" si="82"/>
        <v>1</v>
      </c>
      <c r="H419" s="719"/>
      <c r="I419" s="24">
        <f t="shared" si="83"/>
        <v>1</v>
      </c>
      <c r="J419" s="719"/>
      <c r="K419" s="24">
        <f t="shared" si="84"/>
        <v>1</v>
      </c>
      <c r="L419" s="719"/>
      <c r="M419" s="24">
        <f t="shared" si="85"/>
        <v>1</v>
      </c>
      <c r="N419" s="719"/>
      <c r="O419" s="24">
        <f t="shared" si="86"/>
        <v>1</v>
      </c>
      <c r="P419" s="719"/>
      <c r="Q419" s="24">
        <f t="shared" si="87"/>
        <v>0</v>
      </c>
      <c r="R419" s="715">
        <f t="shared" si="88"/>
        <v>0</v>
      </c>
      <c r="S419" s="360">
        <f t="shared" si="79"/>
        <v>0</v>
      </c>
    </row>
    <row r="420" spans="1:19">
      <c r="A420" s="158"/>
      <c r="B420" s="59"/>
      <c r="C420" s="24">
        <f t="shared" si="80"/>
        <v>1</v>
      </c>
      <c r="D420" s="719"/>
      <c r="E420" s="24">
        <f t="shared" si="81"/>
        <v>1</v>
      </c>
      <c r="F420" s="719"/>
      <c r="G420" s="24">
        <f t="shared" si="82"/>
        <v>1</v>
      </c>
      <c r="H420" s="719"/>
      <c r="I420" s="24">
        <f t="shared" si="83"/>
        <v>1</v>
      </c>
      <c r="J420" s="719"/>
      <c r="K420" s="24">
        <f t="shared" si="84"/>
        <v>1</v>
      </c>
      <c r="L420" s="719"/>
      <c r="M420" s="24">
        <f t="shared" si="85"/>
        <v>1</v>
      </c>
      <c r="N420" s="719"/>
      <c r="O420" s="24">
        <f t="shared" si="86"/>
        <v>1</v>
      </c>
      <c r="P420" s="719"/>
      <c r="Q420" s="24">
        <f t="shared" si="87"/>
        <v>0</v>
      </c>
      <c r="R420" s="715">
        <f t="shared" si="88"/>
        <v>0</v>
      </c>
      <c r="S420" s="360">
        <f t="shared" si="79"/>
        <v>0</v>
      </c>
    </row>
    <row r="421" spans="1:19">
      <c r="A421" s="158"/>
      <c r="B421" s="59"/>
      <c r="C421" s="24">
        <f t="shared" si="80"/>
        <v>1</v>
      </c>
      <c r="D421" s="719"/>
      <c r="E421" s="24">
        <f t="shared" si="81"/>
        <v>1</v>
      </c>
      <c r="F421" s="719"/>
      <c r="G421" s="24">
        <f t="shared" si="82"/>
        <v>1</v>
      </c>
      <c r="H421" s="719"/>
      <c r="I421" s="24">
        <f t="shared" si="83"/>
        <v>1</v>
      </c>
      <c r="J421" s="719"/>
      <c r="K421" s="24">
        <f t="shared" si="84"/>
        <v>1</v>
      </c>
      <c r="L421" s="719"/>
      <c r="M421" s="24">
        <f t="shared" si="85"/>
        <v>1</v>
      </c>
      <c r="N421" s="719"/>
      <c r="O421" s="24">
        <f t="shared" si="86"/>
        <v>1</v>
      </c>
      <c r="P421" s="719"/>
      <c r="Q421" s="24">
        <f t="shared" si="87"/>
        <v>0</v>
      </c>
      <c r="R421" s="715">
        <f t="shared" si="88"/>
        <v>0</v>
      </c>
      <c r="S421" s="360">
        <f t="shared" si="79"/>
        <v>0</v>
      </c>
    </row>
    <row r="422" spans="1:19">
      <c r="A422" s="158"/>
      <c r="B422" s="59"/>
      <c r="C422" s="24">
        <f t="shared" si="80"/>
        <v>1</v>
      </c>
      <c r="D422" s="719"/>
      <c r="E422" s="24">
        <f t="shared" si="81"/>
        <v>1</v>
      </c>
      <c r="F422" s="719"/>
      <c r="G422" s="24">
        <f t="shared" si="82"/>
        <v>1</v>
      </c>
      <c r="H422" s="719"/>
      <c r="I422" s="24">
        <f t="shared" si="83"/>
        <v>1</v>
      </c>
      <c r="J422" s="719"/>
      <c r="K422" s="24">
        <f t="shared" si="84"/>
        <v>1</v>
      </c>
      <c r="L422" s="719"/>
      <c r="M422" s="24">
        <f t="shared" si="85"/>
        <v>1</v>
      </c>
      <c r="N422" s="719"/>
      <c r="O422" s="24">
        <f t="shared" si="86"/>
        <v>1</v>
      </c>
      <c r="P422" s="719"/>
      <c r="Q422" s="24">
        <f t="shared" si="87"/>
        <v>0</v>
      </c>
      <c r="R422" s="715">
        <f t="shared" si="88"/>
        <v>0</v>
      </c>
      <c r="S422" s="360">
        <f t="shared" si="79"/>
        <v>0</v>
      </c>
    </row>
    <row r="423" spans="1:19">
      <c r="A423" s="158"/>
      <c r="B423" s="59"/>
      <c r="C423" s="24">
        <f t="shared" si="80"/>
        <v>1</v>
      </c>
      <c r="D423" s="719"/>
      <c r="E423" s="24">
        <f t="shared" si="81"/>
        <v>1</v>
      </c>
      <c r="F423" s="719"/>
      <c r="G423" s="24">
        <f t="shared" si="82"/>
        <v>1</v>
      </c>
      <c r="H423" s="719"/>
      <c r="I423" s="24">
        <f t="shared" si="83"/>
        <v>1</v>
      </c>
      <c r="J423" s="719"/>
      <c r="K423" s="24">
        <f t="shared" si="84"/>
        <v>1</v>
      </c>
      <c r="L423" s="719"/>
      <c r="M423" s="24">
        <f t="shared" si="85"/>
        <v>1</v>
      </c>
      <c r="N423" s="719"/>
      <c r="O423" s="24">
        <f t="shared" si="86"/>
        <v>1</v>
      </c>
      <c r="P423" s="719"/>
      <c r="Q423" s="24">
        <f t="shared" si="87"/>
        <v>0</v>
      </c>
      <c r="R423" s="715">
        <f t="shared" si="88"/>
        <v>0</v>
      </c>
      <c r="S423" s="360">
        <f t="shared" ref="S423:S467" si="89">ROUND(R423*B423/10000,0)</f>
        <v>0</v>
      </c>
    </row>
    <row r="424" spans="1:19">
      <c r="A424" s="158"/>
      <c r="B424" s="59"/>
      <c r="C424" s="24">
        <f t="shared" si="80"/>
        <v>1</v>
      </c>
      <c r="D424" s="719"/>
      <c r="E424" s="24">
        <f t="shared" si="81"/>
        <v>1</v>
      </c>
      <c r="F424" s="719"/>
      <c r="G424" s="24">
        <f t="shared" si="82"/>
        <v>1</v>
      </c>
      <c r="H424" s="719"/>
      <c r="I424" s="24">
        <f t="shared" si="83"/>
        <v>1</v>
      </c>
      <c r="J424" s="719"/>
      <c r="K424" s="24">
        <f t="shared" si="84"/>
        <v>1</v>
      </c>
      <c r="L424" s="719"/>
      <c r="M424" s="24">
        <f t="shared" si="85"/>
        <v>1</v>
      </c>
      <c r="N424" s="719"/>
      <c r="O424" s="24">
        <f t="shared" si="86"/>
        <v>1</v>
      </c>
      <c r="P424" s="719"/>
      <c r="Q424" s="24">
        <f t="shared" si="87"/>
        <v>0</v>
      </c>
      <c r="R424" s="715">
        <f t="shared" si="88"/>
        <v>0</v>
      </c>
      <c r="S424" s="360">
        <f t="shared" si="89"/>
        <v>0</v>
      </c>
    </row>
    <row r="425" spans="1:19">
      <c r="A425" s="158"/>
      <c r="B425" s="59"/>
      <c r="C425" s="24">
        <f t="shared" si="80"/>
        <v>1</v>
      </c>
      <c r="D425" s="719"/>
      <c r="E425" s="24">
        <f t="shared" si="81"/>
        <v>1</v>
      </c>
      <c r="F425" s="719"/>
      <c r="G425" s="24">
        <f t="shared" si="82"/>
        <v>1</v>
      </c>
      <c r="H425" s="719"/>
      <c r="I425" s="24">
        <f t="shared" si="83"/>
        <v>1</v>
      </c>
      <c r="J425" s="719"/>
      <c r="K425" s="24">
        <f t="shared" si="84"/>
        <v>1</v>
      </c>
      <c r="L425" s="719"/>
      <c r="M425" s="24">
        <f t="shared" si="85"/>
        <v>1</v>
      </c>
      <c r="N425" s="719"/>
      <c r="O425" s="24">
        <f t="shared" si="86"/>
        <v>1</v>
      </c>
      <c r="P425" s="719"/>
      <c r="Q425" s="24">
        <f t="shared" si="87"/>
        <v>0</v>
      </c>
      <c r="R425" s="715">
        <f t="shared" si="88"/>
        <v>0</v>
      </c>
      <c r="S425" s="360">
        <f t="shared" si="89"/>
        <v>0</v>
      </c>
    </row>
    <row r="426" spans="1:19">
      <c r="A426" s="158"/>
      <c r="B426" s="59"/>
      <c r="C426" s="24">
        <f t="shared" si="80"/>
        <v>1</v>
      </c>
      <c r="D426" s="719"/>
      <c r="E426" s="24">
        <f t="shared" si="81"/>
        <v>1</v>
      </c>
      <c r="F426" s="719"/>
      <c r="G426" s="24">
        <f t="shared" si="82"/>
        <v>1</v>
      </c>
      <c r="H426" s="719"/>
      <c r="I426" s="24">
        <f t="shared" si="83"/>
        <v>1</v>
      </c>
      <c r="J426" s="719"/>
      <c r="K426" s="24">
        <f t="shared" si="84"/>
        <v>1</v>
      </c>
      <c r="L426" s="719"/>
      <c r="M426" s="24">
        <f t="shared" si="85"/>
        <v>1</v>
      </c>
      <c r="N426" s="719"/>
      <c r="O426" s="24">
        <f t="shared" si="86"/>
        <v>1</v>
      </c>
      <c r="P426" s="719"/>
      <c r="Q426" s="24">
        <f t="shared" si="87"/>
        <v>0</v>
      </c>
      <c r="R426" s="715">
        <f t="shared" si="88"/>
        <v>0</v>
      </c>
      <c r="S426" s="360">
        <f t="shared" si="89"/>
        <v>0</v>
      </c>
    </row>
    <row r="427" spans="1:19">
      <c r="A427" s="158"/>
      <c r="B427" s="59"/>
      <c r="C427" s="24">
        <f t="shared" si="80"/>
        <v>1</v>
      </c>
      <c r="D427" s="719"/>
      <c r="E427" s="24">
        <f t="shared" si="81"/>
        <v>1</v>
      </c>
      <c r="F427" s="719"/>
      <c r="G427" s="24">
        <f t="shared" si="82"/>
        <v>1</v>
      </c>
      <c r="H427" s="719"/>
      <c r="I427" s="24">
        <f t="shared" si="83"/>
        <v>1</v>
      </c>
      <c r="J427" s="719"/>
      <c r="K427" s="24">
        <f t="shared" si="84"/>
        <v>1</v>
      </c>
      <c r="L427" s="719"/>
      <c r="M427" s="24">
        <f t="shared" si="85"/>
        <v>1</v>
      </c>
      <c r="N427" s="719"/>
      <c r="O427" s="24">
        <f t="shared" si="86"/>
        <v>1</v>
      </c>
      <c r="P427" s="719"/>
      <c r="Q427" s="24">
        <f t="shared" si="87"/>
        <v>0</v>
      </c>
      <c r="R427" s="715">
        <f t="shared" si="88"/>
        <v>0</v>
      </c>
      <c r="S427" s="360">
        <f t="shared" si="89"/>
        <v>0</v>
      </c>
    </row>
    <row r="428" spans="1:19">
      <c r="A428" s="158"/>
      <c r="B428" s="59"/>
      <c r="C428" s="24">
        <f t="shared" si="80"/>
        <v>1</v>
      </c>
      <c r="D428" s="719"/>
      <c r="E428" s="24">
        <f t="shared" si="81"/>
        <v>1</v>
      </c>
      <c r="F428" s="719"/>
      <c r="G428" s="24">
        <f t="shared" si="82"/>
        <v>1</v>
      </c>
      <c r="H428" s="719"/>
      <c r="I428" s="24">
        <f t="shared" si="83"/>
        <v>1</v>
      </c>
      <c r="J428" s="719"/>
      <c r="K428" s="24">
        <f t="shared" si="84"/>
        <v>1</v>
      </c>
      <c r="L428" s="719"/>
      <c r="M428" s="24">
        <f t="shared" si="85"/>
        <v>1</v>
      </c>
      <c r="N428" s="719"/>
      <c r="O428" s="24">
        <f t="shared" si="86"/>
        <v>1</v>
      </c>
      <c r="P428" s="719"/>
      <c r="Q428" s="24">
        <f t="shared" si="87"/>
        <v>0</v>
      </c>
      <c r="R428" s="715">
        <f t="shared" si="88"/>
        <v>0</v>
      </c>
      <c r="S428" s="360">
        <f t="shared" si="89"/>
        <v>0</v>
      </c>
    </row>
    <row r="429" spans="1:19">
      <c r="A429" s="158"/>
      <c r="B429" s="59"/>
      <c r="C429" s="24">
        <f t="shared" si="80"/>
        <v>1</v>
      </c>
      <c r="D429" s="719"/>
      <c r="E429" s="24">
        <f t="shared" si="81"/>
        <v>1</v>
      </c>
      <c r="F429" s="719"/>
      <c r="G429" s="24">
        <f t="shared" si="82"/>
        <v>1</v>
      </c>
      <c r="H429" s="719"/>
      <c r="I429" s="24">
        <f t="shared" si="83"/>
        <v>1</v>
      </c>
      <c r="J429" s="719"/>
      <c r="K429" s="24">
        <f t="shared" si="84"/>
        <v>1</v>
      </c>
      <c r="L429" s="719"/>
      <c r="M429" s="24">
        <f t="shared" si="85"/>
        <v>1</v>
      </c>
      <c r="N429" s="719"/>
      <c r="O429" s="24">
        <f t="shared" si="86"/>
        <v>1</v>
      </c>
      <c r="P429" s="719"/>
      <c r="Q429" s="24">
        <f t="shared" si="87"/>
        <v>0</v>
      </c>
      <c r="R429" s="715">
        <f t="shared" si="88"/>
        <v>0</v>
      </c>
      <c r="S429" s="360">
        <f t="shared" si="89"/>
        <v>0</v>
      </c>
    </row>
    <row r="430" spans="1:19">
      <c r="A430" s="158"/>
      <c r="B430" s="59"/>
      <c r="C430" s="24">
        <f t="shared" si="80"/>
        <v>1</v>
      </c>
      <c r="D430" s="719"/>
      <c r="E430" s="24">
        <f t="shared" si="81"/>
        <v>1</v>
      </c>
      <c r="F430" s="719"/>
      <c r="G430" s="24">
        <f t="shared" si="82"/>
        <v>1</v>
      </c>
      <c r="H430" s="719"/>
      <c r="I430" s="24">
        <f t="shared" si="83"/>
        <v>1</v>
      </c>
      <c r="J430" s="719"/>
      <c r="K430" s="24">
        <f t="shared" si="84"/>
        <v>1</v>
      </c>
      <c r="L430" s="719"/>
      <c r="M430" s="24">
        <f t="shared" si="85"/>
        <v>1</v>
      </c>
      <c r="N430" s="719"/>
      <c r="O430" s="24">
        <f t="shared" si="86"/>
        <v>1</v>
      </c>
      <c r="P430" s="719"/>
      <c r="Q430" s="24">
        <f t="shared" si="87"/>
        <v>0</v>
      </c>
      <c r="R430" s="715">
        <f t="shared" si="88"/>
        <v>0</v>
      </c>
      <c r="S430" s="360">
        <f t="shared" si="89"/>
        <v>0</v>
      </c>
    </row>
    <row r="431" spans="1:19">
      <c r="A431" s="158"/>
      <c r="B431" s="59"/>
      <c r="C431" s="24">
        <f t="shared" si="80"/>
        <v>1</v>
      </c>
      <c r="D431" s="719"/>
      <c r="E431" s="24">
        <f t="shared" si="81"/>
        <v>1</v>
      </c>
      <c r="F431" s="719"/>
      <c r="G431" s="24">
        <f t="shared" si="82"/>
        <v>1</v>
      </c>
      <c r="H431" s="719"/>
      <c r="I431" s="24">
        <f t="shared" si="83"/>
        <v>1</v>
      </c>
      <c r="J431" s="719"/>
      <c r="K431" s="24">
        <f t="shared" si="84"/>
        <v>1</v>
      </c>
      <c r="L431" s="719"/>
      <c r="M431" s="24">
        <f t="shared" si="85"/>
        <v>1</v>
      </c>
      <c r="N431" s="719"/>
      <c r="O431" s="24">
        <f t="shared" si="86"/>
        <v>1</v>
      </c>
      <c r="P431" s="719"/>
      <c r="Q431" s="24">
        <f t="shared" si="87"/>
        <v>0</v>
      </c>
      <c r="R431" s="715">
        <f t="shared" si="88"/>
        <v>0</v>
      </c>
      <c r="S431" s="360">
        <f t="shared" si="89"/>
        <v>0</v>
      </c>
    </row>
    <row r="432" spans="1:19">
      <c r="A432" s="158"/>
      <c r="B432" s="59"/>
      <c r="C432" s="24">
        <f t="shared" si="80"/>
        <v>1</v>
      </c>
      <c r="D432" s="719"/>
      <c r="E432" s="24">
        <f t="shared" si="81"/>
        <v>1</v>
      </c>
      <c r="F432" s="719"/>
      <c r="G432" s="24">
        <f t="shared" si="82"/>
        <v>1</v>
      </c>
      <c r="H432" s="719"/>
      <c r="I432" s="24">
        <f t="shared" si="83"/>
        <v>1</v>
      </c>
      <c r="J432" s="719"/>
      <c r="K432" s="24">
        <f t="shared" si="84"/>
        <v>1</v>
      </c>
      <c r="L432" s="719"/>
      <c r="M432" s="24">
        <f t="shared" si="85"/>
        <v>1</v>
      </c>
      <c r="N432" s="719"/>
      <c r="O432" s="24">
        <f t="shared" si="86"/>
        <v>1</v>
      </c>
      <c r="P432" s="719"/>
      <c r="Q432" s="24">
        <f t="shared" si="87"/>
        <v>0</v>
      </c>
      <c r="R432" s="715">
        <f t="shared" si="88"/>
        <v>0</v>
      </c>
      <c r="S432" s="360">
        <f t="shared" si="89"/>
        <v>0</v>
      </c>
    </row>
    <row r="433" spans="1:19">
      <c r="A433" s="158"/>
      <c r="B433" s="59"/>
      <c r="C433" s="24">
        <f t="shared" si="80"/>
        <v>1</v>
      </c>
      <c r="D433" s="719"/>
      <c r="E433" s="24">
        <f t="shared" si="81"/>
        <v>1</v>
      </c>
      <c r="F433" s="719"/>
      <c r="G433" s="24">
        <f t="shared" si="82"/>
        <v>1</v>
      </c>
      <c r="H433" s="719"/>
      <c r="I433" s="24">
        <f t="shared" si="83"/>
        <v>1</v>
      </c>
      <c r="J433" s="719"/>
      <c r="K433" s="24">
        <f t="shared" si="84"/>
        <v>1</v>
      </c>
      <c r="L433" s="719"/>
      <c r="M433" s="24">
        <f t="shared" si="85"/>
        <v>1</v>
      </c>
      <c r="N433" s="719"/>
      <c r="O433" s="24">
        <f t="shared" si="86"/>
        <v>1</v>
      </c>
      <c r="P433" s="719"/>
      <c r="Q433" s="24">
        <f t="shared" si="87"/>
        <v>0</v>
      </c>
      <c r="R433" s="715">
        <f t="shared" si="88"/>
        <v>0</v>
      </c>
      <c r="S433" s="360">
        <f t="shared" si="89"/>
        <v>0</v>
      </c>
    </row>
    <row r="434" spans="1:19">
      <c r="A434" s="158"/>
      <c r="B434" s="59"/>
      <c r="C434" s="24">
        <f t="shared" si="80"/>
        <v>1</v>
      </c>
      <c r="D434" s="719"/>
      <c r="E434" s="24">
        <f t="shared" si="81"/>
        <v>1</v>
      </c>
      <c r="F434" s="719"/>
      <c r="G434" s="24">
        <f t="shared" si="82"/>
        <v>1</v>
      </c>
      <c r="H434" s="719"/>
      <c r="I434" s="24">
        <f t="shared" si="83"/>
        <v>1</v>
      </c>
      <c r="J434" s="719"/>
      <c r="K434" s="24">
        <f t="shared" si="84"/>
        <v>1</v>
      </c>
      <c r="L434" s="719"/>
      <c r="M434" s="24">
        <f t="shared" si="85"/>
        <v>1</v>
      </c>
      <c r="N434" s="719"/>
      <c r="O434" s="24">
        <f t="shared" si="86"/>
        <v>1</v>
      </c>
      <c r="P434" s="719"/>
      <c r="Q434" s="24">
        <f t="shared" si="87"/>
        <v>0</v>
      </c>
      <c r="R434" s="715">
        <f t="shared" si="88"/>
        <v>0</v>
      </c>
      <c r="S434" s="360">
        <f t="shared" si="89"/>
        <v>0</v>
      </c>
    </row>
    <row r="435" spans="1:19">
      <c r="A435" s="158"/>
      <c r="B435" s="59"/>
      <c r="C435" s="24">
        <f t="shared" si="80"/>
        <v>1</v>
      </c>
      <c r="D435" s="719"/>
      <c r="E435" s="24">
        <f t="shared" si="81"/>
        <v>1</v>
      </c>
      <c r="F435" s="719"/>
      <c r="G435" s="24">
        <f t="shared" si="82"/>
        <v>1</v>
      </c>
      <c r="H435" s="719"/>
      <c r="I435" s="24">
        <f t="shared" si="83"/>
        <v>1</v>
      </c>
      <c r="J435" s="719"/>
      <c r="K435" s="24">
        <f t="shared" si="84"/>
        <v>1</v>
      </c>
      <c r="L435" s="719"/>
      <c r="M435" s="24">
        <f t="shared" si="85"/>
        <v>1</v>
      </c>
      <c r="N435" s="719"/>
      <c r="O435" s="24">
        <f t="shared" si="86"/>
        <v>1</v>
      </c>
      <c r="P435" s="719"/>
      <c r="Q435" s="24">
        <f t="shared" si="87"/>
        <v>0</v>
      </c>
      <c r="R435" s="715">
        <f t="shared" si="88"/>
        <v>0</v>
      </c>
      <c r="S435" s="360">
        <f t="shared" si="89"/>
        <v>0</v>
      </c>
    </row>
    <row r="436" spans="1:19">
      <c r="A436" s="158"/>
      <c r="B436" s="59"/>
      <c r="C436" s="24">
        <f t="shared" si="80"/>
        <v>1</v>
      </c>
      <c r="D436" s="719"/>
      <c r="E436" s="24">
        <f t="shared" si="81"/>
        <v>1</v>
      </c>
      <c r="F436" s="719"/>
      <c r="G436" s="24">
        <f t="shared" si="82"/>
        <v>1</v>
      </c>
      <c r="H436" s="719"/>
      <c r="I436" s="24">
        <f t="shared" si="83"/>
        <v>1</v>
      </c>
      <c r="J436" s="719"/>
      <c r="K436" s="24">
        <f t="shared" si="84"/>
        <v>1</v>
      </c>
      <c r="L436" s="719"/>
      <c r="M436" s="24">
        <f t="shared" si="85"/>
        <v>1</v>
      </c>
      <c r="N436" s="719"/>
      <c r="O436" s="24">
        <f t="shared" si="86"/>
        <v>1</v>
      </c>
      <c r="P436" s="719"/>
      <c r="Q436" s="24">
        <f t="shared" si="87"/>
        <v>0</v>
      </c>
      <c r="R436" s="715">
        <f t="shared" si="88"/>
        <v>0</v>
      </c>
      <c r="S436" s="360">
        <f t="shared" si="89"/>
        <v>0</v>
      </c>
    </row>
    <row r="437" spans="1:19">
      <c r="A437" s="158"/>
      <c r="B437" s="59"/>
      <c r="C437" s="24">
        <f t="shared" si="80"/>
        <v>1</v>
      </c>
      <c r="D437" s="719"/>
      <c r="E437" s="24">
        <f t="shared" si="81"/>
        <v>1</v>
      </c>
      <c r="F437" s="719"/>
      <c r="G437" s="24">
        <f t="shared" si="82"/>
        <v>1</v>
      </c>
      <c r="H437" s="719"/>
      <c r="I437" s="24">
        <f t="shared" si="83"/>
        <v>1</v>
      </c>
      <c r="J437" s="719"/>
      <c r="K437" s="24">
        <f t="shared" si="84"/>
        <v>1</v>
      </c>
      <c r="L437" s="719"/>
      <c r="M437" s="24">
        <f t="shared" si="85"/>
        <v>1</v>
      </c>
      <c r="N437" s="719"/>
      <c r="O437" s="24">
        <f t="shared" si="86"/>
        <v>1</v>
      </c>
      <c r="P437" s="719"/>
      <c r="Q437" s="24">
        <f t="shared" si="87"/>
        <v>0</v>
      </c>
      <c r="R437" s="715">
        <f t="shared" si="88"/>
        <v>0</v>
      </c>
      <c r="S437" s="360">
        <f t="shared" si="89"/>
        <v>0</v>
      </c>
    </row>
    <row r="438" spans="1:19">
      <c r="A438" s="158"/>
      <c r="B438" s="59"/>
      <c r="C438" s="24">
        <f t="shared" si="80"/>
        <v>1</v>
      </c>
      <c r="D438" s="719"/>
      <c r="E438" s="24">
        <f t="shared" si="81"/>
        <v>1</v>
      </c>
      <c r="F438" s="719"/>
      <c r="G438" s="24">
        <f t="shared" si="82"/>
        <v>1</v>
      </c>
      <c r="H438" s="719"/>
      <c r="I438" s="24">
        <f t="shared" si="83"/>
        <v>1</v>
      </c>
      <c r="J438" s="719"/>
      <c r="K438" s="24">
        <f t="shared" si="84"/>
        <v>1</v>
      </c>
      <c r="L438" s="719"/>
      <c r="M438" s="24">
        <f t="shared" si="85"/>
        <v>1</v>
      </c>
      <c r="N438" s="719"/>
      <c r="O438" s="24">
        <f t="shared" si="86"/>
        <v>1</v>
      </c>
      <c r="P438" s="719"/>
      <c r="Q438" s="24">
        <f t="shared" si="87"/>
        <v>0</v>
      </c>
      <c r="R438" s="715">
        <f t="shared" si="88"/>
        <v>0</v>
      </c>
      <c r="S438" s="360">
        <f t="shared" si="89"/>
        <v>0</v>
      </c>
    </row>
    <row r="439" spans="1:19">
      <c r="A439" s="158"/>
      <c r="B439" s="59"/>
      <c r="C439" s="24">
        <f t="shared" si="80"/>
        <v>1</v>
      </c>
      <c r="D439" s="719"/>
      <c r="E439" s="24">
        <f t="shared" si="81"/>
        <v>1</v>
      </c>
      <c r="F439" s="719"/>
      <c r="G439" s="24">
        <f t="shared" si="82"/>
        <v>1</v>
      </c>
      <c r="H439" s="719"/>
      <c r="I439" s="24">
        <f t="shared" si="83"/>
        <v>1</v>
      </c>
      <c r="J439" s="719"/>
      <c r="K439" s="24">
        <f t="shared" si="84"/>
        <v>1</v>
      </c>
      <c r="L439" s="719"/>
      <c r="M439" s="24">
        <f t="shared" si="85"/>
        <v>1</v>
      </c>
      <c r="N439" s="719"/>
      <c r="O439" s="24">
        <f t="shared" si="86"/>
        <v>1</v>
      </c>
      <c r="P439" s="719"/>
      <c r="Q439" s="24">
        <f t="shared" si="87"/>
        <v>0</v>
      </c>
      <c r="R439" s="715">
        <f t="shared" si="88"/>
        <v>0</v>
      </c>
      <c r="S439" s="360">
        <f t="shared" si="89"/>
        <v>0</v>
      </c>
    </row>
    <row r="440" spans="1:19">
      <c r="A440" s="158"/>
      <c r="B440" s="59"/>
      <c r="C440" s="24">
        <f t="shared" si="80"/>
        <v>1</v>
      </c>
      <c r="D440" s="719"/>
      <c r="E440" s="24">
        <f t="shared" si="81"/>
        <v>1</v>
      </c>
      <c r="F440" s="719"/>
      <c r="G440" s="24">
        <f t="shared" si="82"/>
        <v>1</v>
      </c>
      <c r="H440" s="719"/>
      <c r="I440" s="24">
        <f t="shared" si="83"/>
        <v>1</v>
      </c>
      <c r="J440" s="719"/>
      <c r="K440" s="24">
        <f t="shared" si="84"/>
        <v>1</v>
      </c>
      <c r="L440" s="719"/>
      <c r="M440" s="24">
        <f t="shared" si="85"/>
        <v>1</v>
      </c>
      <c r="N440" s="719"/>
      <c r="O440" s="24">
        <f t="shared" si="86"/>
        <v>1</v>
      </c>
      <c r="P440" s="719"/>
      <c r="Q440" s="24">
        <f t="shared" si="87"/>
        <v>0</v>
      </c>
      <c r="R440" s="715">
        <f t="shared" si="88"/>
        <v>0</v>
      </c>
      <c r="S440" s="360">
        <f t="shared" si="89"/>
        <v>0</v>
      </c>
    </row>
    <row r="441" spans="1:19">
      <c r="A441" s="158"/>
      <c r="B441" s="59"/>
      <c r="C441" s="24">
        <f t="shared" si="80"/>
        <v>1</v>
      </c>
      <c r="D441" s="719"/>
      <c r="E441" s="24">
        <f t="shared" si="81"/>
        <v>1</v>
      </c>
      <c r="F441" s="719"/>
      <c r="G441" s="24">
        <f t="shared" si="82"/>
        <v>1</v>
      </c>
      <c r="H441" s="719"/>
      <c r="I441" s="24">
        <f t="shared" si="83"/>
        <v>1</v>
      </c>
      <c r="J441" s="719"/>
      <c r="K441" s="24">
        <f t="shared" si="84"/>
        <v>1</v>
      </c>
      <c r="L441" s="719"/>
      <c r="M441" s="24">
        <f t="shared" si="85"/>
        <v>1</v>
      </c>
      <c r="N441" s="719"/>
      <c r="O441" s="24">
        <f t="shared" si="86"/>
        <v>1</v>
      </c>
      <c r="P441" s="719"/>
      <c r="Q441" s="24">
        <f t="shared" si="87"/>
        <v>0</v>
      </c>
      <c r="R441" s="715">
        <f t="shared" si="88"/>
        <v>0</v>
      </c>
      <c r="S441" s="360">
        <f t="shared" si="89"/>
        <v>0</v>
      </c>
    </row>
    <row r="442" spans="1:19">
      <c r="A442" s="158"/>
      <c r="B442" s="59"/>
      <c r="C442" s="24">
        <f t="shared" si="80"/>
        <v>1</v>
      </c>
      <c r="D442" s="719"/>
      <c r="E442" s="24">
        <f t="shared" si="81"/>
        <v>1</v>
      </c>
      <c r="F442" s="719"/>
      <c r="G442" s="24">
        <f t="shared" si="82"/>
        <v>1</v>
      </c>
      <c r="H442" s="719"/>
      <c r="I442" s="24">
        <f t="shared" si="83"/>
        <v>1</v>
      </c>
      <c r="J442" s="719"/>
      <c r="K442" s="24">
        <f t="shared" si="84"/>
        <v>1</v>
      </c>
      <c r="L442" s="719"/>
      <c r="M442" s="24">
        <f t="shared" si="85"/>
        <v>1</v>
      </c>
      <c r="N442" s="719"/>
      <c r="O442" s="24">
        <f t="shared" si="86"/>
        <v>1</v>
      </c>
      <c r="P442" s="719"/>
      <c r="Q442" s="24">
        <f t="shared" si="87"/>
        <v>0</v>
      </c>
      <c r="R442" s="715">
        <f t="shared" si="88"/>
        <v>0</v>
      </c>
      <c r="S442" s="360">
        <f t="shared" si="89"/>
        <v>0</v>
      </c>
    </row>
    <row r="443" spans="1:19">
      <c r="A443" s="158"/>
      <c r="B443" s="59"/>
      <c r="C443" s="24">
        <f t="shared" si="80"/>
        <v>1</v>
      </c>
      <c r="D443" s="719"/>
      <c r="E443" s="24">
        <f t="shared" si="81"/>
        <v>1</v>
      </c>
      <c r="F443" s="719"/>
      <c r="G443" s="24">
        <f t="shared" si="82"/>
        <v>1</v>
      </c>
      <c r="H443" s="719"/>
      <c r="I443" s="24">
        <f t="shared" si="83"/>
        <v>1</v>
      </c>
      <c r="J443" s="719"/>
      <c r="K443" s="24">
        <f t="shared" si="84"/>
        <v>1</v>
      </c>
      <c r="L443" s="719"/>
      <c r="M443" s="24">
        <f t="shared" si="85"/>
        <v>1</v>
      </c>
      <c r="N443" s="719"/>
      <c r="O443" s="24">
        <f t="shared" si="86"/>
        <v>1</v>
      </c>
      <c r="P443" s="719"/>
      <c r="Q443" s="24">
        <f t="shared" si="87"/>
        <v>0</v>
      </c>
      <c r="R443" s="715">
        <f t="shared" si="88"/>
        <v>0</v>
      </c>
      <c r="S443" s="360">
        <f t="shared" si="89"/>
        <v>0</v>
      </c>
    </row>
    <row r="444" spans="1:19">
      <c r="A444" s="158"/>
      <c r="B444" s="59"/>
      <c r="C444" s="24">
        <f t="shared" si="80"/>
        <v>1</v>
      </c>
      <c r="D444" s="719"/>
      <c r="E444" s="24">
        <f t="shared" si="81"/>
        <v>1</v>
      </c>
      <c r="F444" s="719"/>
      <c r="G444" s="24">
        <f t="shared" si="82"/>
        <v>1</v>
      </c>
      <c r="H444" s="719"/>
      <c r="I444" s="24">
        <f t="shared" si="83"/>
        <v>1</v>
      </c>
      <c r="J444" s="719"/>
      <c r="K444" s="24">
        <f t="shared" si="84"/>
        <v>1</v>
      </c>
      <c r="L444" s="719"/>
      <c r="M444" s="24">
        <f t="shared" si="85"/>
        <v>1</v>
      </c>
      <c r="N444" s="719"/>
      <c r="O444" s="24">
        <f t="shared" si="86"/>
        <v>1</v>
      </c>
      <c r="P444" s="719"/>
      <c r="Q444" s="24">
        <f t="shared" si="87"/>
        <v>0</v>
      </c>
      <c r="R444" s="715">
        <f t="shared" si="88"/>
        <v>0</v>
      </c>
      <c r="S444" s="360">
        <f t="shared" si="89"/>
        <v>0</v>
      </c>
    </row>
    <row r="445" spans="1:19">
      <c r="A445" s="158"/>
      <c r="B445" s="59"/>
      <c r="C445" s="24">
        <f t="shared" si="80"/>
        <v>1</v>
      </c>
      <c r="D445" s="719"/>
      <c r="E445" s="24">
        <f t="shared" si="81"/>
        <v>1</v>
      </c>
      <c r="F445" s="719"/>
      <c r="G445" s="24">
        <f t="shared" si="82"/>
        <v>1</v>
      </c>
      <c r="H445" s="719"/>
      <c r="I445" s="24">
        <f t="shared" si="83"/>
        <v>1</v>
      </c>
      <c r="J445" s="719"/>
      <c r="K445" s="24">
        <f t="shared" si="84"/>
        <v>1</v>
      </c>
      <c r="L445" s="719"/>
      <c r="M445" s="24">
        <f t="shared" si="85"/>
        <v>1</v>
      </c>
      <c r="N445" s="719"/>
      <c r="O445" s="24">
        <f t="shared" si="86"/>
        <v>1</v>
      </c>
      <c r="P445" s="719"/>
      <c r="Q445" s="24">
        <f t="shared" si="87"/>
        <v>0</v>
      </c>
      <c r="R445" s="715">
        <f t="shared" si="88"/>
        <v>0</v>
      </c>
      <c r="S445" s="360">
        <f t="shared" si="89"/>
        <v>0</v>
      </c>
    </row>
    <row r="446" spans="1:19">
      <c r="A446" s="158"/>
      <c r="B446" s="59"/>
      <c r="C446" s="24">
        <f t="shared" si="80"/>
        <v>1</v>
      </c>
      <c r="D446" s="719"/>
      <c r="E446" s="24">
        <f t="shared" si="81"/>
        <v>1</v>
      </c>
      <c r="F446" s="719"/>
      <c r="G446" s="24">
        <f t="shared" si="82"/>
        <v>1</v>
      </c>
      <c r="H446" s="719"/>
      <c r="I446" s="24">
        <f t="shared" si="83"/>
        <v>1</v>
      </c>
      <c r="J446" s="719"/>
      <c r="K446" s="24">
        <f t="shared" si="84"/>
        <v>1</v>
      </c>
      <c r="L446" s="719"/>
      <c r="M446" s="24">
        <f t="shared" si="85"/>
        <v>1</v>
      </c>
      <c r="N446" s="719"/>
      <c r="O446" s="24">
        <f t="shared" si="86"/>
        <v>1</v>
      </c>
      <c r="P446" s="719"/>
      <c r="Q446" s="24">
        <f t="shared" si="87"/>
        <v>0</v>
      </c>
      <c r="R446" s="715">
        <f t="shared" si="88"/>
        <v>0</v>
      </c>
      <c r="S446" s="360">
        <f t="shared" si="89"/>
        <v>0</v>
      </c>
    </row>
    <row r="447" spans="1:19">
      <c r="A447" s="158"/>
      <c r="B447" s="59"/>
      <c r="C447" s="24">
        <f t="shared" si="80"/>
        <v>1</v>
      </c>
      <c r="D447" s="719"/>
      <c r="E447" s="24">
        <f t="shared" si="81"/>
        <v>1</v>
      </c>
      <c r="F447" s="719"/>
      <c r="G447" s="24">
        <f t="shared" si="82"/>
        <v>1</v>
      </c>
      <c r="H447" s="719"/>
      <c r="I447" s="24">
        <f t="shared" si="83"/>
        <v>1</v>
      </c>
      <c r="J447" s="719"/>
      <c r="K447" s="24">
        <f t="shared" si="84"/>
        <v>1</v>
      </c>
      <c r="L447" s="719"/>
      <c r="M447" s="24">
        <f t="shared" si="85"/>
        <v>1</v>
      </c>
      <c r="N447" s="719"/>
      <c r="O447" s="24">
        <f t="shared" si="86"/>
        <v>1</v>
      </c>
      <c r="P447" s="719"/>
      <c r="Q447" s="24">
        <f t="shared" si="87"/>
        <v>0</v>
      </c>
      <c r="R447" s="715">
        <f t="shared" si="88"/>
        <v>0</v>
      </c>
      <c r="S447" s="360">
        <f t="shared" si="89"/>
        <v>0</v>
      </c>
    </row>
    <row r="448" spans="1:19">
      <c r="A448" s="158"/>
      <c r="B448" s="59"/>
      <c r="C448" s="24">
        <f t="shared" si="80"/>
        <v>1</v>
      </c>
      <c r="D448" s="719"/>
      <c r="E448" s="24">
        <f t="shared" si="81"/>
        <v>1</v>
      </c>
      <c r="F448" s="719"/>
      <c r="G448" s="24">
        <f t="shared" si="82"/>
        <v>1</v>
      </c>
      <c r="H448" s="719"/>
      <c r="I448" s="24">
        <f t="shared" si="83"/>
        <v>1</v>
      </c>
      <c r="J448" s="719"/>
      <c r="K448" s="24">
        <f t="shared" si="84"/>
        <v>1</v>
      </c>
      <c r="L448" s="719"/>
      <c r="M448" s="24">
        <f t="shared" si="85"/>
        <v>1</v>
      </c>
      <c r="N448" s="719"/>
      <c r="O448" s="24">
        <f t="shared" si="86"/>
        <v>1</v>
      </c>
      <c r="P448" s="719"/>
      <c r="Q448" s="24">
        <f t="shared" si="87"/>
        <v>0</v>
      </c>
      <c r="R448" s="715">
        <f t="shared" si="88"/>
        <v>0</v>
      </c>
      <c r="S448" s="360">
        <f t="shared" si="89"/>
        <v>0</v>
      </c>
    </row>
    <row r="449" spans="1:19">
      <c r="A449" s="158"/>
      <c r="B449" s="59"/>
      <c r="C449" s="24">
        <f t="shared" si="80"/>
        <v>1</v>
      </c>
      <c r="D449" s="719"/>
      <c r="E449" s="24">
        <f t="shared" si="81"/>
        <v>1</v>
      </c>
      <c r="F449" s="719"/>
      <c r="G449" s="24">
        <f t="shared" si="82"/>
        <v>1</v>
      </c>
      <c r="H449" s="719"/>
      <c r="I449" s="24">
        <f t="shared" si="83"/>
        <v>1</v>
      </c>
      <c r="J449" s="719"/>
      <c r="K449" s="24">
        <f t="shared" si="84"/>
        <v>1</v>
      </c>
      <c r="L449" s="719"/>
      <c r="M449" s="24">
        <f t="shared" si="85"/>
        <v>1</v>
      </c>
      <c r="N449" s="719"/>
      <c r="O449" s="24">
        <f t="shared" si="86"/>
        <v>1</v>
      </c>
      <c r="P449" s="719"/>
      <c r="Q449" s="24">
        <f t="shared" si="87"/>
        <v>0</v>
      </c>
      <c r="R449" s="715">
        <f t="shared" si="88"/>
        <v>0</v>
      </c>
      <c r="S449" s="360">
        <f t="shared" si="89"/>
        <v>0</v>
      </c>
    </row>
    <row r="450" spans="1:19">
      <c r="A450" s="158"/>
      <c r="B450" s="59"/>
      <c r="C450" s="24">
        <f t="shared" si="80"/>
        <v>1</v>
      </c>
      <c r="D450" s="719"/>
      <c r="E450" s="24">
        <f t="shared" si="81"/>
        <v>1</v>
      </c>
      <c r="F450" s="719"/>
      <c r="G450" s="24">
        <f t="shared" si="82"/>
        <v>1</v>
      </c>
      <c r="H450" s="719"/>
      <c r="I450" s="24">
        <f t="shared" si="83"/>
        <v>1</v>
      </c>
      <c r="J450" s="719"/>
      <c r="K450" s="24">
        <f t="shared" si="84"/>
        <v>1</v>
      </c>
      <c r="L450" s="719"/>
      <c r="M450" s="24">
        <f t="shared" si="85"/>
        <v>1</v>
      </c>
      <c r="N450" s="719"/>
      <c r="O450" s="24">
        <f t="shared" si="86"/>
        <v>1</v>
      </c>
      <c r="P450" s="719"/>
      <c r="Q450" s="24">
        <f t="shared" si="87"/>
        <v>0</v>
      </c>
      <c r="R450" s="715">
        <f t="shared" si="88"/>
        <v>0</v>
      </c>
      <c r="S450" s="360">
        <f t="shared" si="89"/>
        <v>0</v>
      </c>
    </row>
    <row r="451" spans="1:19">
      <c r="A451" s="158"/>
      <c r="B451" s="59"/>
      <c r="C451" s="24">
        <f t="shared" si="80"/>
        <v>1</v>
      </c>
      <c r="D451" s="719"/>
      <c r="E451" s="24">
        <f t="shared" si="81"/>
        <v>1</v>
      </c>
      <c r="F451" s="719"/>
      <c r="G451" s="24">
        <f t="shared" si="82"/>
        <v>1</v>
      </c>
      <c r="H451" s="719"/>
      <c r="I451" s="24">
        <f t="shared" si="83"/>
        <v>1</v>
      </c>
      <c r="J451" s="719"/>
      <c r="K451" s="24">
        <f t="shared" si="84"/>
        <v>1</v>
      </c>
      <c r="L451" s="719"/>
      <c r="M451" s="24">
        <f t="shared" si="85"/>
        <v>1</v>
      </c>
      <c r="N451" s="719"/>
      <c r="O451" s="24">
        <f t="shared" si="86"/>
        <v>1</v>
      </c>
      <c r="P451" s="719"/>
      <c r="Q451" s="24">
        <f t="shared" si="87"/>
        <v>0</v>
      </c>
      <c r="R451" s="715">
        <f t="shared" si="88"/>
        <v>0</v>
      </c>
      <c r="S451" s="360">
        <f t="shared" si="89"/>
        <v>0</v>
      </c>
    </row>
    <row r="452" spans="1:19">
      <c r="A452" s="158"/>
      <c r="B452" s="59"/>
      <c r="C452" s="24">
        <f t="shared" si="80"/>
        <v>1</v>
      </c>
      <c r="D452" s="719"/>
      <c r="E452" s="24">
        <f t="shared" si="81"/>
        <v>1</v>
      </c>
      <c r="F452" s="719"/>
      <c r="G452" s="24">
        <f t="shared" si="82"/>
        <v>1</v>
      </c>
      <c r="H452" s="719"/>
      <c r="I452" s="24">
        <f t="shared" si="83"/>
        <v>1</v>
      </c>
      <c r="J452" s="719"/>
      <c r="K452" s="24">
        <f t="shared" si="84"/>
        <v>1</v>
      </c>
      <c r="L452" s="719"/>
      <c r="M452" s="24">
        <f t="shared" si="85"/>
        <v>1</v>
      </c>
      <c r="N452" s="719"/>
      <c r="O452" s="24">
        <f t="shared" si="86"/>
        <v>1</v>
      </c>
      <c r="P452" s="719"/>
      <c r="Q452" s="24">
        <f t="shared" si="87"/>
        <v>0</v>
      </c>
      <c r="R452" s="715">
        <f t="shared" si="88"/>
        <v>0</v>
      </c>
      <c r="S452" s="360">
        <f t="shared" si="89"/>
        <v>0</v>
      </c>
    </row>
    <row r="453" spans="1:19">
      <c r="A453" s="158"/>
      <c r="B453" s="59"/>
      <c r="C453" s="24">
        <f t="shared" si="80"/>
        <v>1</v>
      </c>
      <c r="D453" s="719"/>
      <c r="E453" s="24">
        <f t="shared" si="81"/>
        <v>1</v>
      </c>
      <c r="F453" s="719"/>
      <c r="G453" s="24">
        <f t="shared" si="82"/>
        <v>1</v>
      </c>
      <c r="H453" s="719"/>
      <c r="I453" s="24">
        <f t="shared" si="83"/>
        <v>1</v>
      </c>
      <c r="J453" s="719"/>
      <c r="K453" s="24">
        <f t="shared" si="84"/>
        <v>1</v>
      </c>
      <c r="L453" s="719"/>
      <c r="M453" s="24">
        <f t="shared" si="85"/>
        <v>1</v>
      </c>
      <c r="N453" s="719"/>
      <c r="O453" s="24">
        <f t="shared" si="86"/>
        <v>1</v>
      </c>
      <c r="P453" s="719"/>
      <c r="Q453" s="24">
        <f t="shared" si="87"/>
        <v>0</v>
      </c>
      <c r="R453" s="715">
        <f t="shared" si="88"/>
        <v>0</v>
      </c>
      <c r="S453" s="360">
        <f t="shared" si="89"/>
        <v>0</v>
      </c>
    </row>
    <row r="454" spans="1:19">
      <c r="A454" s="158"/>
      <c r="B454" s="59"/>
      <c r="C454" s="24">
        <f t="shared" si="80"/>
        <v>1</v>
      </c>
      <c r="D454" s="719"/>
      <c r="E454" s="24">
        <f t="shared" si="81"/>
        <v>1</v>
      </c>
      <c r="F454" s="719"/>
      <c r="G454" s="24">
        <f t="shared" si="82"/>
        <v>1</v>
      </c>
      <c r="H454" s="719"/>
      <c r="I454" s="24">
        <f t="shared" si="83"/>
        <v>1</v>
      </c>
      <c r="J454" s="719"/>
      <c r="K454" s="24">
        <f t="shared" si="84"/>
        <v>1</v>
      </c>
      <c r="L454" s="719"/>
      <c r="M454" s="24">
        <f t="shared" si="85"/>
        <v>1</v>
      </c>
      <c r="N454" s="719"/>
      <c r="O454" s="24">
        <f t="shared" si="86"/>
        <v>1</v>
      </c>
      <c r="P454" s="719"/>
      <c r="Q454" s="24">
        <f t="shared" si="87"/>
        <v>0</v>
      </c>
      <c r="R454" s="715">
        <f t="shared" si="88"/>
        <v>0</v>
      </c>
      <c r="S454" s="360">
        <f t="shared" si="89"/>
        <v>0</v>
      </c>
    </row>
    <row r="455" spans="1:19">
      <c r="A455" s="158"/>
      <c r="B455" s="59"/>
      <c r="C455" s="24">
        <f t="shared" si="80"/>
        <v>1</v>
      </c>
      <c r="D455" s="719"/>
      <c r="E455" s="24">
        <f t="shared" si="81"/>
        <v>1</v>
      </c>
      <c r="F455" s="719"/>
      <c r="G455" s="24">
        <f t="shared" si="82"/>
        <v>1</v>
      </c>
      <c r="H455" s="719"/>
      <c r="I455" s="24">
        <f t="shared" si="83"/>
        <v>1</v>
      </c>
      <c r="J455" s="719"/>
      <c r="K455" s="24">
        <f t="shared" si="84"/>
        <v>1</v>
      </c>
      <c r="L455" s="719"/>
      <c r="M455" s="24">
        <f t="shared" si="85"/>
        <v>1</v>
      </c>
      <c r="N455" s="719"/>
      <c r="O455" s="24">
        <f t="shared" si="86"/>
        <v>1</v>
      </c>
      <c r="P455" s="719"/>
      <c r="Q455" s="24">
        <f t="shared" si="87"/>
        <v>0</v>
      </c>
      <c r="R455" s="715">
        <f t="shared" si="88"/>
        <v>0</v>
      </c>
      <c r="S455" s="360">
        <f t="shared" si="89"/>
        <v>0</v>
      </c>
    </row>
    <row r="456" spans="1:19">
      <c r="A456" s="158"/>
      <c r="B456" s="59"/>
      <c r="C456" s="24">
        <f t="shared" si="80"/>
        <v>1</v>
      </c>
      <c r="D456" s="719"/>
      <c r="E456" s="24">
        <f t="shared" si="81"/>
        <v>1</v>
      </c>
      <c r="F456" s="719"/>
      <c r="G456" s="24">
        <f t="shared" si="82"/>
        <v>1</v>
      </c>
      <c r="H456" s="719"/>
      <c r="I456" s="24">
        <f t="shared" si="83"/>
        <v>1</v>
      </c>
      <c r="J456" s="719"/>
      <c r="K456" s="24">
        <f t="shared" si="84"/>
        <v>1</v>
      </c>
      <c r="L456" s="719"/>
      <c r="M456" s="24">
        <f t="shared" si="85"/>
        <v>1</v>
      </c>
      <c r="N456" s="719"/>
      <c r="O456" s="24">
        <f t="shared" si="86"/>
        <v>1</v>
      </c>
      <c r="P456" s="719"/>
      <c r="Q456" s="24">
        <f t="shared" si="87"/>
        <v>0</v>
      </c>
      <c r="R456" s="715">
        <f t="shared" si="88"/>
        <v>0</v>
      </c>
      <c r="S456" s="360">
        <f t="shared" si="89"/>
        <v>0</v>
      </c>
    </row>
    <row r="457" spans="1:19">
      <c r="A457" s="158"/>
      <c r="B457" s="59"/>
      <c r="C457" s="24">
        <f t="shared" si="80"/>
        <v>1</v>
      </c>
      <c r="D457" s="719"/>
      <c r="E457" s="24">
        <f t="shared" si="81"/>
        <v>1</v>
      </c>
      <c r="F457" s="719"/>
      <c r="G457" s="24">
        <f t="shared" si="82"/>
        <v>1</v>
      </c>
      <c r="H457" s="719"/>
      <c r="I457" s="24">
        <f t="shared" si="83"/>
        <v>1</v>
      </c>
      <c r="J457" s="719"/>
      <c r="K457" s="24">
        <f t="shared" si="84"/>
        <v>1</v>
      </c>
      <c r="L457" s="719"/>
      <c r="M457" s="24">
        <f t="shared" si="85"/>
        <v>1</v>
      </c>
      <c r="N457" s="719"/>
      <c r="O457" s="24">
        <f t="shared" si="86"/>
        <v>1</v>
      </c>
      <c r="P457" s="719"/>
      <c r="Q457" s="24">
        <f t="shared" si="87"/>
        <v>0</v>
      </c>
      <c r="R457" s="715">
        <f t="shared" si="88"/>
        <v>0</v>
      </c>
      <c r="S457" s="360">
        <f t="shared" si="89"/>
        <v>0</v>
      </c>
    </row>
    <row r="458" spans="1:19">
      <c r="A458" s="158"/>
      <c r="B458" s="59"/>
      <c r="C458" s="24">
        <f t="shared" si="80"/>
        <v>1</v>
      </c>
      <c r="D458" s="719"/>
      <c r="E458" s="24">
        <f t="shared" si="81"/>
        <v>1</v>
      </c>
      <c r="F458" s="719"/>
      <c r="G458" s="24">
        <f t="shared" si="82"/>
        <v>1</v>
      </c>
      <c r="H458" s="719"/>
      <c r="I458" s="24">
        <f t="shared" si="83"/>
        <v>1</v>
      </c>
      <c r="J458" s="719"/>
      <c r="K458" s="24">
        <f t="shared" si="84"/>
        <v>1</v>
      </c>
      <c r="L458" s="719"/>
      <c r="M458" s="24">
        <f t="shared" si="85"/>
        <v>1</v>
      </c>
      <c r="N458" s="719"/>
      <c r="O458" s="24">
        <f t="shared" si="86"/>
        <v>1</v>
      </c>
      <c r="P458" s="719"/>
      <c r="Q458" s="24">
        <f t="shared" si="87"/>
        <v>0</v>
      </c>
      <c r="R458" s="715">
        <f t="shared" si="88"/>
        <v>0</v>
      </c>
      <c r="S458" s="360">
        <f t="shared" si="89"/>
        <v>0</v>
      </c>
    </row>
    <row r="459" spans="1:19">
      <c r="A459" s="158"/>
      <c r="B459" s="59"/>
      <c r="C459" s="24">
        <f t="shared" si="80"/>
        <v>1</v>
      </c>
      <c r="D459" s="719"/>
      <c r="E459" s="24">
        <f t="shared" si="81"/>
        <v>1</v>
      </c>
      <c r="F459" s="719"/>
      <c r="G459" s="24">
        <f t="shared" si="82"/>
        <v>1</v>
      </c>
      <c r="H459" s="719"/>
      <c r="I459" s="24">
        <f t="shared" si="83"/>
        <v>1</v>
      </c>
      <c r="J459" s="719"/>
      <c r="K459" s="24">
        <f t="shared" si="84"/>
        <v>1</v>
      </c>
      <c r="L459" s="719"/>
      <c r="M459" s="24">
        <f t="shared" si="85"/>
        <v>1</v>
      </c>
      <c r="N459" s="719"/>
      <c r="O459" s="24">
        <f t="shared" si="86"/>
        <v>1</v>
      </c>
      <c r="P459" s="719"/>
      <c r="Q459" s="24">
        <f t="shared" si="87"/>
        <v>0</v>
      </c>
      <c r="R459" s="715">
        <f t="shared" si="88"/>
        <v>0</v>
      </c>
      <c r="S459" s="360">
        <f t="shared" si="89"/>
        <v>0</v>
      </c>
    </row>
    <row r="460" spans="1:19">
      <c r="A460" s="158"/>
      <c r="B460" s="59"/>
      <c r="C460" s="24">
        <f t="shared" si="80"/>
        <v>1</v>
      </c>
      <c r="D460" s="719"/>
      <c r="E460" s="24">
        <f t="shared" si="81"/>
        <v>1</v>
      </c>
      <c r="F460" s="719"/>
      <c r="G460" s="24">
        <f t="shared" si="82"/>
        <v>1</v>
      </c>
      <c r="H460" s="719"/>
      <c r="I460" s="24">
        <f t="shared" si="83"/>
        <v>1</v>
      </c>
      <c r="J460" s="719"/>
      <c r="K460" s="24">
        <f t="shared" si="84"/>
        <v>1</v>
      </c>
      <c r="L460" s="719"/>
      <c r="M460" s="24">
        <f t="shared" si="85"/>
        <v>1</v>
      </c>
      <c r="N460" s="719"/>
      <c r="O460" s="24">
        <f t="shared" si="86"/>
        <v>1</v>
      </c>
      <c r="P460" s="719"/>
      <c r="Q460" s="24">
        <f t="shared" si="87"/>
        <v>0</v>
      </c>
      <c r="R460" s="715">
        <f t="shared" si="88"/>
        <v>0</v>
      </c>
      <c r="S460" s="360">
        <f t="shared" si="89"/>
        <v>0</v>
      </c>
    </row>
    <row r="461" spans="1:19">
      <c r="A461" s="158"/>
      <c r="B461" s="59"/>
      <c r="C461" s="24">
        <f t="shared" si="80"/>
        <v>1</v>
      </c>
      <c r="D461" s="719"/>
      <c r="E461" s="24">
        <f t="shared" si="81"/>
        <v>1</v>
      </c>
      <c r="F461" s="719"/>
      <c r="G461" s="24">
        <f t="shared" si="82"/>
        <v>1</v>
      </c>
      <c r="H461" s="719"/>
      <c r="I461" s="24">
        <f t="shared" si="83"/>
        <v>1</v>
      </c>
      <c r="J461" s="719"/>
      <c r="K461" s="24">
        <f t="shared" si="84"/>
        <v>1</v>
      </c>
      <c r="L461" s="719"/>
      <c r="M461" s="24">
        <f t="shared" si="85"/>
        <v>1</v>
      </c>
      <c r="N461" s="719"/>
      <c r="O461" s="24">
        <f t="shared" si="86"/>
        <v>1</v>
      </c>
      <c r="P461" s="719"/>
      <c r="Q461" s="24">
        <f t="shared" si="87"/>
        <v>0</v>
      </c>
      <c r="R461" s="715">
        <f t="shared" si="88"/>
        <v>0</v>
      </c>
      <c r="S461" s="360">
        <f t="shared" si="89"/>
        <v>0</v>
      </c>
    </row>
    <row r="462" spans="1:19">
      <c r="A462" s="158"/>
      <c r="B462" s="59"/>
      <c r="C462" s="24">
        <f t="shared" si="80"/>
        <v>1</v>
      </c>
      <c r="D462" s="719"/>
      <c r="E462" s="24">
        <f t="shared" si="81"/>
        <v>1</v>
      </c>
      <c r="F462" s="719"/>
      <c r="G462" s="24">
        <f t="shared" si="82"/>
        <v>1</v>
      </c>
      <c r="H462" s="719"/>
      <c r="I462" s="24">
        <f t="shared" si="83"/>
        <v>1</v>
      </c>
      <c r="J462" s="719"/>
      <c r="K462" s="24">
        <f t="shared" si="84"/>
        <v>1</v>
      </c>
      <c r="L462" s="719"/>
      <c r="M462" s="24">
        <f t="shared" si="85"/>
        <v>1</v>
      </c>
      <c r="N462" s="719"/>
      <c r="O462" s="24">
        <f t="shared" si="86"/>
        <v>1</v>
      </c>
      <c r="P462" s="719"/>
      <c r="Q462" s="24">
        <f t="shared" si="87"/>
        <v>0</v>
      </c>
      <c r="R462" s="715">
        <f t="shared" si="88"/>
        <v>0</v>
      </c>
      <c r="S462" s="360">
        <f t="shared" si="89"/>
        <v>0</v>
      </c>
    </row>
    <row r="463" spans="1:19">
      <c r="A463" s="158"/>
      <c r="B463" s="59"/>
      <c r="C463" s="24">
        <f t="shared" si="80"/>
        <v>1</v>
      </c>
      <c r="D463" s="719"/>
      <c r="E463" s="24">
        <f t="shared" si="81"/>
        <v>1</v>
      </c>
      <c r="F463" s="719"/>
      <c r="G463" s="24">
        <f t="shared" si="82"/>
        <v>1</v>
      </c>
      <c r="H463" s="719"/>
      <c r="I463" s="24">
        <f t="shared" si="83"/>
        <v>1</v>
      </c>
      <c r="J463" s="719"/>
      <c r="K463" s="24">
        <f t="shared" si="84"/>
        <v>1</v>
      </c>
      <c r="L463" s="719"/>
      <c r="M463" s="24">
        <f t="shared" si="85"/>
        <v>1</v>
      </c>
      <c r="N463" s="719"/>
      <c r="O463" s="24">
        <f t="shared" si="86"/>
        <v>1</v>
      </c>
      <c r="P463" s="719"/>
      <c r="Q463" s="24">
        <f t="shared" si="87"/>
        <v>0</v>
      </c>
      <c r="R463" s="715">
        <f t="shared" si="88"/>
        <v>0</v>
      </c>
      <c r="S463" s="360">
        <f t="shared" si="89"/>
        <v>0</v>
      </c>
    </row>
    <row r="464" spans="1:19">
      <c r="A464" s="158"/>
      <c r="B464" s="59"/>
      <c r="C464" s="24">
        <f t="shared" si="80"/>
        <v>1</v>
      </c>
      <c r="D464" s="719"/>
      <c r="E464" s="24">
        <f t="shared" si="81"/>
        <v>1</v>
      </c>
      <c r="F464" s="719"/>
      <c r="G464" s="24">
        <f t="shared" si="82"/>
        <v>1</v>
      </c>
      <c r="H464" s="719"/>
      <c r="I464" s="24">
        <f t="shared" si="83"/>
        <v>1</v>
      </c>
      <c r="J464" s="719"/>
      <c r="K464" s="24">
        <f t="shared" si="84"/>
        <v>1</v>
      </c>
      <c r="L464" s="719"/>
      <c r="M464" s="24">
        <f t="shared" si="85"/>
        <v>1</v>
      </c>
      <c r="N464" s="719"/>
      <c r="O464" s="24">
        <f t="shared" si="86"/>
        <v>1</v>
      </c>
      <c r="P464" s="719"/>
      <c r="Q464" s="24">
        <f t="shared" si="87"/>
        <v>0</v>
      </c>
      <c r="R464" s="715">
        <f t="shared" si="88"/>
        <v>0</v>
      </c>
      <c r="S464" s="360">
        <f t="shared" si="89"/>
        <v>0</v>
      </c>
    </row>
    <row r="465" spans="1:19">
      <c r="A465" s="158"/>
      <c r="B465" s="59"/>
      <c r="C465" s="24">
        <f t="shared" si="80"/>
        <v>1</v>
      </c>
      <c r="D465" s="719"/>
      <c r="E465" s="24">
        <f t="shared" si="81"/>
        <v>1</v>
      </c>
      <c r="F465" s="719"/>
      <c r="G465" s="24">
        <f t="shared" si="82"/>
        <v>1</v>
      </c>
      <c r="H465" s="719"/>
      <c r="I465" s="24">
        <f t="shared" si="83"/>
        <v>1</v>
      </c>
      <c r="J465" s="719"/>
      <c r="K465" s="24">
        <f t="shared" si="84"/>
        <v>1</v>
      </c>
      <c r="L465" s="719"/>
      <c r="M465" s="24">
        <f t="shared" si="85"/>
        <v>1</v>
      </c>
      <c r="N465" s="719"/>
      <c r="O465" s="24">
        <f t="shared" si="86"/>
        <v>1</v>
      </c>
      <c r="P465" s="719"/>
      <c r="Q465" s="24">
        <f t="shared" si="87"/>
        <v>0</v>
      </c>
      <c r="R465" s="715">
        <f t="shared" si="88"/>
        <v>0</v>
      </c>
      <c r="S465" s="360">
        <f t="shared" si="89"/>
        <v>0</v>
      </c>
    </row>
    <row r="466" spans="1:19">
      <c r="A466" s="158"/>
      <c r="B466" s="59"/>
      <c r="C466" s="24">
        <f t="shared" si="80"/>
        <v>1</v>
      </c>
      <c r="D466" s="719"/>
      <c r="E466" s="24">
        <f t="shared" si="81"/>
        <v>1</v>
      </c>
      <c r="F466" s="719"/>
      <c r="G466" s="24">
        <f t="shared" si="82"/>
        <v>1</v>
      </c>
      <c r="H466" s="719"/>
      <c r="I466" s="24">
        <f t="shared" si="83"/>
        <v>1</v>
      </c>
      <c r="J466" s="719"/>
      <c r="K466" s="24">
        <f t="shared" si="84"/>
        <v>1</v>
      </c>
      <c r="L466" s="719"/>
      <c r="M466" s="24">
        <f t="shared" si="85"/>
        <v>1</v>
      </c>
      <c r="N466" s="719"/>
      <c r="O466" s="24">
        <f t="shared" si="86"/>
        <v>1</v>
      </c>
      <c r="P466" s="719"/>
      <c r="Q466" s="24">
        <f t="shared" si="87"/>
        <v>0</v>
      </c>
      <c r="R466" s="715">
        <f t="shared" si="88"/>
        <v>0</v>
      </c>
      <c r="S466" s="360">
        <f t="shared" si="89"/>
        <v>0</v>
      </c>
    </row>
    <row r="467" spans="1:19">
      <c r="A467" s="158"/>
      <c r="B467" s="59"/>
      <c r="C467" s="24">
        <f t="shared" si="80"/>
        <v>1</v>
      </c>
      <c r="D467" s="719"/>
      <c r="E467" s="24">
        <f t="shared" si="81"/>
        <v>1</v>
      </c>
      <c r="F467" s="719"/>
      <c r="G467" s="24">
        <f t="shared" si="82"/>
        <v>1</v>
      </c>
      <c r="H467" s="719"/>
      <c r="I467" s="24">
        <f t="shared" si="83"/>
        <v>1</v>
      </c>
      <c r="J467" s="719"/>
      <c r="K467" s="24">
        <f t="shared" si="84"/>
        <v>1</v>
      </c>
      <c r="L467" s="719"/>
      <c r="M467" s="24">
        <f t="shared" si="85"/>
        <v>1</v>
      </c>
      <c r="N467" s="719"/>
      <c r="O467" s="24">
        <f t="shared" si="86"/>
        <v>1</v>
      </c>
      <c r="P467" s="719"/>
      <c r="Q467" s="24">
        <f t="shared" si="87"/>
        <v>0</v>
      </c>
      <c r="R467" s="715">
        <f t="shared" si="88"/>
        <v>0</v>
      </c>
      <c r="S467" s="360">
        <f t="shared" si="89"/>
        <v>0</v>
      </c>
    </row>
    <row r="468" spans="1:19">
      <c r="A468" s="158"/>
      <c r="B468" s="59"/>
      <c r="C468" s="24">
        <f t="shared" si="80"/>
        <v>1</v>
      </c>
      <c r="D468" s="719"/>
      <c r="E468" s="24">
        <f t="shared" si="81"/>
        <v>1</v>
      </c>
      <c r="F468" s="719"/>
      <c r="G468" s="24">
        <f t="shared" si="82"/>
        <v>1</v>
      </c>
      <c r="H468" s="719"/>
      <c r="I468" s="24">
        <f t="shared" si="83"/>
        <v>1</v>
      </c>
      <c r="J468" s="719"/>
      <c r="K468" s="24">
        <f t="shared" si="84"/>
        <v>1</v>
      </c>
      <c r="L468" s="719"/>
      <c r="M468" s="24">
        <f t="shared" si="85"/>
        <v>1</v>
      </c>
      <c r="N468" s="719"/>
      <c r="O468" s="24">
        <f t="shared" si="86"/>
        <v>1</v>
      </c>
      <c r="P468" s="719"/>
      <c r="Q468" s="24">
        <f t="shared" si="87"/>
        <v>0</v>
      </c>
      <c r="R468" s="715">
        <f t="shared" si="88"/>
        <v>0</v>
      </c>
      <c r="S468" s="360">
        <f t="shared" ref="S468:S497" si="90">ROUND(R468*B468/10000,0)</f>
        <v>0</v>
      </c>
    </row>
    <row r="469" spans="1:19">
      <c r="A469" s="158"/>
      <c r="B469" s="59"/>
      <c r="C469" s="24">
        <f t="shared" si="80"/>
        <v>1</v>
      </c>
      <c r="D469" s="719"/>
      <c r="E469" s="24">
        <f t="shared" si="81"/>
        <v>1</v>
      </c>
      <c r="F469" s="719"/>
      <c r="G469" s="24">
        <f t="shared" si="82"/>
        <v>1</v>
      </c>
      <c r="H469" s="719"/>
      <c r="I469" s="24">
        <f t="shared" si="83"/>
        <v>1</v>
      </c>
      <c r="J469" s="719"/>
      <c r="K469" s="24">
        <f t="shared" si="84"/>
        <v>1</v>
      </c>
      <c r="L469" s="719"/>
      <c r="M469" s="24">
        <f t="shared" si="85"/>
        <v>1</v>
      </c>
      <c r="N469" s="719"/>
      <c r="O469" s="24">
        <f t="shared" si="86"/>
        <v>1</v>
      </c>
      <c r="P469" s="719"/>
      <c r="Q469" s="24">
        <f t="shared" si="87"/>
        <v>0</v>
      </c>
      <c r="R469" s="715">
        <f t="shared" si="88"/>
        <v>0</v>
      </c>
      <c r="S469" s="360">
        <f t="shared" si="90"/>
        <v>0</v>
      </c>
    </row>
    <row r="470" spans="1:19">
      <c r="A470" s="158"/>
      <c r="B470" s="59"/>
      <c r="C470" s="24">
        <f t="shared" si="80"/>
        <v>1</v>
      </c>
      <c r="D470" s="719"/>
      <c r="E470" s="24">
        <f t="shared" si="81"/>
        <v>1</v>
      </c>
      <c r="F470" s="719"/>
      <c r="G470" s="24">
        <f t="shared" si="82"/>
        <v>1</v>
      </c>
      <c r="H470" s="719"/>
      <c r="I470" s="24">
        <f t="shared" si="83"/>
        <v>1</v>
      </c>
      <c r="J470" s="719"/>
      <c r="K470" s="24">
        <f t="shared" si="84"/>
        <v>1</v>
      </c>
      <c r="L470" s="719"/>
      <c r="M470" s="24">
        <f t="shared" si="85"/>
        <v>1</v>
      </c>
      <c r="N470" s="719"/>
      <c r="O470" s="24">
        <f t="shared" si="86"/>
        <v>1</v>
      </c>
      <c r="P470" s="719"/>
      <c r="Q470" s="24">
        <f t="shared" si="87"/>
        <v>0</v>
      </c>
      <c r="R470" s="715">
        <f t="shared" si="88"/>
        <v>0</v>
      </c>
      <c r="S470" s="360">
        <f t="shared" si="90"/>
        <v>0</v>
      </c>
    </row>
    <row r="471" spans="1:19">
      <c r="A471" s="158"/>
      <c r="B471" s="59"/>
      <c r="C471" s="24">
        <f t="shared" si="80"/>
        <v>1</v>
      </c>
      <c r="D471" s="719"/>
      <c r="E471" s="24">
        <f t="shared" si="81"/>
        <v>1</v>
      </c>
      <c r="F471" s="719"/>
      <c r="G471" s="24">
        <f t="shared" si="82"/>
        <v>1</v>
      </c>
      <c r="H471" s="719"/>
      <c r="I471" s="24">
        <f t="shared" si="83"/>
        <v>1</v>
      </c>
      <c r="J471" s="719"/>
      <c r="K471" s="24">
        <f t="shared" si="84"/>
        <v>1</v>
      </c>
      <c r="L471" s="719"/>
      <c r="M471" s="24">
        <f t="shared" si="85"/>
        <v>1</v>
      </c>
      <c r="N471" s="719"/>
      <c r="O471" s="24">
        <f t="shared" si="86"/>
        <v>1</v>
      </c>
      <c r="P471" s="719"/>
      <c r="Q471" s="24">
        <f t="shared" si="87"/>
        <v>0</v>
      </c>
      <c r="R471" s="715">
        <f t="shared" si="88"/>
        <v>0</v>
      </c>
      <c r="S471" s="360">
        <f t="shared" si="90"/>
        <v>0</v>
      </c>
    </row>
    <row r="472" spans="1:19">
      <c r="A472" s="158"/>
      <c r="B472" s="59"/>
      <c r="C472" s="24">
        <f t="shared" si="80"/>
        <v>1</v>
      </c>
      <c r="D472" s="719"/>
      <c r="E472" s="24">
        <f t="shared" si="81"/>
        <v>1</v>
      </c>
      <c r="F472" s="719"/>
      <c r="G472" s="24">
        <f t="shared" si="82"/>
        <v>1</v>
      </c>
      <c r="H472" s="719"/>
      <c r="I472" s="24">
        <f t="shared" si="83"/>
        <v>1</v>
      </c>
      <c r="J472" s="719"/>
      <c r="K472" s="24">
        <f t="shared" si="84"/>
        <v>1</v>
      </c>
      <c r="L472" s="719"/>
      <c r="M472" s="24">
        <f t="shared" si="85"/>
        <v>1</v>
      </c>
      <c r="N472" s="719"/>
      <c r="O472" s="24">
        <f t="shared" si="86"/>
        <v>1</v>
      </c>
      <c r="P472" s="719"/>
      <c r="Q472" s="24">
        <f t="shared" si="87"/>
        <v>0</v>
      </c>
      <c r="R472" s="715">
        <f t="shared" si="88"/>
        <v>0</v>
      </c>
      <c r="S472" s="360">
        <f t="shared" si="90"/>
        <v>0</v>
      </c>
    </row>
    <row r="473" spans="1:19">
      <c r="A473" s="158"/>
      <c r="B473" s="59"/>
      <c r="C473" s="24">
        <f t="shared" ref="C473:C524" si="91">IF(B473="",1,(LOOKUP(B473,$3:$3,$4:$4)-LOOKUP($B$24,$3:$3,$4:$4)+100)/100)</f>
        <v>1</v>
      </c>
      <c r="D473" s="719"/>
      <c r="E473" s="24">
        <f t="shared" si="81"/>
        <v>1</v>
      </c>
      <c r="F473" s="719"/>
      <c r="G473" s="24">
        <f t="shared" si="82"/>
        <v>1</v>
      </c>
      <c r="H473" s="719"/>
      <c r="I473" s="24">
        <f t="shared" si="83"/>
        <v>1</v>
      </c>
      <c r="J473" s="719"/>
      <c r="K473" s="24">
        <f t="shared" si="84"/>
        <v>1</v>
      </c>
      <c r="L473" s="719"/>
      <c r="M473" s="24">
        <f t="shared" si="85"/>
        <v>1</v>
      </c>
      <c r="N473" s="719"/>
      <c r="O473" s="24">
        <f t="shared" si="86"/>
        <v>1</v>
      </c>
      <c r="P473" s="719"/>
      <c r="Q473" s="24">
        <f t="shared" si="87"/>
        <v>0</v>
      </c>
      <c r="R473" s="715">
        <f t="shared" si="88"/>
        <v>0</v>
      </c>
      <c r="S473" s="360">
        <f t="shared" si="90"/>
        <v>0</v>
      </c>
    </row>
    <row r="474" spans="1:19">
      <c r="A474" s="158"/>
      <c r="B474" s="59"/>
      <c r="C474" s="24">
        <f t="shared" si="91"/>
        <v>1</v>
      </c>
      <c r="D474" s="719"/>
      <c r="E474" s="24">
        <f t="shared" ref="E474:E524" si="92">(SUMIF($5:$5,D474,$6:$6)-SUMIF($5:$5,$D$24,$6:$6)+100)/100</f>
        <v>1</v>
      </c>
      <c r="F474" s="719"/>
      <c r="G474" s="24">
        <f t="shared" ref="G474:G524" si="93">(SUMIF($7:$7,F474,$8:$8)-SUMIF($7:$7,$F$24,$8:$8)+100)/100</f>
        <v>1</v>
      </c>
      <c r="H474" s="719"/>
      <c r="I474" s="24">
        <f t="shared" ref="I474:I524" si="94">(SUMIF($9:$9,H474,$10:$10)-SUMIF($9:$9,$H$24,$10:$10)+100)/100</f>
        <v>1</v>
      </c>
      <c r="J474" s="719"/>
      <c r="K474" s="24">
        <f t="shared" ref="K474:K524" si="95">(SUMIF($11:$11,J474,$12:$12)-SUMIF($11:$11,$J$24,$12:$12)+100)/100</f>
        <v>1</v>
      </c>
      <c r="L474" s="719"/>
      <c r="M474" s="24">
        <f t="shared" ref="M474:M524" si="96">(SUMIF($13:$13,L474,$14:$14)-SUMIF($13:$13,$L$24,$14:$14)+100)/100</f>
        <v>1</v>
      </c>
      <c r="N474" s="719"/>
      <c r="O474" s="24">
        <f t="shared" ref="O474:O524" si="97">(SUMIF($15:$15,N474,$16:$16)-SUMIF($15:$15,$N$24,$16:$16)+100)/100</f>
        <v>1</v>
      </c>
      <c r="P474" s="719"/>
      <c r="Q474" s="24">
        <f t="shared" ref="Q474:Q524" si="98">(SUMIF($17:$17,P474,$18:$18)-SUMIF($17:$17,$P$24,$18:$18)+100)/100</f>
        <v>0</v>
      </c>
      <c r="R474" s="715">
        <f t="shared" ref="R474:R524" si="99">IF(B474="",0,ROUND($R$24*C474*E474*G474*I474*K474*M474*O474*Q474,0))</f>
        <v>0</v>
      </c>
      <c r="S474" s="360">
        <f t="shared" si="90"/>
        <v>0</v>
      </c>
    </row>
    <row r="475" spans="1:19">
      <c r="A475" s="158"/>
      <c r="B475" s="59"/>
      <c r="C475" s="24">
        <f t="shared" si="91"/>
        <v>1</v>
      </c>
      <c r="D475" s="719"/>
      <c r="E475" s="24">
        <f t="shared" si="92"/>
        <v>1</v>
      </c>
      <c r="F475" s="719"/>
      <c r="G475" s="24">
        <f t="shared" si="93"/>
        <v>1</v>
      </c>
      <c r="H475" s="719"/>
      <c r="I475" s="24">
        <f t="shared" si="94"/>
        <v>1</v>
      </c>
      <c r="J475" s="719"/>
      <c r="K475" s="24">
        <f t="shared" si="95"/>
        <v>1</v>
      </c>
      <c r="L475" s="719"/>
      <c r="M475" s="24">
        <f t="shared" si="96"/>
        <v>1</v>
      </c>
      <c r="N475" s="719"/>
      <c r="O475" s="24">
        <f t="shared" si="97"/>
        <v>1</v>
      </c>
      <c r="P475" s="719"/>
      <c r="Q475" s="24">
        <f t="shared" si="98"/>
        <v>0</v>
      </c>
      <c r="R475" s="715">
        <f t="shared" si="99"/>
        <v>0</v>
      </c>
      <c r="S475" s="360">
        <f t="shared" si="90"/>
        <v>0</v>
      </c>
    </row>
    <row r="476" spans="1:19">
      <c r="A476" s="158"/>
      <c r="B476" s="59"/>
      <c r="C476" s="24">
        <f t="shared" si="91"/>
        <v>1</v>
      </c>
      <c r="D476" s="719"/>
      <c r="E476" s="24">
        <f t="shared" si="92"/>
        <v>1</v>
      </c>
      <c r="F476" s="719"/>
      <c r="G476" s="24">
        <f t="shared" si="93"/>
        <v>1</v>
      </c>
      <c r="H476" s="719"/>
      <c r="I476" s="24">
        <f t="shared" si="94"/>
        <v>1</v>
      </c>
      <c r="J476" s="719"/>
      <c r="K476" s="24">
        <f t="shared" si="95"/>
        <v>1</v>
      </c>
      <c r="L476" s="719"/>
      <c r="M476" s="24">
        <f t="shared" si="96"/>
        <v>1</v>
      </c>
      <c r="N476" s="719"/>
      <c r="O476" s="24">
        <f t="shared" si="97"/>
        <v>1</v>
      </c>
      <c r="P476" s="719"/>
      <c r="Q476" s="24">
        <f t="shared" si="98"/>
        <v>0</v>
      </c>
      <c r="R476" s="715">
        <f t="shared" si="99"/>
        <v>0</v>
      </c>
      <c r="S476" s="360">
        <f t="shared" si="90"/>
        <v>0</v>
      </c>
    </row>
    <row r="477" spans="1:19">
      <c r="A477" s="158"/>
      <c r="B477" s="59"/>
      <c r="C477" s="24">
        <f t="shared" si="91"/>
        <v>1</v>
      </c>
      <c r="D477" s="719"/>
      <c r="E477" s="24">
        <f t="shared" si="92"/>
        <v>1</v>
      </c>
      <c r="F477" s="719"/>
      <c r="G477" s="24">
        <f t="shared" si="93"/>
        <v>1</v>
      </c>
      <c r="H477" s="719"/>
      <c r="I477" s="24">
        <f t="shared" si="94"/>
        <v>1</v>
      </c>
      <c r="J477" s="719"/>
      <c r="K477" s="24">
        <f t="shared" si="95"/>
        <v>1</v>
      </c>
      <c r="L477" s="719"/>
      <c r="M477" s="24">
        <f t="shared" si="96"/>
        <v>1</v>
      </c>
      <c r="N477" s="719"/>
      <c r="O477" s="24">
        <f t="shared" si="97"/>
        <v>1</v>
      </c>
      <c r="P477" s="719"/>
      <c r="Q477" s="24">
        <f t="shared" si="98"/>
        <v>0</v>
      </c>
      <c r="R477" s="715">
        <f t="shared" si="99"/>
        <v>0</v>
      </c>
      <c r="S477" s="360">
        <f t="shared" si="90"/>
        <v>0</v>
      </c>
    </row>
    <row r="478" spans="1:19">
      <c r="A478" s="158"/>
      <c r="B478" s="59"/>
      <c r="C478" s="24">
        <f t="shared" si="91"/>
        <v>1</v>
      </c>
      <c r="D478" s="719"/>
      <c r="E478" s="24">
        <f t="shared" si="92"/>
        <v>1</v>
      </c>
      <c r="F478" s="719"/>
      <c r="G478" s="24">
        <f t="shared" si="93"/>
        <v>1</v>
      </c>
      <c r="H478" s="719"/>
      <c r="I478" s="24">
        <f t="shared" si="94"/>
        <v>1</v>
      </c>
      <c r="J478" s="719"/>
      <c r="K478" s="24">
        <f t="shared" si="95"/>
        <v>1</v>
      </c>
      <c r="L478" s="719"/>
      <c r="M478" s="24">
        <f t="shared" si="96"/>
        <v>1</v>
      </c>
      <c r="N478" s="719"/>
      <c r="O478" s="24">
        <f t="shared" si="97"/>
        <v>1</v>
      </c>
      <c r="P478" s="719"/>
      <c r="Q478" s="24">
        <f t="shared" si="98"/>
        <v>0</v>
      </c>
      <c r="R478" s="715">
        <f t="shared" si="99"/>
        <v>0</v>
      </c>
      <c r="S478" s="360">
        <f t="shared" si="90"/>
        <v>0</v>
      </c>
    </row>
    <row r="479" spans="1:19">
      <c r="A479" s="158"/>
      <c r="B479" s="59"/>
      <c r="C479" s="24">
        <f t="shared" si="91"/>
        <v>1</v>
      </c>
      <c r="D479" s="719"/>
      <c r="E479" s="24">
        <f t="shared" si="92"/>
        <v>1</v>
      </c>
      <c r="F479" s="719"/>
      <c r="G479" s="24">
        <f t="shared" si="93"/>
        <v>1</v>
      </c>
      <c r="H479" s="719"/>
      <c r="I479" s="24">
        <f t="shared" si="94"/>
        <v>1</v>
      </c>
      <c r="J479" s="719"/>
      <c r="K479" s="24">
        <f t="shared" si="95"/>
        <v>1</v>
      </c>
      <c r="L479" s="719"/>
      <c r="M479" s="24">
        <f t="shared" si="96"/>
        <v>1</v>
      </c>
      <c r="N479" s="719"/>
      <c r="O479" s="24">
        <f t="shared" si="97"/>
        <v>1</v>
      </c>
      <c r="P479" s="719"/>
      <c r="Q479" s="24">
        <f t="shared" si="98"/>
        <v>0</v>
      </c>
      <c r="R479" s="715">
        <f t="shared" si="99"/>
        <v>0</v>
      </c>
      <c r="S479" s="360">
        <f t="shared" si="90"/>
        <v>0</v>
      </c>
    </row>
    <row r="480" spans="1:19">
      <c r="A480" s="158"/>
      <c r="B480" s="59"/>
      <c r="C480" s="24">
        <f t="shared" si="91"/>
        <v>1</v>
      </c>
      <c r="D480" s="719"/>
      <c r="E480" s="24">
        <f t="shared" si="92"/>
        <v>1</v>
      </c>
      <c r="F480" s="719"/>
      <c r="G480" s="24">
        <f t="shared" si="93"/>
        <v>1</v>
      </c>
      <c r="H480" s="719"/>
      <c r="I480" s="24">
        <f t="shared" si="94"/>
        <v>1</v>
      </c>
      <c r="J480" s="719"/>
      <c r="K480" s="24">
        <f t="shared" si="95"/>
        <v>1</v>
      </c>
      <c r="L480" s="719"/>
      <c r="M480" s="24">
        <f t="shared" si="96"/>
        <v>1</v>
      </c>
      <c r="N480" s="719"/>
      <c r="O480" s="24">
        <f t="shared" si="97"/>
        <v>1</v>
      </c>
      <c r="P480" s="719"/>
      <c r="Q480" s="24">
        <f t="shared" si="98"/>
        <v>0</v>
      </c>
      <c r="R480" s="715">
        <f t="shared" si="99"/>
        <v>0</v>
      </c>
      <c r="S480" s="360">
        <f t="shared" si="90"/>
        <v>0</v>
      </c>
    </row>
    <row r="481" spans="1:19">
      <c r="A481" s="158"/>
      <c r="B481" s="59"/>
      <c r="C481" s="24">
        <f t="shared" si="91"/>
        <v>1</v>
      </c>
      <c r="D481" s="719"/>
      <c r="E481" s="24">
        <f t="shared" si="92"/>
        <v>1</v>
      </c>
      <c r="F481" s="719"/>
      <c r="G481" s="24">
        <f t="shared" si="93"/>
        <v>1</v>
      </c>
      <c r="H481" s="719"/>
      <c r="I481" s="24">
        <f t="shared" si="94"/>
        <v>1</v>
      </c>
      <c r="J481" s="719"/>
      <c r="K481" s="24">
        <f t="shared" si="95"/>
        <v>1</v>
      </c>
      <c r="L481" s="719"/>
      <c r="M481" s="24">
        <f t="shared" si="96"/>
        <v>1</v>
      </c>
      <c r="N481" s="719"/>
      <c r="O481" s="24">
        <f t="shared" si="97"/>
        <v>1</v>
      </c>
      <c r="P481" s="719"/>
      <c r="Q481" s="24">
        <f t="shared" si="98"/>
        <v>0</v>
      </c>
      <c r="R481" s="715">
        <f t="shared" si="99"/>
        <v>0</v>
      </c>
      <c r="S481" s="360">
        <f t="shared" si="90"/>
        <v>0</v>
      </c>
    </row>
    <row r="482" spans="1:19">
      <c r="A482" s="158"/>
      <c r="B482" s="59"/>
      <c r="C482" s="24">
        <f t="shared" si="91"/>
        <v>1</v>
      </c>
      <c r="D482" s="719"/>
      <c r="E482" s="24">
        <f t="shared" si="92"/>
        <v>1</v>
      </c>
      <c r="F482" s="719"/>
      <c r="G482" s="24">
        <f t="shared" si="93"/>
        <v>1</v>
      </c>
      <c r="H482" s="719"/>
      <c r="I482" s="24">
        <f t="shared" si="94"/>
        <v>1</v>
      </c>
      <c r="J482" s="719"/>
      <c r="K482" s="24">
        <f t="shared" si="95"/>
        <v>1</v>
      </c>
      <c r="L482" s="719"/>
      <c r="M482" s="24">
        <f t="shared" si="96"/>
        <v>1</v>
      </c>
      <c r="N482" s="719"/>
      <c r="O482" s="24">
        <f t="shared" si="97"/>
        <v>1</v>
      </c>
      <c r="P482" s="719"/>
      <c r="Q482" s="24">
        <f t="shared" si="98"/>
        <v>0</v>
      </c>
      <c r="R482" s="715">
        <f t="shared" si="99"/>
        <v>0</v>
      </c>
      <c r="S482" s="360">
        <f t="shared" si="90"/>
        <v>0</v>
      </c>
    </row>
    <row r="483" spans="1:19">
      <c r="A483" s="158"/>
      <c r="B483" s="59"/>
      <c r="C483" s="24">
        <f t="shared" si="91"/>
        <v>1</v>
      </c>
      <c r="D483" s="719"/>
      <c r="E483" s="24">
        <f t="shared" si="92"/>
        <v>1</v>
      </c>
      <c r="F483" s="719"/>
      <c r="G483" s="24">
        <f t="shared" si="93"/>
        <v>1</v>
      </c>
      <c r="H483" s="719"/>
      <c r="I483" s="24">
        <f t="shared" si="94"/>
        <v>1</v>
      </c>
      <c r="J483" s="719"/>
      <c r="K483" s="24">
        <f t="shared" si="95"/>
        <v>1</v>
      </c>
      <c r="L483" s="719"/>
      <c r="M483" s="24">
        <f t="shared" si="96"/>
        <v>1</v>
      </c>
      <c r="N483" s="719"/>
      <c r="O483" s="24">
        <f t="shared" si="97"/>
        <v>1</v>
      </c>
      <c r="P483" s="719"/>
      <c r="Q483" s="24">
        <f t="shared" si="98"/>
        <v>0</v>
      </c>
      <c r="R483" s="715">
        <f t="shared" si="99"/>
        <v>0</v>
      </c>
      <c r="S483" s="360">
        <f t="shared" si="90"/>
        <v>0</v>
      </c>
    </row>
    <row r="484" spans="1:19">
      <c r="A484" s="158"/>
      <c r="B484" s="59"/>
      <c r="C484" s="24">
        <f t="shared" si="91"/>
        <v>1</v>
      </c>
      <c r="D484" s="719"/>
      <c r="E484" s="24">
        <f t="shared" si="92"/>
        <v>1</v>
      </c>
      <c r="F484" s="719"/>
      <c r="G484" s="24">
        <f t="shared" si="93"/>
        <v>1</v>
      </c>
      <c r="H484" s="719"/>
      <c r="I484" s="24">
        <f t="shared" si="94"/>
        <v>1</v>
      </c>
      <c r="J484" s="719"/>
      <c r="K484" s="24">
        <f t="shared" si="95"/>
        <v>1</v>
      </c>
      <c r="L484" s="719"/>
      <c r="M484" s="24">
        <f t="shared" si="96"/>
        <v>1</v>
      </c>
      <c r="N484" s="719"/>
      <c r="O484" s="24">
        <f t="shared" si="97"/>
        <v>1</v>
      </c>
      <c r="P484" s="719"/>
      <c r="Q484" s="24">
        <f t="shared" si="98"/>
        <v>0</v>
      </c>
      <c r="R484" s="715">
        <f t="shared" si="99"/>
        <v>0</v>
      </c>
      <c r="S484" s="360">
        <f t="shared" si="90"/>
        <v>0</v>
      </c>
    </row>
    <row r="485" spans="1:19">
      <c r="A485" s="158"/>
      <c r="B485" s="59"/>
      <c r="C485" s="24">
        <f t="shared" si="91"/>
        <v>1</v>
      </c>
      <c r="D485" s="719"/>
      <c r="E485" s="24">
        <f t="shared" si="92"/>
        <v>1</v>
      </c>
      <c r="F485" s="719"/>
      <c r="G485" s="24">
        <f t="shared" si="93"/>
        <v>1</v>
      </c>
      <c r="H485" s="719"/>
      <c r="I485" s="24">
        <f t="shared" si="94"/>
        <v>1</v>
      </c>
      <c r="J485" s="719"/>
      <c r="K485" s="24">
        <f t="shared" si="95"/>
        <v>1</v>
      </c>
      <c r="L485" s="719"/>
      <c r="M485" s="24">
        <f t="shared" si="96"/>
        <v>1</v>
      </c>
      <c r="N485" s="719"/>
      <c r="O485" s="24">
        <f t="shared" si="97"/>
        <v>1</v>
      </c>
      <c r="P485" s="719"/>
      <c r="Q485" s="24">
        <f t="shared" si="98"/>
        <v>0</v>
      </c>
      <c r="R485" s="715">
        <f t="shared" si="99"/>
        <v>0</v>
      </c>
      <c r="S485" s="360">
        <f t="shared" si="90"/>
        <v>0</v>
      </c>
    </row>
    <row r="486" spans="1:19">
      <c r="A486" s="158"/>
      <c r="B486" s="59"/>
      <c r="C486" s="24">
        <f t="shared" si="91"/>
        <v>1</v>
      </c>
      <c r="D486" s="719"/>
      <c r="E486" s="24">
        <f t="shared" si="92"/>
        <v>1</v>
      </c>
      <c r="F486" s="719"/>
      <c r="G486" s="24">
        <f t="shared" si="93"/>
        <v>1</v>
      </c>
      <c r="H486" s="719"/>
      <c r="I486" s="24">
        <f t="shared" si="94"/>
        <v>1</v>
      </c>
      <c r="J486" s="719"/>
      <c r="K486" s="24">
        <f t="shared" si="95"/>
        <v>1</v>
      </c>
      <c r="L486" s="719"/>
      <c r="M486" s="24">
        <f t="shared" si="96"/>
        <v>1</v>
      </c>
      <c r="N486" s="719"/>
      <c r="O486" s="24">
        <f t="shared" si="97"/>
        <v>1</v>
      </c>
      <c r="P486" s="719"/>
      <c r="Q486" s="24">
        <f t="shared" si="98"/>
        <v>0</v>
      </c>
      <c r="R486" s="715">
        <f t="shared" si="99"/>
        <v>0</v>
      </c>
      <c r="S486" s="360">
        <f t="shared" si="90"/>
        <v>0</v>
      </c>
    </row>
    <row r="487" spans="1:19">
      <c r="A487" s="158"/>
      <c r="B487" s="59"/>
      <c r="C487" s="24">
        <f t="shared" si="91"/>
        <v>1</v>
      </c>
      <c r="D487" s="719"/>
      <c r="E487" s="24">
        <f t="shared" si="92"/>
        <v>1</v>
      </c>
      <c r="F487" s="719"/>
      <c r="G487" s="24">
        <f t="shared" si="93"/>
        <v>1</v>
      </c>
      <c r="H487" s="719"/>
      <c r="I487" s="24">
        <f t="shared" si="94"/>
        <v>1</v>
      </c>
      <c r="J487" s="719"/>
      <c r="K487" s="24">
        <f t="shared" si="95"/>
        <v>1</v>
      </c>
      <c r="L487" s="719"/>
      <c r="M487" s="24">
        <f t="shared" si="96"/>
        <v>1</v>
      </c>
      <c r="N487" s="719"/>
      <c r="O487" s="24">
        <f t="shared" si="97"/>
        <v>1</v>
      </c>
      <c r="P487" s="719"/>
      <c r="Q487" s="24">
        <f t="shared" si="98"/>
        <v>0</v>
      </c>
      <c r="R487" s="715">
        <f t="shared" si="99"/>
        <v>0</v>
      </c>
      <c r="S487" s="360">
        <f t="shared" si="90"/>
        <v>0</v>
      </c>
    </row>
    <row r="488" spans="1:19">
      <c r="A488" s="158"/>
      <c r="B488" s="59"/>
      <c r="C488" s="24">
        <f t="shared" si="91"/>
        <v>1</v>
      </c>
      <c r="D488" s="719"/>
      <c r="E488" s="24">
        <f t="shared" si="92"/>
        <v>1</v>
      </c>
      <c r="F488" s="719"/>
      <c r="G488" s="24">
        <f t="shared" si="93"/>
        <v>1</v>
      </c>
      <c r="H488" s="719"/>
      <c r="I488" s="24">
        <f t="shared" si="94"/>
        <v>1</v>
      </c>
      <c r="J488" s="719"/>
      <c r="K488" s="24">
        <f t="shared" si="95"/>
        <v>1</v>
      </c>
      <c r="L488" s="719"/>
      <c r="M488" s="24">
        <f t="shared" si="96"/>
        <v>1</v>
      </c>
      <c r="N488" s="719"/>
      <c r="O488" s="24">
        <f t="shared" si="97"/>
        <v>1</v>
      </c>
      <c r="P488" s="719"/>
      <c r="Q488" s="24">
        <f t="shared" si="98"/>
        <v>0</v>
      </c>
      <c r="R488" s="715">
        <f t="shared" si="99"/>
        <v>0</v>
      </c>
      <c r="S488" s="360">
        <f t="shared" si="90"/>
        <v>0</v>
      </c>
    </row>
    <row r="489" spans="1:19">
      <c r="A489" s="158"/>
      <c r="B489" s="59"/>
      <c r="C489" s="24">
        <f t="shared" si="91"/>
        <v>1</v>
      </c>
      <c r="D489" s="719"/>
      <c r="E489" s="24">
        <f t="shared" si="92"/>
        <v>1</v>
      </c>
      <c r="F489" s="719"/>
      <c r="G489" s="24">
        <f t="shared" si="93"/>
        <v>1</v>
      </c>
      <c r="H489" s="719"/>
      <c r="I489" s="24">
        <f t="shared" si="94"/>
        <v>1</v>
      </c>
      <c r="J489" s="719"/>
      <c r="K489" s="24">
        <f t="shared" si="95"/>
        <v>1</v>
      </c>
      <c r="L489" s="719"/>
      <c r="M489" s="24">
        <f t="shared" si="96"/>
        <v>1</v>
      </c>
      <c r="N489" s="719"/>
      <c r="O489" s="24">
        <f t="shared" si="97"/>
        <v>1</v>
      </c>
      <c r="P489" s="719"/>
      <c r="Q489" s="24">
        <f t="shared" si="98"/>
        <v>0</v>
      </c>
      <c r="R489" s="715">
        <f t="shared" si="99"/>
        <v>0</v>
      </c>
      <c r="S489" s="360">
        <f t="shared" si="90"/>
        <v>0</v>
      </c>
    </row>
    <row r="490" spans="1:19">
      <c r="A490" s="158"/>
      <c r="B490" s="59"/>
      <c r="C490" s="24">
        <f t="shared" si="91"/>
        <v>1</v>
      </c>
      <c r="D490" s="719"/>
      <c r="E490" s="24">
        <f t="shared" si="92"/>
        <v>1</v>
      </c>
      <c r="F490" s="719"/>
      <c r="G490" s="24">
        <f t="shared" si="93"/>
        <v>1</v>
      </c>
      <c r="H490" s="719"/>
      <c r="I490" s="24">
        <f t="shared" si="94"/>
        <v>1</v>
      </c>
      <c r="J490" s="719"/>
      <c r="K490" s="24">
        <f t="shared" si="95"/>
        <v>1</v>
      </c>
      <c r="L490" s="719"/>
      <c r="M490" s="24">
        <f t="shared" si="96"/>
        <v>1</v>
      </c>
      <c r="N490" s="719"/>
      <c r="O490" s="24">
        <f t="shared" si="97"/>
        <v>1</v>
      </c>
      <c r="P490" s="719"/>
      <c r="Q490" s="24">
        <f t="shared" si="98"/>
        <v>0</v>
      </c>
      <c r="R490" s="715">
        <f t="shared" si="99"/>
        <v>0</v>
      </c>
      <c r="S490" s="360">
        <f t="shared" si="90"/>
        <v>0</v>
      </c>
    </row>
    <row r="491" spans="1:19">
      <c r="A491" s="158"/>
      <c r="B491" s="59"/>
      <c r="C491" s="24">
        <f t="shared" si="91"/>
        <v>1</v>
      </c>
      <c r="D491" s="719"/>
      <c r="E491" s="24">
        <f t="shared" si="92"/>
        <v>1</v>
      </c>
      <c r="F491" s="719"/>
      <c r="G491" s="24">
        <f t="shared" si="93"/>
        <v>1</v>
      </c>
      <c r="H491" s="719"/>
      <c r="I491" s="24">
        <f t="shared" si="94"/>
        <v>1</v>
      </c>
      <c r="J491" s="719"/>
      <c r="K491" s="24">
        <f t="shared" si="95"/>
        <v>1</v>
      </c>
      <c r="L491" s="719"/>
      <c r="M491" s="24">
        <f t="shared" si="96"/>
        <v>1</v>
      </c>
      <c r="N491" s="719"/>
      <c r="O491" s="24">
        <f t="shared" si="97"/>
        <v>1</v>
      </c>
      <c r="P491" s="719"/>
      <c r="Q491" s="24">
        <f t="shared" si="98"/>
        <v>0</v>
      </c>
      <c r="R491" s="715">
        <f t="shared" si="99"/>
        <v>0</v>
      </c>
      <c r="S491" s="360">
        <f t="shared" si="90"/>
        <v>0</v>
      </c>
    </row>
    <row r="492" spans="1:19">
      <c r="A492" s="158"/>
      <c r="B492" s="59"/>
      <c r="C492" s="24">
        <f t="shared" si="91"/>
        <v>1</v>
      </c>
      <c r="D492" s="719"/>
      <c r="E492" s="24">
        <f t="shared" si="92"/>
        <v>1</v>
      </c>
      <c r="F492" s="719"/>
      <c r="G492" s="24">
        <f t="shared" si="93"/>
        <v>1</v>
      </c>
      <c r="H492" s="719"/>
      <c r="I492" s="24">
        <f t="shared" si="94"/>
        <v>1</v>
      </c>
      <c r="J492" s="719"/>
      <c r="K492" s="24">
        <f t="shared" si="95"/>
        <v>1</v>
      </c>
      <c r="L492" s="719"/>
      <c r="M492" s="24">
        <f t="shared" si="96"/>
        <v>1</v>
      </c>
      <c r="N492" s="719"/>
      <c r="O492" s="24">
        <f t="shared" si="97"/>
        <v>1</v>
      </c>
      <c r="P492" s="719"/>
      <c r="Q492" s="24">
        <f t="shared" si="98"/>
        <v>0</v>
      </c>
      <c r="R492" s="715">
        <f t="shared" si="99"/>
        <v>0</v>
      </c>
      <c r="S492" s="360">
        <f t="shared" si="90"/>
        <v>0</v>
      </c>
    </row>
    <row r="493" spans="1:19">
      <c r="A493" s="158"/>
      <c r="B493" s="59"/>
      <c r="C493" s="24">
        <f t="shared" si="91"/>
        <v>1</v>
      </c>
      <c r="D493" s="719"/>
      <c r="E493" s="24">
        <f t="shared" si="92"/>
        <v>1</v>
      </c>
      <c r="F493" s="719"/>
      <c r="G493" s="24">
        <f t="shared" si="93"/>
        <v>1</v>
      </c>
      <c r="H493" s="719"/>
      <c r="I493" s="24">
        <f t="shared" si="94"/>
        <v>1</v>
      </c>
      <c r="J493" s="719"/>
      <c r="K493" s="24">
        <f t="shared" si="95"/>
        <v>1</v>
      </c>
      <c r="L493" s="719"/>
      <c r="M493" s="24">
        <f t="shared" si="96"/>
        <v>1</v>
      </c>
      <c r="N493" s="719"/>
      <c r="O493" s="24">
        <f t="shared" si="97"/>
        <v>1</v>
      </c>
      <c r="P493" s="719"/>
      <c r="Q493" s="24">
        <f t="shared" si="98"/>
        <v>0</v>
      </c>
      <c r="R493" s="715">
        <f t="shared" si="99"/>
        <v>0</v>
      </c>
      <c r="S493" s="360">
        <f t="shared" si="90"/>
        <v>0</v>
      </c>
    </row>
    <row r="494" spans="1:19">
      <c r="A494" s="158"/>
      <c r="B494" s="59"/>
      <c r="C494" s="24">
        <f t="shared" si="91"/>
        <v>1</v>
      </c>
      <c r="D494" s="719"/>
      <c r="E494" s="24">
        <f t="shared" si="92"/>
        <v>1</v>
      </c>
      <c r="F494" s="719"/>
      <c r="G494" s="24">
        <f t="shared" si="93"/>
        <v>1</v>
      </c>
      <c r="H494" s="719"/>
      <c r="I494" s="24">
        <f t="shared" si="94"/>
        <v>1</v>
      </c>
      <c r="J494" s="719"/>
      <c r="K494" s="24">
        <f t="shared" si="95"/>
        <v>1</v>
      </c>
      <c r="L494" s="719"/>
      <c r="M494" s="24">
        <f t="shared" si="96"/>
        <v>1</v>
      </c>
      <c r="N494" s="719"/>
      <c r="O494" s="24">
        <f t="shared" si="97"/>
        <v>1</v>
      </c>
      <c r="P494" s="719"/>
      <c r="Q494" s="24">
        <f t="shared" si="98"/>
        <v>0</v>
      </c>
      <c r="R494" s="715">
        <f t="shared" si="99"/>
        <v>0</v>
      </c>
      <c r="S494" s="360">
        <f t="shared" si="90"/>
        <v>0</v>
      </c>
    </row>
    <row r="495" spans="1:19">
      <c r="A495" s="158"/>
      <c r="B495" s="59"/>
      <c r="C495" s="24">
        <f t="shared" si="91"/>
        <v>1</v>
      </c>
      <c r="D495" s="719"/>
      <c r="E495" s="24">
        <f t="shared" si="92"/>
        <v>1</v>
      </c>
      <c r="F495" s="719"/>
      <c r="G495" s="24">
        <f t="shared" si="93"/>
        <v>1</v>
      </c>
      <c r="H495" s="719"/>
      <c r="I495" s="24">
        <f t="shared" si="94"/>
        <v>1</v>
      </c>
      <c r="J495" s="719"/>
      <c r="K495" s="24">
        <f t="shared" si="95"/>
        <v>1</v>
      </c>
      <c r="L495" s="719"/>
      <c r="M495" s="24">
        <f t="shared" si="96"/>
        <v>1</v>
      </c>
      <c r="N495" s="719"/>
      <c r="O495" s="24">
        <f t="shared" si="97"/>
        <v>1</v>
      </c>
      <c r="P495" s="719"/>
      <c r="Q495" s="24">
        <f t="shared" si="98"/>
        <v>0</v>
      </c>
      <c r="R495" s="715">
        <f t="shared" si="99"/>
        <v>0</v>
      </c>
      <c r="S495" s="360">
        <f t="shared" si="90"/>
        <v>0</v>
      </c>
    </row>
    <row r="496" spans="1:19">
      <c r="A496" s="158"/>
      <c r="B496" s="59"/>
      <c r="C496" s="24">
        <f t="shared" si="91"/>
        <v>1</v>
      </c>
      <c r="D496" s="719"/>
      <c r="E496" s="24">
        <f t="shared" si="92"/>
        <v>1</v>
      </c>
      <c r="F496" s="719"/>
      <c r="G496" s="24">
        <f t="shared" si="93"/>
        <v>1</v>
      </c>
      <c r="H496" s="719"/>
      <c r="I496" s="24">
        <f t="shared" si="94"/>
        <v>1</v>
      </c>
      <c r="J496" s="719"/>
      <c r="K496" s="24">
        <f t="shared" si="95"/>
        <v>1</v>
      </c>
      <c r="L496" s="719"/>
      <c r="M496" s="24">
        <f t="shared" si="96"/>
        <v>1</v>
      </c>
      <c r="N496" s="719"/>
      <c r="O496" s="24">
        <f t="shared" si="97"/>
        <v>1</v>
      </c>
      <c r="P496" s="719"/>
      <c r="Q496" s="24">
        <f t="shared" si="98"/>
        <v>0</v>
      </c>
      <c r="R496" s="715">
        <f t="shared" si="99"/>
        <v>0</v>
      </c>
      <c r="S496" s="360">
        <f t="shared" si="90"/>
        <v>0</v>
      </c>
    </row>
    <row r="497" spans="1:19">
      <c r="A497" s="158"/>
      <c r="B497" s="59"/>
      <c r="C497" s="24">
        <f t="shared" si="91"/>
        <v>1</v>
      </c>
      <c r="D497" s="719"/>
      <c r="E497" s="24">
        <f t="shared" si="92"/>
        <v>1</v>
      </c>
      <c r="F497" s="719"/>
      <c r="G497" s="24">
        <f t="shared" si="93"/>
        <v>1</v>
      </c>
      <c r="H497" s="719"/>
      <c r="I497" s="24">
        <f t="shared" si="94"/>
        <v>1</v>
      </c>
      <c r="J497" s="719"/>
      <c r="K497" s="24">
        <f t="shared" si="95"/>
        <v>1</v>
      </c>
      <c r="L497" s="719"/>
      <c r="M497" s="24">
        <f t="shared" si="96"/>
        <v>1</v>
      </c>
      <c r="N497" s="719"/>
      <c r="O497" s="24">
        <f t="shared" si="97"/>
        <v>1</v>
      </c>
      <c r="P497" s="719"/>
      <c r="Q497" s="24">
        <f t="shared" si="98"/>
        <v>0</v>
      </c>
      <c r="R497" s="715">
        <f t="shared" si="99"/>
        <v>0</v>
      </c>
      <c r="S497" s="360">
        <f t="shared" si="90"/>
        <v>0</v>
      </c>
    </row>
    <row r="498" spans="1:19">
      <c r="A498" s="158"/>
      <c r="B498" s="59"/>
      <c r="C498" s="24">
        <f t="shared" si="91"/>
        <v>1</v>
      </c>
      <c r="D498" s="719"/>
      <c r="E498" s="24">
        <f t="shared" si="92"/>
        <v>1</v>
      </c>
      <c r="F498" s="719"/>
      <c r="G498" s="24">
        <f t="shared" si="93"/>
        <v>1</v>
      </c>
      <c r="H498" s="719"/>
      <c r="I498" s="24">
        <f t="shared" si="94"/>
        <v>1</v>
      </c>
      <c r="J498" s="719"/>
      <c r="K498" s="24">
        <f t="shared" si="95"/>
        <v>1</v>
      </c>
      <c r="L498" s="719"/>
      <c r="M498" s="24">
        <f t="shared" si="96"/>
        <v>1</v>
      </c>
      <c r="N498" s="719"/>
      <c r="O498" s="24">
        <f t="shared" si="97"/>
        <v>1</v>
      </c>
      <c r="P498" s="719"/>
      <c r="Q498" s="24">
        <f t="shared" si="98"/>
        <v>0</v>
      </c>
      <c r="R498" s="715">
        <f t="shared" si="99"/>
        <v>0</v>
      </c>
      <c r="S498" s="360">
        <f t="shared" ref="S498:S524" si="100">ROUND(R498*B498/10000,0)</f>
        <v>0</v>
      </c>
    </row>
    <row r="499" spans="1:19">
      <c r="A499" s="158"/>
      <c r="B499" s="59"/>
      <c r="C499" s="24">
        <f t="shared" si="91"/>
        <v>1</v>
      </c>
      <c r="D499" s="719"/>
      <c r="E499" s="24">
        <f t="shared" si="92"/>
        <v>1</v>
      </c>
      <c r="F499" s="719"/>
      <c r="G499" s="24">
        <f t="shared" si="93"/>
        <v>1</v>
      </c>
      <c r="H499" s="719"/>
      <c r="I499" s="24">
        <f t="shared" si="94"/>
        <v>1</v>
      </c>
      <c r="J499" s="719"/>
      <c r="K499" s="24">
        <f t="shared" si="95"/>
        <v>1</v>
      </c>
      <c r="L499" s="719"/>
      <c r="M499" s="24">
        <f t="shared" si="96"/>
        <v>1</v>
      </c>
      <c r="N499" s="719"/>
      <c r="O499" s="24">
        <f t="shared" si="97"/>
        <v>1</v>
      </c>
      <c r="P499" s="719"/>
      <c r="Q499" s="24">
        <f t="shared" si="98"/>
        <v>0</v>
      </c>
      <c r="R499" s="715">
        <f t="shared" si="99"/>
        <v>0</v>
      </c>
      <c r="S499" s="360">
        <f t="shared" si="100"/>
        <v>0</v>
      </c>
    </row>
    <row r="500" spans="1:19">
      <c r="A500" s="158"/>
      <c r="B500" s="59"/>
      <c r="C500" s="24">
        <f t="shared" si="91"/>
        <v>1</v>
      </c>
      <c r="D500" s="719"/>
      <c r="E500" s="24">
        <f t="shared" si="92"/>
        <v>1</v>
      </c>
      <c r="F500" s="719"/>
      <c r="G500" s="24">
        <f t="shared" si="93"/>
        <v>1</v>
      </c>
      <c r="H500" s="719"/>
      <c r="I500" s="24">
        <f t="shared" si="94"/>
        <v>1</v>
      </c>
      <c r="J500" s="719"/>
      <c r="K500" s="24">
        <f t="shared" si="95"/>
        <v>1</v>
      </c>
      <c r="L500" s="719"/>
      <c r="M500" s="24">
        <f t="shared" si="96"/>
        <v>1</v>
      </c>
      <c r="N500" s="719"/>
      <c r="O500" s="24">
        <f t="shared" si="97"/>
        <v>1</v>
      </c>
      <c r="P500" s="719"/>
      <c r="Q500" s="24">
        <f t="shared" si="98"/>
        <v>0</v>
      </c>
      <c r="R500" s="715">
        <f t="shared" si="99"/>
        <v>0</v>
      </c>
      <c r="S500" s="360">
        <f t="shared" si="100"/>
        <v>0</v>
      </c>
    </row>
    <row r="501" spans="1:19">
      <c r="A501" s="158"/>
      <c r="B501" s="59"/>
      <c r="C501" s="24">
        <f t="shared" si="91"/>
        <v>1</v>
      </c>
      <c r="D501" s="719"/>
      <c r="E501" s="24">
        <f t="shared" si="92"/>
        <v>1</v>
      </c>
      <c r="F501" s="719"/>
      <c r="G501" s="24">
        <f t="shared" si="93"/>
        <v>1</v>
      </c>
      <c r="H501" s="719"/>
      <c r="I501" s="24">
        <f t="shared" si="94"/>
        <v>1</v>
      </c>
      <c r="J501" s="719"/>
      <c r="K501" s="24">
        <f t="shared" si="95"/>
        <v>1</v>
      </c>
      <c r="L501" s="719"/>
      <c r="M501" s="24">
        <f t="shared" si="96"/>
        <v>1</v>
      </c>
      <c r="N501" s="719"/>
      <c r="O501" s="24">
        <f t="shared" si="97"/>
        <v>1</v>
      </c>
      <c r="P501" s="719"/>
      <c r="Q501" s="24">
        <f t="shared" si="98"/>
        <v>0</v>
      </c>
      <c r="R501" s="715">
        <f t="shared" si="99"/>
        <v>0</v>
      </c>
      <c r="S501" s="360">
        <f t="shared" si="100"/>
        <v>0</v>
      </c>
    </row>
    <row r="502" spans="1:19">
      <c r="A502" s="158"/>
      <c r="B502" s="59"/>
      <c r="C502" s="24">
        <f t="shared" si="91"/>
        <v>1</v>
      </c>
      <c r="D502" s="719"/>
      <c r="E502" s="24">
        <f t="shared" si="92"/>
        <v>1</v>
      </c>
      <c r="F502" s="719"/>
      <c r="G502" s="24">
        <f t="shared" si="93"/>
        <v>1</v>
      </c>
      <c r="H502" s="719"/>
      <c r="I502" s="24">
        <f t="shared" si="94"/>
        <v>1</v>
      </c>
      <c r="J502" s="719"/>
      <c r="K502" s="24">
        <f t="shared" si="95"/>
        <v>1</v>
      </c>
      <c r="L502" s="719"/>
      <c r="M502" s="24">
        <f t="shared" si="96"/>
        <v>1</v>
      </c>
      <c r="N502" s="719"/>
      <c r="O502" s="24">
        <f t="shared" si="97"/>
        <v>1</v>
      </c>
      <c r="P502" s="719"/>
      <c r="Q502" s="24">
        <f t="shared" si="98"/>
        <v>0</v>
      </c>
      <c r="R502" s="715">
        <f t="shared" si="99"/>
        <v>0</v>
      </c>
      <c r="S502" s="360">
        <f t="shared" si="100"/>
        <v>0</v>
      </c>
    </row>
    <row r="503" spans="1:19">
      <c r="A503" s="158"/>
      <c r="B503" s="59"/>
      <c r="C503" s="24">
        <f t="shared" si="91"/>
        <v>1</v>
      </c>
      <c r="D503" s="719"/>
      <c r="E503" s="24">
        <f t="shared" si="92"/>
        <v>1</v>
      </c>
      <c r="F503" s="719"/>
      <c r="G503" s="24">
        <f t="shared" si="93"/>
        <v>1</v>
      </c>
      <c r="H503" s="719"/>
      <c r="I503" s="24">
        <f t="shared" si="94"/>
        <v>1</v>
      </c>
      <c r="J503" s="719"/>
      <c r="K503" s="24">
        <f t="shared" si="95"/>
        <v>1</v>
      </c>
      <c r="L503" s="719"/>
      <c r="M503" s="24">
        <f t="shared" si="96"/>
        <v>1</v>
      </c>
      <c r="N503" s="719"/>
      <c r="O503" s="24">
        <f t="shared" si="97"/>
        <v>1</v>
      </c>
      <c r="P503" s="719"/>
      <c r="Q503" s="24">
        <f t="shared" si="98"/>
        <v>0</v>
      </c>
      <c r="R503" s="715">
        <f t="shared" si="99"/>
        <v>0</v>
      </c>
      <c r="S503" s="360">
        <f t="shared" si="100"/>
        <v>0</v>
      </c>
    </row>
    <row r="504" spans="1:19">
      <c r="A504" s="158"/>
      <c r="B504" s="59"/>
      <c r="C504" s="24">
        <f t="shared" si="91"/>
        <v>1</v>
      </c>
      <c r="D504" s="719"/>
      <c r="E504" s="24">
        <f t="shared" si="92"/>
        <v>1</v>
      </c>
      <c r="F504" s="719"/>
      <c r="G504" s="24">
        <f t="shared" si="93"/>
        <v>1</v>
      </c>
      <c r="H504" s="719"/>
      <c r="I504" s="24">
        <f t="shared" si="94"/>
        <v>1</v>
      </c>
      <c r="J504" s="719"/>
      <c r="K504" s="24">
        <f t="shared" si="95"/>
        <v>1</v>
      </c>
      <c r="L504" s="719"/>
      <c r="M504" s="24">
        <f t="shared" si="96"/>
        <v>1</v>
      </c>
      <c r="N504" s="719"/>
      <c r="O504" s="24">
        <f t="shared" si="97"/>
        <v>1</v>
      </c>
      <c r="P504" s="719"/>
      <c r="Q504" s="24">
        <f t="shared" si="98"/>
        <v>0</v>
      </c>
      <c r="R504" s="715">
        <f t="shared" si="99"/>
        <v>0</v>
      </c>
      <c r="S504" s="360">
        <f t="shared" si="100"/>
        <v>0</v>
      </c>
    </row>
    <row r="505" spans="1:19">
      <c r="A505" s="158"/>
      <c r="B505" s="59"/>
      <c r="C505" s="24">
        <f t="shared" si="91"/>
        <v>1</v>
      </c>
      <c r="D505" s="719"/>
      <c r="E505" s="24">
        <f t="shared" si="92"/>
        <v>1</v>
      </c>
      <c r="F505" s="719"/>
      <c r="G505" s="24">
        <f t="shared" si="93"/>
        <v>1</v>
      </c>
      <c r="H505" s="719"/>
      <c r="I505" s="24">
        <f t="shared" si="94"/>
        <v>1</v>
      </c>
      <c r="J505" s="719"/>
      <c r="K505" s="24">
        <f t="shared" si="95"/>
        <v>1</v>
      </c>
      <c r="L505" s="719"/>
      <c r="M505" s="24">
        <f t="shared" si="96"/>
        <v>1</v>
      </c>
      <c r="N505" s="719"/>
      <c r="O505" s="24">
        <f t="shared" si="97"/>
        <v>1</v>
      </c>
      <c r="P505" s="719"/>
      <c r="Q505" s="24">
        <f t="shared" si="98"/>
        <v>0</v>
      </c>
      <c r="R505" s="715">
        <f t="shared" si="99"/>
        <v>0</v>
      </c>
      <c r="S505" s="360">
        <f t="shared" si="100"/>
        <v>0</v>
      </c>
    </row>
    <row r="506" spans="1:19">
      <c r="A506" s="158"/>
      <c r="B506" s="59"/>
      <c r="C506" s="24">
        <f t="shared" si="91"/>
        <v>1</v>
      </c>
      <c r="D506" s="719"/>
      <c r="E506" s="24">
        <f t="shared" si="92"/>
        <v>1</v>
      </c>
      <c r="F506" s="719"/>
      <c r="G506" s="24">
        <f t="shared" si="93"/>
        <v>1</v>
      </c>
      <c r="H506" s="719"/>
      <c r="I506" s="24">
        <f t="shared" si="94"/>
        <v>1</v>
      </c>
      <c r="J506" s="719"/>
      <c r="K506" s="24">
        <f t="shared" si="95"/>
        <v>1</v>
      </c>
      <c r="L506" s="719"/>
      <c r="M506" s="24">
        <f t="shared" si="96"/>
        <v>1</v>
      </c>
      <c r="N506" s="719"/>
      <c r="O506" s="24">
        <f t="shared" si="97"/>
        <v>1</v>
      </c>
      <c r="P506" s="719"/>
      <c r="Q506" s="24">
        <f t="shared" si="98"/>
        <v>0</v>
      </c>
      <c r="R506" s="715">
        <f t="shared" si="99"/>
        <v>0</v>
      </c>
      <c r="S506" s="360">
        <f t="shared" si="100"/>
        <v>0</v>
      </c>
    </row>
    <row r="507" spans="1:19">
      <c r="A507" s="158"/>
      <c r="B507" s="59"/>
      <c r="C507" s="24">
        <f t="shared" si="91"/>
        <v>1</v>
      </c>
      <c r="D507" s="719"/>
      <c r="E507" s="24">
        <f t="shared" si="92"/>
        <v>1</v>
      </c>
      <c r="F507" s="719"/>
      <c r="G507" s="24">
        <f t="shared" si="93"/>
        <v>1</v>
      </c>
      <c r="H507" s="719"/>
      <c r="I507" s="24">
        <f t="shared" si="94"/>
        <v>1</v>
      </c>
      <c r="J507" s="719"/>
      <c r="K507" s="24">
        <f t="shared" si="95"/>
        <v>1</v>
      </c>
      <c r="L507" s="719"/>
      <c r="M507" s="24">
        <f t="shared" si="96"/>
        <v>1</v>
      </c>
      <c r="N507" s="719"/>
      <c r="O507" s="24">
        <f t="shared" si="97"/>
        <v>1</v>
      </c>
      <c r="P507" s="719"/>
      <c r="Q507" s="24">
        <f t="shared" si="98"/>
        <v>0</v>
      </c>
      <c r="R507" s="715">
        <f t="shared" si="99"/>
        <v>0</v>
      </c>
      <c r="S507" s="360">
        <f t="shared" si="100"/>
        <v>0</v>
      </c>
    </row>
    <row r="508" spans="1:19">
      <c r="A508" s="158"/>
      <c r="B508" s="59"/>
      <c r="C508" s="24">
        <f t="shared" si="91"/>
        <v>1</v>
      </c>
      <c r="D508" s="719"/>
      <c r="E508" s="24">
        <f t="shared" si="92"/>
        <v>1</v>
      </c>
      <c r="F508" s="719"/>
      <c r="G508" s="24">
        <f t="shared" si="93"/>
        <v>1</v>
      </c>
      <c r="H508" s="719"/>
      <c r="I508" s="24">
        <f t="shared" si="94"/>
        <v>1</v>
      </c>
      <c r="J508" s="719"/>
      <c r="K508" s="24">
        <f t="shared" si="95"/>
        <v>1</v>
      </c>
      <c r="L508" s="719"/>
      <c r="M508" s="24">
        <f t="shared" si="96"/>
        <v>1</v>
      </c>
      <c r="N508" s="719"/>
      <c r="O508" s="24">
        <f t="shared" si="97"/>
        <v>1</v>
      </c>
      <c r="P508" s="719"/>
      <c r="Q508" s="24">
        <f t="shared" si="98"/>
        <v>0</v>
      </c>
      <c r="R508" s="715">
        <f t="shared" si="99"/>
        <v>0</v>
      </c>
      <c r="S508" s="360">
        <f t="shared" si="100"/>
        <v>0</v>
      </c>
    </row>
    <row r="509" spans="1:19">
      <c r="A509" s="158"/>
      <c r="B509" s="59"/>
      <c r="C509" s="24">
        <f t="shared" si="91"/>
        <v>1</v>
      </c>
      <c r="D509" s="719"/>
      <c r="E509" s="24">
        <f t="shared" si="92"/>
        <v>1</v>
      </c>
      <c r="F509" s="719"/>
      <c r="G509" s="24">
        <f t="shared" si="93"/>
        <v>1</v>
      </c>
      <c r="H509" s="719"/>
      <c r="I509" s="24">
        <f t="shared" si="94"/>
        <v>1</v>
      </c>
      <c r="J509" s="719"/>
      <c r="K509" s="24">
        <f t="shared" si="95"/>
        <v>1</v>
      </c>
      <c r="L509" s="719"/>
      <c r="M509" s="24">
        <f t="shared" si="96"/>
        <v>1</v>
      </c>
      <c r="N509" s="719"/>
      <c r="O509" s="24">
        <f t="shared" si="97"/>
        <v>1</v>
      </c>
      <c r="P509" s="719"/>
      <c r="Q509" s="24">
        <f t="shared" si="98"/>
        <v>0</v>
      </c>
      <c r="R509" s="715">
        <f t="shared" si="99"/>
        <v>0</v>
      </c>
      <c r="S509" s="360">
        <f t="shared" si="100"/>
        <v>0</v>
      </c>
    </row>
    <row r="510" spans="1:19">
      <c r="A510" s="158"/>
      <c r="B510" s="59"/>
      <c r="C510" s="24">
        <f t="shared" si="91"/>
        <v>1</v>
      </c>
      <c r="D510" s="719"/>
      <c r="E510" s="24">
        <f t="shared" si="92"/>
        <v>1</v>
      </c>
      <c r="F510" s="719"/>
      <c r="G510" s="24">
        <f t="shared" si="93"/>
        <v>1</v>
      </c>
      <c r="H510" s="719"/>
      <c r="I510" s="24">
        <f t="shared" si="94"/>
        <v>1</v>
      </c>
      <c r="J510" s="719"/>
      <c r="K510" s="24">
        <f t="shared" si="95"/>
        <v>1</v>
      </c>
      <c r="L510" s="719"/>
      <c r="M510" s="24">
        <f t="shared" si="96"/>
        <v>1</v>
      </c>
      <c r="N510" s="719"/>
      <c r="O510" s="24">
        <f t="shared" si="97"/>
        <v>1</v>
      </c>
      <c r="P510" s="719"/>
      <c r="Q510" s="24">
        <f t="shared" si="98"/>
        <v>0</v>
      </c>
      <c r="R510" s="715">
        <f t="shared" si="99"/>
        <v>0</v>
      </c>
      <c r="S510" s="360">
        <f t="shared" si="100"/>
        <v>0</v>
      </c>
    </row>
    <row r="511" spans="1:19">
      <c r="A511" s="158"/>
      <c r="B511" s="59"/>
      <c r="C511" s="24">
        <f t="shared" si="91"/>
        <v>1</v>
      </c>
      <c r="D511" s="719"/>
      <c r="E511" s="24">
        <f t="shared" si="92"/>
        <v>1</v>
      </c>
      <c r="F511" s="719"/>
      <c r="G511" s="24">
        <f t="shared" si="93"/>
        <v>1</v>
      </c>
      <c r="H511" s="719"/>
      <c r="I511" s="24">
        <f t="shared" si="94"/>
        <v>1</v>
      </c>
      <c r="J511" s="719"/>
      <c r="K511" s="24">
        <f t="shared" si="95"/>
        <v>1</v>
      </c>
      <c r="L511" s="719"/>
      <c r="M511" s="24">
        <f t="shared" si="96"/>
        <v>1</v>
      </c>
      <c r="N511" s="719"/>
      <c r="O511" s="24">
        <f t="shared" si="97"/>
        <v>1</v>
      </c>
      <c r="P511" s="719"/>
      <c r="Q511" s="24">
        <f t="shared" si="98"/>
        <v>0</v>
      </c>
      <c r="R511" s="715">
        <f t="shared" si="99"/>
        <v>0</v>
      </c>
      <c r="S511" s="360">
        <f t="shared" si="100"/>
        <v>0</v>
      </c>
    </row>
    <row r="512" spans="1:19">
      <c r="A512" s="158"/>
      <c r="B512" s="59"/>
      <c r="C512" s="24">
        <f t="shared" si="91"/>
        <v>1</v>
      </c>
      <c r="D512" s="719"/>
      <c r="E512" s="24">
        <f t="shared" si="92"/>
        <v>1</v>
      </c>
      <c r="F512" s="719"/>
      <c r="G512" s="24">
        <f t="shared" si="93"/>
        <v>1</v>
      </c>
      <c r="H512" s="719"/>
      <c r="I512" s="24">
        <f t="shared" si="94"/>
        <v>1</v>
      </c>
      <c r="J512" s="719"/>
      <c r="K512" s="24">
        <f t="shared" si="95"/>
        <v>1</v>
      </c>
      <c r="L512" s="719"/>
      <c r="M512" s="24">
        <f t="shared" si="96"/>
        <v>1</v>
      </c>
      <c r="N512" s="719"/>
      <c r="O512" s="24">
        <f t="shared" si="97"/>
        <v>1</v>
      </c>
      <c r="P512" s="719"/>
      <c r="Q512" s="24">
        <f t="shared" si="98"/>
        <v>0</v>
      </c>
      <c r="R512" s="715">
        <f t="shared" si="99"/>
        <v>0</v>
      </c>
      <c r="S512" s="360">
        <f t="shared" si="100"/>
        <v>0</v>
      </c>
    </row>
    <row r="513" spans="1:19">
      <c r="A513" s="158"/>
      <c r="B513" s="59"/>
      <c r="C513" s="24">
        <f t="shared" si="91"/>
        <v>1</v>
      </c>
      <c r="D513" s="719"/>
      <c r="E513" s="24">
        <f t="shared" si="92"/>
        <v>1</v>
      </c>
      <c r="F513" s="719"/>
      <c r="G513" s="24">
        <f t="shared" si="93"/>
        <v>1</v>
      </c>
      <c r="H513" s="719"/>
      <c r="I513" s="24">
        <f t="shared" si="94"/>
        <v>1</v>
      </c>
      <c r="J513" s="719"/>
      <c r="K513" s="24">
        <f t="shared" si="95"/>
        <v>1</v>
      </c>
      <c r="L513" s="719"/>
      <c r="M513" s="24">
        <f t="shared" si="96"/>
        <v>1</v>
      </c>
      <c r="N513" s="719"/>
      <c r="O513" s="24">
        <f t="shared" si="97"/>
        <v>1</v>
      </c>
      <c r="P513" s="719"/>
      <c r="Q513" s="24">
        <f t="shared" si="98"/>
        <v>0</v>
      </c>
      <c r="R513" s="715">
        <f t="shared" si="99"/>
        <v>0</v>
      </c>
      <c r="S513" s="360">
        <f t="shared" si="100"/>
        <v>0</v>
      </c>
    </row>
    <row r="514" spans="1:19">
      <c r="A514" s="158"/>
      <c r="B514" s="59"/>
      <c r="C514" s="24">
        <f t="shared" si="91"/>
        <v>1</v>
      </c>
      <c r="D514" s="719"/>
      <c r="E514" s="24">
        <f t="shared" si="92"/>
        <v>1</v>
      </c>
      <c r="F514" s="719"/>
      <c r="G514" s="24">
        <f t="shared" si="93"/>
        <v>1</v>
      </c>
      <c r="H514" s="719"/>
      <c r="I514" s="24">
        <f t="shared" si="94"/>
        <v>1</v>
      </c>
      <c r="J514" s="719"/>
      <c r="K514" s="24">
        <f t="shared" si="95"/>
        <v>1</v>
      </c>
      <c r="L514" s="719"/>
      <c r="M514" s="24">
        <f t="shared" si="96"/>
        <v>1</v>
      </c>
      <c r="N514" s="719"/>
      <c r="O514" s="24">
        <f t="shared" si="97"/>
        <v>1</v>
      </c>
      <c r="P514" s="719"/>
      <c r="Q514" s="24">
        <f t="shared" si="98"/>
        <v>0</v>
      </c>
      <c r="R514" s="715">
        <f t="shared" si="99"/>
        <v>0</v>
      </c>
      <c r="S514" s="360">
        <f t="shared" si="100"/>
        <v>0</v>
      </c>
    </row>
    <row r="515" spans="1:19">
      <c r="A515" s="158"/>
      <c r="B515" s="59"/>
      <c r="C515" s="24">
        <f t="shared" si="91"/>
        <v>1</v>
      </c>
      <c r="D515" s="719"/>
      <c r="E515" s="24">
        <f t="shared" si="92"/>
        <v>1</v>
      </c>
      <c r="F515" s="719"/>
      <c r="G515" s="24">
        <f t="shared" si="93"/>
        <v>1</v>
      </c>
      <c r="H515" s="719"/>
      <c r="I515" s="24">
        <f t="shared" si="94"/>
        <v>1</v>
      </c>
      <c r="J515" s="719"/>
      <c r="K515" s="24">
        <f t="shared" si="95"/>
        <v>1</v>
      </c>
      <c r="L515" s="719"/>
      <c r="M515" s="24">
        <f t="shared" si="96"/>
        <v>1</v>
      </c>
      <c r="N515" s="719"/>
      <c r="O515" s="24">
        <f t="shared" si="97"/>
        <v>1</v>
      </c>
      <c r="P515" s="719"/>
      <c r="Q515" s="24">
        <f t="shared" si="98"/>
        <v>0</v>
      </c>
      <c r="R515" s="715">
        <f t="shared" si="99"/>
        <v>0</v>
      </c>
      <c r="S515" s="360">
        <f t="shared" si="100"/>
        <v>0</v>
      </c>
    </row>
    <row r="516" spans="1:19">
      <c r="A516" s="158"/>
      <c r="B516" s="59"/>
      <c r="C516" s="24">
        <f t="shared" si="91"/>
        <v>1</v>
      </c>
      <c r="D516" s="719"/>
      <c r="E516" s="24">
        <f t="shared" si="92"/>
        <v>1</v>
      </c>
      <c r="F516" s="719"/>
      <c r="G516" s="24">
        <f t="shared" si="93"/>
        <v>1</v>
      </c>
      <c r="H516" s="719"/>
      <c r="I516" s="24">
        <f t="shared" si="94"/>
        <v>1</v>
      </c>
      <c r="J516" s="719"/>
      <c r="K516" s="24">
        <f t="shared" si="95"/>
        <v>1</v>
      </c>
      <c r="L516" s="719"/>
      <c r="M516" s="24">
        <f t="shared" si="96"/>
        <v>1</v>
      </c>
      <c r="N516" s="719"/>
      <c r="O516" s="24">
        <f t="shared" si="97"/>
        <v>1</v>
      </c>
      <c r="P516" s="719"/>
      <c r="Q516" s="24">
        <f t="shared" si="98"/>
        <v>0</v>
      </c>
      <c r="R516" s="715">
        <f t="shared" si="99"/>
        <v>0</v>
      </c>
      <c r="S516" s="360">
        <f t="shared" si="100"/>
        <v>0</v>
      </c>
    </row>
    <row r="517" spans="1:19">
      <c r="A517" s="158"/>
      <c r="B517" s="59"/>
      <c r="C517" s="24">
        <f t="shared" si="91"/>
        <v>1</v>
      </c>
      <c r="D517" s="719"/>
      <c r="E517" s="24">
        <f t="shared" si="92"/>
        <v>1</v>
      </c>
      <c r="F517" s="719"/>
      <c r="G517" s="24">
        <f t="shared" si="93"/>
        <v>1</v>
      </c>
      <c r="H517" s="719"/>
      <c r="I517" s="24">
        <f t="shared" si="94"/>
        <v>1</v>
      </c>
      <c r="J517" s="719"/>
      <c r="K517" s="24">
        <f t="shared" si="95"/>
        <v>1</v>
      </c>
      <c r="L517" s="719"/>
      <c r="M517" s="24">
        <f t="shared" si="96"/>
        <v>1</v>
      </c>
      <c r="N517" s="719"/>
      <c r="O517" s="24">
        <f t="shared" si="97"/>
        <v>1</v>
      </c>
      <c r="P517" s="719"/>
      <c r="Q517" s="24">
        <f t="shared" si="98"/>
        <v>0</v>
      </c>
      <c r="R517" s="715">
        <f t="shared" si="99"/>
        <v>0</v>
      </c>
      <c r="S517" s="360">
        <f t="shared" si="100"/>
        <v>0</v>
      </c>
    </row>
    <row r="518" spans="1:19">
      <c r="A518" s="158"/>
      <c r="B518" s="59"/>
      <c r="C518" s="24">
        <f t="shared" si="91"/>
        <v>1</v>
      </c>
      <c r="D518" s="719"/>
      <c r="E518" s="24">
        <f t="shared" si="92"/>
        <v>1</v>
      </c>
      <c r="F518" s="719"/>
      <c r="G518" s="24">
        <f t="shared" si="93"/>
        <v>1</v>
      </c>
      <c r="H518" s="719"/>
      <c r="I518" s="24">
        <f t="shared" si="94"/>
        <v>1</v>
      </c>
      <c r="J518" s="719"/>
      <c r="K518" s="24">
        <f t="shared" si="95"/>
        <v>1</v>
      </c>
      <c r="L518" s="719"/>
      <c r="M518" s="24">
        <f t="shared" si="96"/>
        <v>1</v>
      </c>
      <c r="N518" s="719"/>
      <c r="O518" s="24">
        <f t="shared" si="97"/>
        <v>1</v>
      </c>
      <c r="P518" s="719"/>
      <c r="Q518" s="24">
        <f t="shared" si="98"/>
        <v>0</v>
      </c>
      <c r="R518" s="715">
        <f t="shared" si="99"/>
        <v>0</v>
      </c>
      <c r="S518" s="360">
        <f t="shared" si="100"/>
        <v>0</v>
      </c>
    </row>
    <row r="519" spans="1:19">
      <c r="A519" s="158"/>
      <c r="B519" s="59"/>
      <c r="C519" s="24">
        <f t="shared" si="91"/>
        <v>1</v>
      </c>
      <c r="D519" s="719"/>
      <c r="E519" s="24">
        <f t="shared" si="92"/>
        <v>1</v>
      </c>
      <c r="F519" s="719"/>
      <c r="G519" s="24">
        <f t="shared" si="93"/>
        <v>1</v>
      </c>
      <c r="H519" s="719"/>
      <c r="I519" s="24">
        <f t="shared" si="94"/>
        <v>1</v>
      </c>
      <c r="J519" s="719"/>
      <c r="K519" s="24">
        <f t="shared" si="95"/>
        <v>1</v>
      </c>
      <c r="L519" s="719"/>
      <c r="M519" s="24">
        <f t="shared" si="96"/>
        <v>1</v>
      </c>
      <c r="N519" s="719"/>
      <c r="O519" s="24">
        <f t="shared" si="97"/>
        <v>1</v>
      </c>
      <c r="P519" s="719"/>
      <c r="Q519" s="24">
        <f t="shared" si="98"/>
        <v>0</v>
      </c>
      <c r="R519" s="715">
        <f t="shared" si="99"/>
        <v>0</v>
      </c>
      <c r="S519" s="360">
        <f t="shared" si="100"/>
        <v>0</v>
      </c>
    </row>
    <row r="520" spans="1:19">
      <c r="A520" s="158"/>
      <c r="B520" s="59"/>
      <c r="C520" s="24">
        <f t="shared" si="91"/>
        <v>1</v>
      </c>
      <c r="D520" s="719"/>
      <c r="E520" s="24">
        <f t="shared" si="92"/>
        <v>1</v>
      </c>
      <c r="F520" s="719"/>
      <c r="G520" s="24">
        <f t="shared" si="93"/>
        <v>1</v>
      </c>
      <c r="H520" s="719"/>
      <c r="I520" s="24">
        <f t="shared" si="94"/>
        <v>1</v>
      </c>
      <c r="J520" s="719"/>
      <c r="K520" s="24">
        <f t="shared" si="95"/>
        <v>1</v>
      </c>
      <c r="L520" s="719"/>
      <c r="M520" s="24">
        <f t="shared" si="96"/>
        <v>1</v>
      </c>
      <c r="N520" s="719"/>
      <c r="O520" s="24">
        <f t="shared" si="97"/>
        <v>1</v>
      </c>
      <c r="P520" s="719"/>
      <c r="Q520" s="24">
        <f t="shared" si="98"/>
        <v>0</v>
      </c>
      <c r="R520" s="715">
        <f t="shared" si="99"/>
        <v>0</v>
      </c>
      <c r="S520" s="360">
        <f t="shared" si="100"/>
        <v>0</v>
      </c>
    </row>
    <row r="521" spans="1:19">
      <c r="A521" s="158"/>
      <c r="B521" s="59"/>
      <c r="C521" s="24">
        <f t="shared" si="91"/>
        <v>1</v>
      </c>
      <c r="D521" s="719"/>
      <c r="E521" s="24">
        <f t="shared" si="92"/>
        <v>1</v>
      </c>
      <c r="F521" s="719"/>
      <c r="G521" s="24">
        <f t="shared" si="93"/>
        <v>1</v>
      </c>
      <c r="H521" s="719"/>
      <c r="I521" s="24">
        <f t="shared" si="94"/>
        <v>1</v>
      </c>
      <c r="J521" s="719"/>
      <c r="K521" s="24">
        <f t="shared" si="95"/>
        <v>1</v>
      </c>
      <c r="L521" s="719"/>
      <c r="M521" s="24">
        <f t="shared" si="96"/>
        <v>1</v>
      </c>
      <c r="N521" s="719"/>
      <c r="O521" s="24">
        <f t="shared" si="97"/>
        <v>1</v>
      </c>
      <c r="P521" s="719"/>
      <c r="Q521" s="24">
        <f t="shared" si="98"/>
        <v>0</v>
      </c>
      <c r="R521" s="715">
        <f t="shared" si="99"/>
        <v>0</v>
      </c>
      <c r="S521" s="360">
        <f t="shared" si="100"/>
        <v>0</v>
      </c>
    </row>
    <row r="522" spans="1:19">
      <c r="A522" s="158"/>
      <c r="B522" s="59"/>
      <c r="C522" s="24">
        <f t="shared" si="91"/>
        <v>1</v>
      </c>
      <c r="D522" s="719"/>
      <c r="E522" s="24">
        <f t="shared" si="92"/>
        <v>1</v>
      </c>
      <c r="F522" s="719"/>
      <c r="G522" s="24">
        <f t="shared" si="93"/>
        <v>1</v>
      </c>
      <c r="H522" s="719"/>
      <c r="I522" s="24">
        <f t="shared" si="94"/>
        <v>1</v>
      </c>
      <c r="J522" s="719"/>
      <c r="K522" s="24">
        <f t="shared" si="95"/>
        <v>1</v>
      </c>
      <c r="L522" s="719"/>
      <c r="M522" s="24">
        <f t="shared" si="96"/>
        <v>1</v>
      </c>
      <c r="N522" s="719"/>
      <c r="O522" s="24">
        <f t="shared" si="97"/>
        <v>1</v>
      </c>
      <c r="P522" s="719"/>
      <c r="Q522" s="24">
        <f t="shared" si="98"/>
        <v>0</v>
      </c>
      <c r="R522" s="715">
        <f t="shared" si="99"/>
        <v>0</v>
      </c>
      <c r="S522" s="360">
        <f t="shared" si="100"/>
        <v>0</v>
      </c>
    </row>
    <row r="523" spans="1:19">
      <c r="A523" s="158"/>
      <c r="B523" s="59"/>
      <c r="C523" s="24">
        <f t="shared" si="91"/>
        <v>1</v>
      </c>
      <c r="D523" s="719"/>
      <c r="E523" s="24">
        <f t="shared" si="92"/>
        <v>1</v>
      </c>
      <c r="F523" s="719"/>
      <c r="G523" s="24">
        <f t="shared" si="93"/>
        <v>1</v>
      </c>
      <c r="H523" s="719"/>
      <c r="I523" s="24">
        <f t="shared" si="94"/>
        <v>1</v>
      </c>
      <c r="J523" s="719"/>
      <c r="K523" s="24">
        <f t="shared" si="95"/>
        <v>1</v>
      </c>
      <c r="L523" s="719"/>
      <c r="M523" s="24">
        <f t="shared" si="96"/>
        <v>1</v>
      </c>
      <c r="N523" s="719"/>
      <c r="O523" s="24">
        <f t="shared" si="97"/>
        <v>1</v>
      </c>
      <c r="P523" s="719"/>
      <c r="Q523" s="24">
        <f t="shared" si="98"/>
        <v>0</v>
      </c>
      <c r="R523" s="715">
        <f t="shared" si="99"/>
        <v>0</v>
      </c>
      <c r="S523" s="360">
        <f t="shared" si="100"/>
        <v>0</v>
      </c>
    </row>
    <row r="524" spans="1:19">
      <c r="A524" s="158"/>
      <c r="B524" s="59"/>
      <c r="C524" s="24">
        <f t="shared" si="91"/>
        <v>1</v>
      </c>
      <c r="D524" s="719"/>
      <c r="E524" s="24">
        <f t="shared" si="92"/>
        <v>1</v>
      </c>
      <c r="F524" s="719"/>
      <c r="G524" s="24">
        <f t="shared" si="93"/>
        <v>1</v>
      </c>
      <c r="H524" s="719"/>
      <c r="I524" s="24">
        <f t="shared" si="94"/>
        <v>1</v>
      </c>
      <c r="J524" s="719"/>
      <c r="K524" s="24">
        <f t="shared" si="95"/>
        <v>1</v>
      </c>
      <c r="L524" s="719"/>
      <c r="M524" s="24">
        <f t="shared" si="96"/>
        <v>1</v>
      </c>
      <c r="N524" s="719"/>
      <c r="O524" s="24">
        <f t="shared" si="97"/>
        <v>1</v>
      </c>
      <c r="P524" s="719"/>
      <c r="Q524" s="24">
        <f t="shared" si="98"/>
        <v>0</v>
      </c>
      <c r="R524" s="715">
        <f t="shared" si="99"/>
        <v>0</v>
      </c>
      <c r="S524" s="360">
        <f t="shared" si="100"/>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3280" t="str">
        <f>IF(项目基本情况!B9="房地产市场价值","估价结果一览表","结果表-2")</f>
        <v>估价结果一览表</v>
      </c>
      <c r="B1" s="3280"/>
      <c r="C1" s="3280"/>
      <c r="D1" s="3280"/>
      <c r="E1" s="3280"/>
      <c r="F1" s="3280"/>
      <c r="G1" s="3280"/>
      <c r="H1" s="3280"/>
      <c r="I1" s="3280"/>
    </row>
    <row r="2" spans="1:9" ht="30" customHeight="1" thickTop="1">
      <c r="A2" s="3281" t="s">
        <v>1635</v>
      </c>
      <c r="B2" s="3281" t="s">
        <v>1636</v>
      </c>
      <c r="C2" s="3281" t="s">
        <v>1637</v>
      </c>
      <c r="D2" s="3281" t="str">
        <f>结果表!D116</f>
        <v>出让国有建设用地使用权价值</v>
      </c>
      <c r="E2" s="3281"/>
      <c r="F2" s="3281" t="str">
        <f>结果表!F116</f>
        <v>在建建筑物价值</v>
      </c>
      <c r="G2" s="3281"/>
      <c r="H2" s="3281" t="str">
        <f>IF(项目基本情况!B9="房地产市场价值","房地产市场价值","房地产价值")</f>
        <v>房地产市场价值</v>
      </c>
      <c r="I2" s="3281"/>
    </row>
    <row r="3" spans="1:9" ht="15">
      <c r="A3" s="3282"/>
      <c r="B3" s="3282"/>
      <c r="C3" s="3282"/>
      <c r="D3" s="1043" t="s">
        <v>1632</v>
      </c>
      <c r="E3" s="1043" t="s">
        <v>1638</v>
      </c>
      <c r="F3" s="1043" t="s">
        <v>1632</v>
      </c>
      <c r="G3" s="1043" t="s">
        <v>1633</v>
      </c>
      <c r="H3" s="1043" t="s">
        <v>1632</v>
      </c>
      <c r="I3" s="1043" t="s">
        <v>1633</v>
      </c>
    </row>
    <row r="4" spans="1:9" ht="15">
      <c r="A4" s="1960" t="str">
        <f>项目基本情况!S2</f>
        <v>北京市房地产</v>
      </c>
      <c r="B4" s="1043">
        <f>项目基本情况!C17</f>
        <v>135636.54</v>
      </c>
      <c r="C4" s="1043">
        <f>项目基本情况!C18</f>
        <v>45212.18</v>
      </c>
      <c r="D4" s="1043" t="e">
        <f ca="1">结果表!D118</f>
        <v>#REF!</v>
      </c>
      <c r="E4" s="1043" t="e">
        <f ca="1">结果表!E118</f>
        <v>#REF!</v>
      </c>
      <c r="F4" s="1043" t="e">
        <f ca="1">结果表!F118</f>
        <v>#REF!</v>
      </c>
      <c r="G4" s="1043" t="e">
        <f ca="1">结果表!G118</f>
        <v>#REF!</v>
      </c>
      <c r="H4" s="1043">
        <f ca="1">结果表!H118</f>
        <v>305676</v>
      </c>
      <c r="I4" s="1043">
        <f ca="1">结果表!I118</f>
        <v>22536</v>
      </c>
    </row>
    <row r="5" spans="1:9" ht="30" customHeight="1">
      <c r="A5" s="3282" t="s">
        <v>1634</v>
      </c>
      <c r="B5" s="3282"/>
      <c r="C5" s="3282"/>
      <c r="D5" s="3283" t="e">
        <f ca="1">结果表!D119</f>
        <v>#REF!</v>
      </c>
      <c r="E5" s="3283"/>
      <c r="F5" s="3283" t="e">
        <f ca="1">结果表!F119</f>
        <v>#REF!</v>
      </c>
      <c r="G5" s="3283"/>
      <c r="H5" s="3283" t="str">
        <f ca="1">结果表!H119</f>
        <v>叁拾亿伍仟陆佰柒拾陆万元整</v>
      </c>
      <c r="I5" s="3283"/>
    </row>
    <row r="6" spans="1:9" ht="15.75">
      <c r="A6" s="3284" t="str">
        <f>结果表!A120</f>
        <v/>
      </c>
      <c r="B6" s="3284"/>
      <c r="C6" s="3284"/>
      <c r="D6" s="3284">
        <f>结果表!D120</f>
        <v>0</v>
      </c>
      <c r="E6" s="3284"/>
      <c r="F6" s="3284"/>
      <c r="G6" s="3284"/>
      <c r="H6" s="3284"/>
      <c r="I6" s="3284"/>
    </row>
    <row r="7" spans="1:9" ht="15">
      <c r="A7" s="3282" t="s">
        <v>1634</v>
      </c>
      <c r="B7" s="3282"/>
      <c r="C7" s="3282"/>
      <c r="D7" s="3285" t="str">
        <f>结果表!D121</f>
        <v>零元整</v>
      </c>
      <c r="E7" s="3286"/>
      <c r="F7" s="3286"/>
      <c r="G7" s="3286"/>
      <c r="H7" s="3286"/>
      <c r="I7" s="3287"/>
    </row>
    <row r="8" spans="1:9" ht="15.75">
      <c r="A8" s="3284" t="str">
        <f>结果表!A122</f>
        <v/>
      </c>
      <c r="B8" s="3284"/>
      <c r="C8" s="3284"/>
      <c r="D8" s="3284">
        <f ca="1">结果表!D122</f>
        <v>305676</v>
      </c>
      <c r="E8" s="3284"/>
      <c r="F8" s="3284"/>
      <c r="G8" s="3284"/>
      <c r="H8" s="3284"/>
      <c r="I8" s="3284"/>
    </row>
    <row r="9" spans="1:9" ht="15">
      <c r="A9" s="3282" t="s">
        <v>1634</v>
      </c>
      <c r="B9" s="3282"/>
      <c r="C9" s="3282"/>
      <c r="D9" s="3283" t="str">
        <f ca="1">结果表!D123</f>
        <v>叁拾亿伍仟陆佰柒拾陆万元整</v>
      </c>
      <c r="E9" s="3283"/>
      <c r="F9" s="3283"/>
      <c r="G9" s="3283"/>
      <c r="H9" s="3283"/>
      <c r="I9" s="3283"/>
    </row>
    <row r="10" spans="1:9" ht="15.75">
      <c r="A10" s="3284" t="str">
        <f>结果表!A124</f>
        <v/>
      </c>
      <c r="B10" s="3284"/>
      <c r="C10" s="3284"/>
      <c r="D10" s="3284" t="str">
        <f>结果表!D124</f>
        <v>——</v>
      </c>
      <c r="E10" s="3284"/>
      <c r="F10" s="3284"/>
      <c r="G10" s="3284"/>
      <c r="H10" s="3284"/>
      <c r="I10" s="3284"/>
    </row>
    <row r="11" spans="1:9" ht="15">
      <c r="A11" s="3282" t="s">
        <v>1634</v>
      </c>
      <c r="B11" s="3282"/>
      <c r="C11" s="3282"/>
      <c r="D11" s="3283" t="e">
        <f>结果表!D125</f>
        <v>#VALUE!</v>
      </c>
      <c r="E11" s="3283"/>
      <c r="F11" s="3283"/>
      <c r="G11" s="3283"/>
      <c r="H11" s="3283"/>
      <c r="I11" s="3283"/>
    </row>
    <row r="12" spans="1:9" ht="15.75">
      <c r="A12" s="3284" t="str">
        <f>结果表!A126</f>
        <v/>
      </c>
      <c r="B12" s="3284"/>
      <c r="C12" s="3284"/>
      <c r="D12" s="3284" t="str">
        <f>结果表!D126</f>
        <v>——</v>
      </c>
      <c r="E12" s="3284"/>
      <c r="F12" s="3284"/>
      <c r="G12" s="3284"/>
      <c r="H12" s="3284"/>
      <c r="I12" s="3284"/>
    </row>
    <row r="13" spans="1:9" ht="15.75" thickBot="1">
      <c r="A13" s="3288" t="s">
        <v>1634</v>
      </c>
      <c r="B13" s="3288"/>
      <c r="C13" s="3288"/>
      <c r="D13" s="3289" t="e">
        <f>结果表!D127</f>
        <v>#VALUE!</v>
      </c>
      <c r="E13" s="3289"/>
      <c r="F13" s="3289"/>
      <c r="G13" s="3289"/>
      <c r="H13" s="3289"/>
      <c r="I13" s="3289"/>
    </row>
    <row r="14" spans="1:9" ht="15" thickTop="1">
      <c r="A14" s="3290" t="s">
        <v>1639</v>
      </c>
      <c r="B14" s="3290"/>
      <c r="C14" s="3290"/>
      <c r="D14" s="3290"/>
      <c r="E14" s="3290"/>
      <c r="F14" s="3290"/>
      <c r="G14" s="3290"/>
      <c r="H14" s="3290"/>
      <c r="I14" s="3290"/>
    </row>
    <row r="16" spans="1:9" ht="18.75">
      <c r="A16" s="1961" t="s">
        <v>1622</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86859</v>
      </c>
      <c r="C2" s="2" t="s">
        <v>133</v>
      </c>
      <c r="D2" s="242"/>
      <c r="E2" s="242"/>
      <c r="F2" s="242"/>
      <c r="G2" s="242"/>
    </row>
    <row r="3" spans="1:7" s="243" customFormat="1" ht="18" customHeight="1" thickBot="1">
      <c r="A3" s="246" t="s">
        <v>85</v>
      </c>
      <c r="B3" s="247">
        <f ca="1">ROUND(B2*10000/'数据-汇总表'!E3,0)</f>
        <v>6404</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2713</v>
      </c>
      <c r="D10" s="1031">
        <f>'数据-汇总表'!E6</f>
        <v>135636.54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2713</v>
      </c>
      <c r="D19" s="1035">
        <f>'数据-汇总表'!E3</f>
        <v>135636.54</v>
      </c>
      <c r="E19" s="254">
        <f>'数据-取费表'!B31</f>
        <v>200</v>
      </c>
      <c r="F19" s="274"/>
      <c r="G19" s="1" t="s">
        <v>1070</v>
      </c>
    </row>
    <row r="20" spans="1:7" s="257" customFormat="1" ht="13.5" customHeight="1">
      <c r="A20" s="947" t="s">
        <v>1053</v>
      </c>
      <c r="B20" s="253" t="s">
        <v>104</v>
      </c>
      <c r="C20" s="275">
        <f>ROUND((C5+C19)*F20,0)</f>
        <v>466</v>
      </c>
      <c r="D20" s="275"/>
      <c r="E20" s="275"/>
      <c r="F20" s="276">
        <f>'数据-取费表'!B37</f>
        <v>0.02</v>
      </c>
      <c r="G20" s="1285"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0">
        <f ca="1">ROUND(SUM(C23:C25),0)</f>
        <v>1699</v>
      </c>
      <c r="D22" s="278">
        <f ca="1">C26</f>
        <v>6.9999999999999999E-4</v>
      </c>
      <c r="E22" s="279" t="s">
        <v>126</v>
      </c>
      <c r="F22" s="280">
        <f ca="1">'数据-取费表'!B40</f>
        <v>4.7500000000000001E-2</v>
      </c>
      <c r="G22" s="1285" t="str">
        <f>IF('数据-取费表'!B22&lt;=1,"单利计息","复利计息")</f>
        <v>复利计息</v>
      </c>
    </row>
    <row r="23" spans="1:7" s="257" customFormat="1" ht="13.5" customHeight="1">
      <c r="A23" s="950" t="s">
        <v>794</v>
      </c>
      <c r="B23" s="258" t="s">
        <v>1057</v>
      </c>
      <c r="C23" s="1351">
        <f ca="1">ROUND(IF('数据-取费表'!B22&lt;=1,C5*F22*'数据-取费表'!B23,C5*(POWER((1+F22),'数据-取费表'!B23)-1)),0)</f>
        <v>1486</v>
      </c>
      <c r="D23" s="281"/>
      <c r="E23" s="281"/>
      <c r="F23" s="282"/>
      <c r="G23" s="283" t="s">
        <v>108</v>
      </c>
    </row>
    <row r="24" spans="1:7" s="257" customFormat="1" ht="13.5" customHeight="1">
      <c r="A24" s="950" t="s">
        <v>792</v>
      </c>
      <c r="B24" s="258" t="s">
        <v>1052</v>
      </c>
      <c r="C24" s="1351">
        <f ca="1">ROUND(IF('数据-取费表'!B22&lt;=1,C19*F22*('数据-取费表'!B19/2+'数据-取费表'!B21),C19*(POWER((1+F22),('数据-取费表'!B19/2+'数据-取费表'!B21))-1)),0)</f>
        <v>196</v>
      </c>
      <c r="D24" s="281"/>
      <c r="E24" s="281"/>
      <c r="F24" s="282"/>
      <c r="G24" s="283" t="s">
        <v>109</v>
      </c>
    </row>
    <row r="25" spans="1:7" s="257" customFormat="1" ht="24">
      <c r="A25" s="950" t="s">
        <v>793</v>
      </c>
      <c r="B25" s="258" t="s">
        <v>1054</v>
      </c>
      <c r="C25" s="1351">
        <f ca="1">ROUND(IF('数据-取费表'!B22&lt;=1,C20*F22*'数据-取费表'!B23/2,C20*(POWER((1+F22),'数据-取费表'!B23/2)-1)),0)</f>
        <v>17</v>
      </c>
      <c r="D25" s="281"/>
      <c r="E25" s="284"/>
      <c r="F25" s="282"/>
      <c r="G25" s="285" t="s">
        <v>110</v>
      </c>
    </row>
    <row r="26" spans="1:7" s="257" customFormat="1">
      <c r="A26" s="950" t="s">
        <v>795</v>
      </c>
      <c r="B26" s="258" t="s">
        <v>1056</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2379</v>
      </c>
      <c r="D27" s="278">
        <f>C29</f>
        <v>2E-3</v>
      </c>
      <c r="E27" s="279" t="s">
        <v>126</v>
      </c>
      <c r="F27" s="289">
        <f>'数据-取费表'!Q16</f>
        <v>0.1</v>
      </c>
      <c r="G27" s="290" t="s">
        <v>1065</v>
      </c>
    </row>
    <row r="28" spans="1:7" s="257" customFormat="1" ht="13.5" customHeight="1">
      <c r="A28" s="950" t="s">
        <v>794</v>
      </c>
      <c r="B28" s="291" t="s">
        <v>1058</v>
      </c>
      <c r="C28" s="292">
        <f>ROUND((C5+C19+C20)*F27*'数据-取费表'!B21/'数据-取费表'!B20,0)</f>
        <v>2379</v>
      </c>
      <c r="D28" s="278"/>
      <c r="E28" s="279"/>
      <c r="F28" s="289"/>
      <c r="G28" s="290"/>
    </row>
    <row r="29" spans="1:7" s="257" customFormat="1" ht="13.5" customHeight="1">
      <c r="A29" s="950" t="s">
        <v>792</v>
      </c>
      <c r="B29" s="291" t="s">
        <v>1059</v>
      </c>
      <c r="C29" s="281">
        <f>ROUND(C21*F27*'数据-取费表'!B21/'数据-取费表'!B20,4)</f>
        <v>2E-3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30160</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45235</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40691</v>
      </c>
      <c r="D34" s="260"/>
      <c r="E34" s="263"/>
      <c r="F34" s="300">
        <f>IF('数据-取费表'!B24=0,1,'数据-取费表'!N16)</f>
        <v>1</v>
      </c>
      <c r="G34" s="262" t="s">
        <v>116</v>
      </c>
    </row>
    <row r="35" spans="1:7" ht="13.5" customHeight="1">
      <c r="A35" s="950" t="s">
        <v>796</v>
      </c>
      <c r="B35" s="258" t="s">
        <v>60</v>
      </c>
      <c r="C35" s="263">
        <f>ROUND(C34*F35,0)</f>
        <v>1221</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0" t="s">
        <v>798</v>
      </c>
      <c r="B37" s="258" t="s">
        <v>118</v>
      </c>
      <c r="C37" s="292">
        <f>ROUND(E37*D37*F34/10000,0)</f>
        <v>2713</v>
      </c>
      <c r="D37" s="260">
        <f>'数据-汇总表'!E3</f>
        <v>135636.54</v>
      </c>
      <c r="E37" s="292">
        <f>'数据-取费表'!B35</f>
        <v>200</v>
      </c>
      <c r="F37" s="302"/>
      <c r="G37" s="304" t="s">
        <v>119</v>
      </c>
    </row>
    <row r="38" spans="1:7" ht="13.5" customHeight="1">
      <c r="A38" s="950" t="s">
        <v>799</v>
      </c>
      <c r="B38" s="258" t="s">
        <v>63</v>
      </c>
      <c r="C38" s="263">
        <f>ROUND(C34*F38,0)</f>
        <v>610</v>
      </c>
      <c r="D38" s="263"/>
      <c r="E38" s="263"/>
      <c r="F38" s="302">
        <f>'数据-取费表'!B36</f>
        <v>1.4999999999999999E-2</v>
      </c>
      <c r="G38" s="262" t="s">
        <v>117</v>
      </c>
    </row>
    <row r="39" spans="1:7" s="257" customFormat="1" ht="13.5" customHeight="1">
      <c r="A39" s="947" t="s">
        <v>783</v>
      </c>
      <c r="B39" s="253" t="s">
        <v>104</v>
      </c>
      <c r="C39" s="275">
        <f>ROUND(C33*F20,0)</f>
        <v>905</v>
      </c>
      <c r="D39" s="275"/>
      <c r="E39" s="275"/>
      <c r="F39" s="276"/>
      <c r="G39" s="1285"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1634</v>
      </c>
      <c r="D41" s="278">
        <f ca="1">C44</f>
        <v>6.9999999999999999E-4</v>
      </c>
      <c r="E41" s="279" t="s">
        <v>129</v>
      </c>
      <c r="F41" s="280"/>
      <c r="G41" s="1285" t="str">
        <f>IF('数据-取费表'!B22&lt;=1,"单利计息","复利计息")</f>
        <v>复利计息</v>
      </c>
    </row>
    <row r="42" spans="1:7" ht="13.5" customHeight="1">
      <c r="A42" s="950" t="s">
        <v>794</v>
      </c>
      <c r="B42" s="258" t="s">
        <v>1057</v>
      </c>
      <c r="C42" s="281">
        <f ca="1">ROUND(IF('数据-取费表'!B22&lt;=1,C33*F22*'数据-取费表'!B21/2,C33*(POWER((1+F22),'数据-取费表'!B21/2)-1)),0)</f>
        <v>1602</v>
      </c>
      <c r="D42" s="281"/>
      <c r="E42" s="281"/>
      <c r="F42" s="282"/>
      <c r="G42" s="3618" t="s">
        <v>121</v>
      </c>
    </row>
    <row r="43" spans="1:7" ht="13.5" customHeight="1">
      <c r="A43" s="950" t="s">
        <v>792</v>
      </c>
      <c r="B43" s="258" t="s">
        <v>1060</v>
      </c>
      <c r="C43" s="281">
        <f ca="1">ROUND(IF('数据-取费表'!B22&lt;=1,C39*F22*'数据-取费表'!B21/2,C39*(POWER((1+F22),'数据-取费表'!B21/2)-1)),0)</f>
        <v>32</v>
      </c>
      <c r="D43" s="281"/>
      <c r="E43" s="281"/>
      <c r="F43" s="282"/>
      <c r="G43" s="3619"/>
    </row>
    <row r="44" spans="1:7" ht="13.5" customHeight="1">
      <c r="A44" s="950" t="s">
        <v>793</v>
      </c>
      <c r="B44" s="258" t="s">
        <v>1062</v>
      </c>
      <c r="C44" s="281">
        <f ca="1">ROUND(IF('数据-取费表'!B22&lt;=1,C40*F22*'数据-取费表'!B21/2,C40*(POWER((1+F22),'数据-取费表'!B21/2)-1)),4)</f>
        <v>6.9999999999999999E-4</v>
      </c>
      <c r="D44" s="281"/>
      <c r="E44" s="281"/>
      <c r="F44" s="282"/>
      <c r="G44" s="3620"/>
    </row>
    <row r="45" spans="1:7" s="257" customFormat="1" ht="13.5" customHeight="1">
      <c r="A45" s="947" t="s">
        <v>786</v>
      </c>
      <c r="B45" s="287" t="s">
        <v>112</v>
      </c>
      <c r="C45" s="288">
        <f>C46</f>
        <v>4614</v>
      </c>
      <c r="D45" s="278">
        <f>C47</f>
        <v>2E-3</v>
      </c>
      <c r="E45" s="279" t="s">
        <v>129</v>
      </c>
      <c r="F45" s="289"/>
      <c r="G45" s="290" t="s">
        <v>1068</v>
      </c>
    </row>
    <row r="46" spans="1:7" s="257" customFormat="1" ht="13.5" customHeight="1">
      <c r="A46" s="950" t="s">
        <v>794</v>
      </c>
      <c r="B46" s="291" t="s">
        <v>1061</v>
      </c>
      <c r="C46" s="292">
        <f>ROUND((C33+C39)*F27,0)</f>
        <v>4614</v>
      </c>
      <c r="D46" s="306"/>
      <c r="E46" s="279"/>
      <c r="F46" s="289"/>
      <c r="G46" s="290"/>
    </row>
    <row r="47" spans="1:7" s="257" customFormat="1" ht="13.5" customHeight="1">
      <c r="A47" s="950" t="s">
        <v>792</v>
      </c>
      <c r="B47" s="291" t="s">
        <v>1063</v>
      </c>
      <c r="C47" s="281">
        <f>ROUND(C40*F27,4)</f>
        <v>2E-3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56699</v>
      </c>
      <c r="D49" s="275"/>
      <c r="E49" s="275"/>
      <c r="F49" s="307"/>
      <c r="G49" s="277" t="s">
        <v>1069</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56699</v>
      </c>
      <c r="D51" s="275"/>
      <c r="E51" s="275"/>
      <c r="F51" s="307"/>
      <c r="G51" s="277" t="s">
        <v>64</v>
      </c>
    </row>
    <row r="52" spans="1:7" s="251" customFormat="1" ht="16.5" thickBot="1">
      <c r="A52" s="308" t="s">
        <v>65</v>
      </c>
      <c r="B52" s="309"/>
      <c r="C52" s="310">
        <f ca="1">C31+C51</f>
        <v>86859</v>
      </c>
      <c r="D52" s="309"/>
      <c r="E52" s="309"/>
      <c r="F52" s="309"/>
      <c r="G52" s="311"/>
    </row>
    <row r="55" spans="1:7" ht="15">
      <c r="B55" s="313" t="s">
        <v>66</v>
      </c>
      <c r="C55" s="314"/>
    </row>
    <row r="56" spans="1:7">
      <c r="B56" s="316" t="s">
        <v>67</v>
      </c>
      <c r="C56" s="317">
        <f ca="1">ROUND(C51/C52,3)</f>
        <v>0.65300000000000002</v>
      </c>
    </row>
    <row r="57" spans="1:7">
      <c r="B57" s="316" t="s">
        <v>68</v>
      </c>
      <c r="C57" s="318">
        <f ca="1">1-C56</f>
        <v>0.34699999999999998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S344"/>
  <sheetViews>
    <sheetView workbookViewId="0">
      <selection activeCell="G224" sqref="G224"/>
    </sheetView>
  </sheetViews>
  <sheetFormatPr defaultColWidth="9" defaultRowHeight="13.5"/>
  <cols>
    <col min="1" max="1" width="12.625" style="854" customWidth="1"/>
    <col min="2" max="5" width="10.125" style="812" customWidth="1"/>
    <col min="6" max="6" width="9" style="812"/>
    <col min="7" max="8" width="9" style="827"/>
    <col min="9" max="16384" width="9" style="812"/>
  </cols>
  <sheetData>
    <row r="1" spans="1:19">
      <c r="A1" s="3712" t="s">
        <v>156</v>
      </c>
      <c r="B1" s="3712"/>
      <c r="C1" s="3712"/>
      <c r="D1" s="3712"/>
      <c r="E1" s="3712"/>
      <c r="F1" s="371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713" t="s">
        <v>169</v>
      </c>
      <c r="B2" s="3713"/>
      <c r="C2" s="3713"/>
      <c r="D2" s="3713"/>
      <c r="E2" s="3713"/>
      <c r="F2" s="371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71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71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F344"/>
  <sheetViews>
    <sheetView workbookViewId="0">
      <selection activeCell="F6" sqref="F6"/>
    </sheetView>
  </sheetViews>
  <sheetFormatPr defaultColWidth="8.875" defaultRowHeight="13.5"/>
  <cols>
    <col min="1" max="1" width="12.625" style="854" customWidth="1"/>
    <col min="2" max="2" width="10.125" style="812" customWidth="1"/>
  </cols>
  <sheetData>
    <row r="1" spans="1:6">
      <c r="A1" s="3712" t="s">
        <v>867</v>
      </c>
      <c r="B1" s="3712"/>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24.75" thickBot="1">
      <c r="A72" s="839" t="s">
        <v>137</v>
      </c>
      <c r="B72" s="833" t="s">
        <v>881</v>
      </c>
      <c r="C72" s="1076"/>
      <c r="D72" s="1076"/>
      <c r="E72" s="1076"/>
      <c r="F72" s="1064">
        <v>0.05</v>
      </c>
    </row>
    <row r="73" spans="1:6" ht="24.75" thickBot="1">
      <c r="A73" s="839" t="s">
        <v>137</v>
      </c>
      <c r="B73" s="833" t="s">
        <v>882</v>
      </c>
      <c r="C73" s="1076"/>
      <c r="D73" s="1076"/>
      <c r="E73" s="1076"/>
      <c r="F73" s="1064">
        <v>0.05</v>
      </c>
    </row>
    <row r="74" spans="1:6" ht="24.75" thickBot="1">
      <c r="A74" s="839" t="s">
        <v>137</v>
      </c>
      <c r="B74" s="833" t="s">
        <v>883</v>
      </c>
      <c r="C74" s="1076"/>
      <c r="D74" s="1076"/>
      <c r="E74" s="1076"/>
      <c r="F74" s="1064">
        <v>0.05</v>
      </c>
    </row>
    <row r="75" spans="1:6" ht="24.7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24.7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24.7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87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87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87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87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87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87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87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87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87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87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87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87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87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87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87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87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87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87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87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87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87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87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87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87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87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87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87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87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87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87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87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87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87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87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87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87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87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87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87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87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87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87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87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87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87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87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87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87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87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87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87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87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87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87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87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87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87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87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87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87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87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87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87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875" style="1631" customWidth="1"/>
    <col min="16142" max="16384" width="8.875" style="1631"/>
  </cols>
  <sheetData>
    <row r="1" spans="1:257" s="1695" customFormat="1" ht="14.25" thickBot="1">
      <c r="A1" s="1689"/>
      <c r="B1" s="1696" t="s">
        <v>1295</v>
      </c>
      <c r="C1" s="1690">
        <f>项目基本情况!D3</f>
        <v>44011</v>
      </c>
      <c r="D1" s="1696" t="s">
        <v>1296</v>
      </c>
      <c r="E1" s="1691">
        <f>'数据-取费表'!B22</f>
        <v>1.5</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17"/>
  <sheetViews>
    <sheetView workbookViewId="0">
      <selection activeCell="K25" sqref="K25"/>
    </sheetView>
  </sheetViews>
  <sheetFormatPr defaultColWidth="8.875" defaultRowHeight="13.5"/>
  <sheetData>
    <row r="1" spans="1:13" ht="28.5">
      <c r="A1" s="1770" t="s">
        <v>1367</v>
      </c>
      <c r="E1" s="1764" t="s">
        <v>1371</v>
      </c>
      <c r="F1" s="1765" t="s">
        <v>1375</v>
      </c>
    </row>
    <row r="2" spans="1:13" ht="20.25">
      <c r="A2" s="1771" t="s">
        <v>1368</v>
      </c>
    </row>
    <row r="3" spans="1:13" ht="16.5">
      <c r="A3" s="1772" t="s">
        <v>1369</v>
      </c>
    </row>
    <row r="4" spans="1:13" ht="14.25">
      <c r="A4" s="1762" t="s">
        <v>1370</v>
      </c>
      <c r="B4" s="1767" t="s">
        <v>1372</v>
      </c>
      <c r="C4" s="1768"/>
      <c r="D4" s="1769"/>
      <c r="E4" s="1767" t="s">
        <v>27</v>
      </c>
      <c r="F4" s="1768"/>
      <c r="G4" s="1769"/>
      <c r="H4" s="1767" t="s">
        <v>1373</v>
      </c>
      <c r="I4" s="1768"/>
      <c r="J4" s="1769"/>
      <c r="K4" s="1767" t="s">
        <v>6</v>
      </c>
      <c r="L4" s="1768"/>
      <c r="M4" s="1769"/>
    </row>
    <row r="5" spans="1:13" ht="14.25">
      <c r="A5" s="1763" t="s">
        <v>1374</v>
      </c>
      <c r="B5" s="1762" t="s">
        <v>1376</v>
      </c>
      <c r="C5" s="1762" t="s">
        <v>1377</v>
      </c>
      <c r="D5" s="1762" t="s">
        <v>1378</v>
      </c>
      <c r="E5" s="1762" t="s">
        <v>1376</v>
      </c>
      <c r="F5" s="1762" t="s">
        <v>1377</v>
      </c>
      <c r="G5" s="1762" t="s">
        <v>1378</v>
      </c>
      <c r="H5" s="1762" t="s">
        <v>1376</v>
      </c>
      <c r="I5" s="1762" t="s">
        <v>1377</v>
      </c>
      <c r="J5" s="1762" t="s">
        <v>1378</v>
      </c>
      <c r="K5" s="1762" t="s">
        <v>1376</v>
      </c>
      <c r="L5" s="1762" t="s">
        <v>1377</v>
      </c>
      <c r="M5" s="1762" t="s">
        <v>1378</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rgb="FFFF0000"/>
  </sheetPr>
  <dimension ref="A1:J23"/>
  <sheetViews>
    <sheetView topLeftCell="A13" workbookViewId="0">
      <selection activeCell="B10" sqref="B10"/>
    </sheetView>
  </sheetViews>
  <sheetFormatPr defaultColWidth="9" defaultRowHeight="13.5"/>
  <cols>
    <col min="1" max="1" width="23.375" style="2945" customWidth="1"/>
    <col min="2" max="9" width="15.875" style="2945" customWidth="1"/>
    <col min="10" max="16384" width="9" style="2945"/>
  </cols>
  <sheetData>
    <row r="1" spans="1:10" ht="16.5">
      <c r="A1" s="2946" t="s">
        <v>1360</v>
      </c>
      <c r="B1" s="2946">
        <f>SUM(B14:B23)</f>
        <v>135636.54000000004</v>
      </c>
      <c r="C1" s="2943"/>
      <c r="D1" s="2943"/>
      <c r="E1" s="2943"/>
      <c r="F1" s="2943"/>
      <c r="G1" s="2944"/>
    </row>
    <row r="2" spans="1:10" ht="16.5">
      <c r="A2" s="2946" t="s">
        <v>1348</v>
      </c>
      <c r="B2" s="2946">
        <f>SUM(C14:C23)</f>
        <v>45212.18</v>
      </c>
      <c r="C2" s="2943"/>
      <c r="D2" s="2943"/>
      <c r="E2" s="2943"/>
      <c r="F2" s="2943"/>
      <c r="G2" s="2944"/>
    </row>
    <row r="3" spans="1:10" ht="16.5">
      <c r="A3" s="2946" t="s">
        <v>1357</v>
      </c>
      <c r="B3" s="2947">
        <f>项目基本情况!D3</f>
        <v>44011</v>
      </c>
      <c r="C3" s="2943"/>
      <c r="D3" s="2943"/>
      <c r="E3" s="2943"/>
      <c r="F3" s="2943"/>
      <c r="G3" s="2944"/>
    </row>
    <row r="4" spans="1:10" ht="33">
      <c r="A4" s="2946" t="s">
        <v>1356</v>
      </c>
      <c r="B4" s="2946" t="s">
        <v>1355</v>
      </c>
      <c r="C4" s="2946" t="s">
        <v>1354</v>
      </c>
      <c r="D4" s="2946" t="s">
        <v>1353</v>
      </c>
      <c r="E4" s="2943"/>
      <c r="F4" s="2944"/>
      <c r="G4" s="2944"/>
    </row>
    <row r="5" spans="1:10" ht="16.5">
      <c r="A5" s="2946" t="s">
        <v>1352</v>
      </c>
      <c r="B5" s="2946">
        <f ca="1">SUM(D14:D23)</f>
        <v>305676</v>
      </c>
      <c r="C5" s="2946">
        <f ca="1">ROUND(B5*10000/$B$1,0)</f>
        <v>22536</v>
      </c>
      <c r="D5" s="2946">
        <f ca="1">ROUND(B5*10000/$B$2,0)</f>
        <v>67609</v>
      </c>
      <c r="E5" s="2943"/>
      <c r="F5" s="2944"/>
      <c r="G5" s="2944"/>
    </row>
    <row r="6" spans="1:10" ht="16.5">
      <c r="A6" s="2946" t="s">
        <v>1351</v>
      </c>
      <c r="B6" s="2946">
        <f ca="1">SUM(G14:G23)</f>
        <v>305676</v>
      </c>
      <c r="C6" s="2946">
        <f ca="1">ROUND(B6*10000/$B$1,0)</f>
        <v>22536</v>
      </c>
      <c r="D6" s="2946">
        <f ca="1">ROUND(B6*10000/$B$2,0)</f>
        <v>67609</v>
      </c>
      <c r="E6" s="2943"/>
      <c r="F6" s="2944"/>
      <c r="G6" s="2944"/>
    </row>
    <row r="7" spans="1:10" ht="16.5">
      <c r="A7" s="2946" t="s">
        <v>1359</v>
      </c>
      <c r="B7" s="2946">
        <f>SUM(H14:H23)</f>
        <v>0</v>
      </c>
      <c r="C7" s="2946">
        <f>ROUND(B7*10000/$B$1,0)</f>
        <v>0</v>
      </c>
      <c r="D7" s="2946">
        <f>ROUND(B7*10000/$B$2,0)</f>
        <v>0</v>
      </c>
      <c r="E7" s="2943"/>
      <c r="F7" s="2944"/>
      <c r="G7" s="2944"/>
    </row>
    <row r="8" spans="1:10" ht="16.5">
      <c r="A8" s="2946" t="s">
        <v>1280</v>
      </c>
      <c r="B8" s="2946">
        <f>SUM(I14:I23)</f>
        <v>0</v>
      </c>
      <c r="C8" s="2946">
        <f>ROUND(B8*10000/$B$1,0)</f>
        <v>0</v>
      </c>
      <c r="D8" s="2946">
        <f>ROUND(B8*10000/$B$2,0)</f>
        <v>0</v>
      </c>
      <c r="E8" s="2943"/>
      <c r="F8" s="2944"/>
      <c r="G8" s="2944"/>
    </row>
    <row r="9" spans="1:10" ht="16.5">
      <c r="A9" s="2946" t="s">
        <v>1350</v>
      </c>
      <c r="B9" s="1734"/>
      <c r="C9" s="2943"/>
      <c r="D9" s="2943"/>
      <c r="E9" s="2943"/>
      <c r="F9" s="2944"/>
      <c r="G9" s="2944"/>
    </row>
    <row r="10" spans="1:10" ht="16.5">
      <c r="A10" s="2946" t="s">
        <v>1349</v>
      </c>
      <c r="B10" s="1734">
        <f ca="1">D14</f>
        <v>305676</v>
      </c>
      <c r="C10" s="2943"/>
      <c r="D10" s="2943"/>
      <c r="E10" s="2943"/>
      <c r="F10" s="2944"/>
      <c r="G10" s="2944"/>
    </row>
    <row r="11" spans="1:10" ht="16.5">
      <c r="A11" s="2946" t="s">
        <v>1365</v>
      </c>
      <c r="B11" s="1734"/>
      <c r="C11" s="2943"/>
      <c r="D11" s="2943"/>
      <c r="E11" s="2943"/>
      <c r="F11" s="2944"/>
      <c r="G11" s="2944"/>
    </row>
    <row r="12" spans="1:10" ht="16.5">
      <c r="A12" s="2943"/>
      <c r="B12" s="2943"/>
      <c r="C12" s="2943"/>
      <c r="D12" s="2943"/>
      <c r="E12" s="2943"/>
      <c r="F12" s="2944"/>
      <c r="G12" s="2944"/>
    </row>
    <row r="13" spans="1:10" ht="33">
      <c r="A13" s="2948" t="s">
        <v>1364</v>
      </c>
      <c r="B13" s="2949" t="s">
        <v>1361</v>
      </c>
      <c r="C13" s="2949" t="s">
        <v>1363</v>
      </c>
      <c r="D13" s="2949" t="s">
        <v>1362</v>
      </c>
      <c r="E13" s="2946" t="s">
        <v>1354</v>
      </c>
      <c r="F13" s="2946" t="s">
        <v>1353</v>
      </c>
      <c r="G13" s="2949" t="s">
        <v>1347</v>
      </c>
      <c r="H13" s="2949" t="s">
        <v>1358</v>
      </c>
      <c r="I13" s="2949" t="s">
        <v>1346</v>
      </c>
      <c r="J13" s="2944"/>
    </row>
    <row r="14" spans="1:10" ht="16.5">
      <c r="A14" s="2950" t="s">
        <v>1345</v>
      </c>
      <c r="B14" s="2951">
        <f>结果表!B118</f>
        <v>135636.54000000004</v>
      </c>
      <c r="C14" s="2951">
        <f>结果表!C118</f>
        <v>45212.18</v>
      </c>
      <c r="D14" s="2951">
        <f ca="1">结果表!H118</f>
        <v>305676</v>
      </c>
      <c r="E14" s="2949">
        <f ca="1">ROUND(D14*10000/B14,0)</f>
        <v>22536</v>
      </c>
      <c r="F14" s="2949">
        <f ca="1">ROUND(D14*10000/C14,0)</f>
        <v>67609</v>
      </c>
      <c r="G14" s="2951">
        <f ca="1">结果表!D122</f>
        <v>305676</v>
      </c>
      <c r="H14" s="2951" t="str">
        <f>结果表!D124</f>
        <v>——</v>
      </c>
      <c r="I14" s="2951" t="str">
        <f>结果表!D126</f>
        <v>——</v>
      </c>
      <c r="J14" s="2944"/>
    </row>
    <row r="15" spans="1:10" ht="16.5">
      <c r="A15" s="2950" t="s">
        <v>1344</v>
      </c>
      <c r="B15" s="1735"/>
      <c r="C15" s="1735"/>
      <c r="D15" s="1735"/>
      <c r="E15" s="2949" t="e">
        <f t="shared" ref="E15:E23" si="0">ROUND(D15*10000/B15,0)</f>
        <v>#DIV/0!</v>
      </c>
      <c r="F15" s="2949" t="e">
        <f t="shared" ref="F15:F23" si="1">ROUND(D15*10000/C15,0)</f>
        <v>#DIV/0!</v>
      </c>
      <c r="G15" s="1736"/>
      <c r="H15" s="1736"/>
      <c r="I15" s="1735"/>
      <c r="J15" s="2944"/>
    </row>
    <row r="16" spans="1:10" ht="16.5">
      <c r="A16" s="2950" t="s">
        <v>1343</v>
      </c>
      <c r="B16" s="1735"/>
      <c r="C16" s="1735"/>
      <c r="D16" s="1735"/>
      <c r="E16" s="2949" t="e">
        <f t="shared" si="0"/>
        <v>#DIV/0!</v>
      </c>
      <c r="F16" s="2949" t="e">
        <f t="shared" si="1"/>
        <v>#DIV/0!</v>
      </c>
      <c r="G16" s="1736"/>
      <c r="H16" s="1736"/>
      <c r="I16" s="1735"/>
    </row>
    <row r="17" spans="1:9" ht="16.5">
      <c r="A17" s="2950" t="s">
        <v>1342</v>
      </c>
      <c r="B17" s="1735"/>
      <c r="C17" s="1735"/>
      <c r="D17" s="1735"/>
      <c r="E17" s="2949" t="e">
        <f t="shared" si="0"/>
        <v>#DIV/0!</v>
      </c>
      <c r="F17" s="2949" t="e">
        <f t="shared" si="1"/>
        <v>#DIV/0!</v>
      </c>
      <c r="G17" s="1736"/>
      <c r="H17" s="1736"/>
      <c r="I17" s="1735"/>
    </row>
    <row r="18" spans="1:9" ht="16.5">
      <c r="A18" s="2950" t="s">
        <v>1341</v>
      </c>
      <c r="B18" s="1735"/>
      <c r="C18" s="1735"/>
      <c r="D18" s="1735"/>
      <c r="E18" s="2949" t="e">
        <f t="shared" si="0"/>
        <v>#DIV/0!</v>
      </c>
      <c r="F18" s="2949" t="e">
        <f t="shared" si="1"/>
        <v>#DIV/0!</v>
      </c>
      <c r="G18" s="1735"/>
      <c r="H18" s="1735"/>
      <c r="I18" s="1735"/>
    </row>
    <row r="19" spans="1:9" ht="16.5">
      <c r="A19" s="2950" t="s">
        <v>1340</v>
      </c>
      <c r="B19" s="1735"/>
      <c r="C19" s="1735"/>
      <c r="D19" s="1735"/>
      <c r="E19" s="2949" t="e">
        <f t="shared" si="0"/>
        <v>#DIV/0!</v>
      </c>
      <c r="F19" s="2949" t="e">
        <f t="shared" si="1"/>
        <v>#DIV/0!</v>
      </c>
      <c r="G19" s="1735"/>
      <c r="H19" s="1735"/>
      <c r="I19" s="1735"/>
    </row>
    <row r="20" spans="1:9" ht="16.5">
      <c r="A20" s="2950" t="s">
        <v>1339</v>
      </c>
      <c r="B20" s="1735"/>
      <c r="C20" s="1735"/>
      <c r="D20" s="1735"/>
      <c r="E20" s="2949" t="e">
        <f t="shared" si="0"/>
        <v>#DIV/0!</v>
      </c>
      <c r="F20" s="2949" t="e">
        <f t="shared" si="1"/>
        <v>#DIV/0!</v>
      </c>
      <c r="G20" s="1735"/>
      <c r="H20" s="1735"/>
      <c r="I20" s="1735"/>
    </row>
    <row r="21" spans="1:9" ht="16.5">
      <c r="A21" s="2950" t="s">
        <v>1338</v>
      </c>
      <c r="B21" s="1735"/>
      <c r="C21" s="1735"/>
      <c r="D21" s="1735"/>
      <c r="E21" s="2949" t="e">
        <f t="shared" si="0"/>
        <v>#DIV/0!</v>
      </c>
      <c r="F21" s="2949" t="e">
        <f t="shared" si="1"/>
        <v>#DIV/0!</v>
      </c>
      <c r="G21" s="1735"/>
      <c r="H21" s="1735"/>
      <c r="I21" s="1735"/>
    </row>
    <row r="22" spans="1:9" ht="16.5">
      <c r="A22" s="2950" t="s">
        <v>1337</v>
      </c>
      <c r="B22" s="1735"/>
      <c r="C22" s="1735"/>
      <c r="D22" s="1735"/>
      <c r="E22" s="2949" t="e">
        <f t="shared" si="0"/>
        <v>#DIV/0!</v>
      </c>
      <c r="F22" s="2949" t="e">
        <f t="shared" si="1"/>
        <v>#DIV/0!</v>
      </c>
      <c r="G22" s="1735"/>
      <c r="H22" s="1735"/>
      <c r="I22" s="1735"/>
    </row>
    <row r="23" spans="1:9" ht="16.5">
      <c r="A23" s="2950" t="s">
        <v>1336</v>
      </c>
      <c r="B23" s="1735"/>
      <c r="C23" s="1735"/>
      <c r="D23" s="1735"/>
      <c r="E23" s="2946" t="e">
        <f t="shared" si="0"/>
        <v>#DIV/0!</v>
      </c>
      <c r="F23" s="2946" t="e">
        <f t="shared" si="1"/>
        <v>#DIV/0!</v>
      </c>
      <c r="G23" s="1735"/>
      <c r="H23" s="1735"/>
      <c r="I23" s="173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T25"/>
  <sheetViews>
    <sheetView zoomScale="70" zoomScaleNormal="70" workbookViewId="0">
      <selection activeCell="E5" sqref="E5:H18"/>
    </sheetView>
  </sheetViews>
  <sheetFormatPr defaultColWidth="9" defaultRowHeight="13.5"/>
  <cols>
    <col min="1" max="1" width="6.375" customWidth="1"/>
    <col min="2" max="2" width="12.625" customWidth="1"/>
    <col min="3" max="3" width="16.625" customWidth="1"/>
    <col min="4" max="4" width="12.625" customWidth="1"/>
    <col min="5" max="5" width="6.375" customWidth="1"/>
    <col min="6" max="7" width="11.125" customWidth="1"/>
    <col min="8" max="8" width="12.625" customWidth="1"/>
    <col min="9" max="9" width="6.375" customWidth="1"/>
    <col min="10" max="10" width="11.375" customWidth="1"/>
    <col min="11" max="11" width="11.125" customWidth="1"/>
    <col min="12" max="12" width="10.375" customWidth="1"/>
    <col min="13" max="13" width="6.375" customWidth="1"/>
    <col min="14" max="14" width="11.375" customWidth="1"/>
    <col min="15" max="15" width="11.125" customWidth="1"/>
    <col min="16" max="16" width="10.375" customWidth="1"/>
    <col min="20" max="20" width="12.875" customWidth="1"/>
  </cols>
  <sheetData>
    <row r="1" spans="1:20" ht="25.5">
      <c r="A1" s="3728" t="s">
        <v>3304</v>
      </c>
      <c r="B1" s="3728"/>
      <c r="C1" s="3728"/>
      <c r="D1" s="3728"/>
      <c r="E1" s="3728"/>
      <c r="F1" s="3728"/>
      <c r="G1" s="3728"/>
      <c r="H1" s="3728"/>
      <c r="I1" s="3728"/>
      <c r="J1" s="3728"/>
      <c r="K1" s="3728"/>
      <c r="L1" s="3728"/>
      <c r="M1" s="3728"/>
      <c r="N1" s="3728"/>
      <c r="O1" s="3728"/>
      <c r="P1" s="3728"/>
    </row>
    <row r="2" spans="1:20" ht="27" customHeight="1">
      <c r="A2" s="3729" t="s">
        <v>3303</v>
      </c>
      <c r="B2" s="3729"/>
      <c r="C2" s="3729"/>
      <c r="D2" s="3729"/>
      <c r="E2" s="3730" t="s">
        <v>3302</v>
      </c>
      <c r="F2" s="3731"/>
      <c r="G2" s="3731"/>
      <c r="H2" s="3732"/>
      <c r="I2" s="3730" t="s">
        <v>3301</v>
      </c>
      <c r="J2" s="3731"/>
      <c r="K2" s="3731"/>
      <c r="L2" s="3732"/>
      <c r="M2" s="3730" t="s">
        <v>3333</v>
      </c>
      <c r="N2" s="3731"/>
      <c r="O2" s="3731"/>
      <c r="P2" s="3732"/>
      <c r="S2" s="3050"/>
      <c r="T2" s="3051"/>
    </row>
    <row r="3" spans="1:20" ht="56.25">
      <c r="A3" s="3048" t="s">
        <v>3300</v>
      </c>
      <c r="B3" s="3048" t="s">
        <v>3299</v>
      </c>
      <c r="C3" s="3048" t="s">
        <v>3298</v>
      </c>
      <c r="D3" s="3049" t="s">
        <v>3297</v>
      </c>
      <c r="E3" s="3048" t="s">
        <v>3300</v>
      </c>
      <c r="F3" s="3048" t="s">
        <v>3299</v>
      </c>
      <c r="G3" s="3048" t="s">
        <v>3298</v>
      </c>
      <c r="H3" s="3049" t="s">
        <v>3297</v>
      </c>
      <c r="I3" s="3048" t="s">
        <v>3300</v>
      </c>
      <c r="J3" s="3048" t="s">
        <v>3299</v>
      </c>
      <c r="K3" s="3048" t="s">
        <v>3298</v>
      </c>
      <c r="L3" s="3049" t="s">
        <v>3297</v>
      </c>
      <c r="M3" s="3048" t="s">
        <v>3300</v>
      </c>
      <c r="N3" s="3048" t="s">
        <v>3299</v>
      </c>
      <c r="O3" s="3048" t="s">
        <v>3298</v>
      </c>
      <c r="P3" s="3049" t="s">
        <v>3297</v>
      </c>
      <c r="S3" s="3050"/>
      <c r="T3" s="3052"/>
    </row>
    <row r="4" spans="1:20" ht="18.75">
      <c r="A4" s="3054">
        <v>1</v>
      </c>
      <c r="B4" s="3054" t="s">
        <v>3296</v>
      </c>
      <c r="C4" s="3054" t="s">
        <v>3295</v>
      </c>
      <c r="D4" s="3054">
        <v>600.95000000000005</v>
      </c>
      <c r="E4" s="3048">
        <v>1</v>
      </c>
      <c r="F4" s="3048" t="s">
        <v>3294</v>
      </c>
      <c r="G4" s="3048" t="s">
        <v>3294</v>
      </c>
      <c r="H4" s="3048">
        <v>102704.8</v>
      </c>
      <c r="I4" s="3048">
        <v>1</v>
      </c>
      <c r="J4" s="3048" t="s">
        <v>3293</v>
      </c>
      <c r="K4" s="3048" t="s">
        <v>3292</v>
      </c>
      <c r="L4" s="3048">
        <v>6604.07</v>
      </c>
      <c r="M4" s="3054">
        <v>1</v>
      </c>
      <c r="N4" s="3054" t="s">
        <v>3291</v>
      </c>
      <c r="O4" s="3054" t="s">
        <v>3290</v>
      </c>
      <c r="P4" s="3054">
        <v>447.53</v>
      </c>
      <c r="S4" s="3050"/>
      <c r="T4" s="3052"/>
    </row>
    <row r="5" spans="1:20" ht="18.75">
      <c r="A5" s="3054">
        <v>2</v>
      </c>
      <c r="B5" s="3054" t="s">
        <v>3289</v>
      </c>
      <c r="C5" s="3054" t="s">
        <v>3285</v>
      </c>
      <c r="D5" s="3054">
        <v>1094.44</v>
      </c>
      <c r="E5" s="3719"/>
      <c r="F5" s="3720"/>
      <c r="G5" s="3720"/>
      <c r="H5" s="3721"/>
      <c r="I5" s="3719"/>
      <c r="J5" s="3720"/>
      <c r="K5" s="3720"/>
      <c r="L5" s="3721"/>
      <c r="M5" s="3054">
        <v>2</v>
      </c>
      <c r="N5" s="3054" t="s">
        <v>3288</v>
      </c>
      <c r="O5" s="3054" t="s">
        <v>3287</v>
      </c>
      <c r="P5" s="3054">
        <v>451.85</v>
      </c>
      <c r="S5" s="3050"/>
      <c r="T5" s="3052"/>
    </row>
    <row r="6" spans="1:20" ht="18.75">
      <c r="A6" s="3054">
        <v>3</v>
      </c>
      <c r="B6" s="3054" t="s">
        <v>3286</v>
      </c>
      <c r="C6" s="3054" t="s">
        <v>3285</v>
      </c>
      <c r="D6" s="3054">
        <v>844.8</v>
      </c>
      <c r="E6" s="3722"/>
      <c r="F6" s="3723"/>
      <c r="G6" s="3723"/>
      <c r="H6" s="3724"/>
      <c r="I6" s="3722"/>
      <c r="J6" s="3723"/>
      <c r="K6" s="3723"/>
      <c r="L6" s="3724"/>
      <c r="M6" s="3054">
        <v>3</v>
      </c>
      <c r="N6" s="3054" t="s">
        <v>3284</v>
      </c>
      <c r="O6" s="3054" t="s">
        <v>3283</v>
      </c>
      <c r="P6" s="3054">
        <v>474.51</v>
      </c>
      <c r="S6" s="3050"/>
      <c r="T6" s="3052"/>
    </row>
    <row r="7" spans="1:20" ht="18.75">
      <c r="A7" s="3048">
        <v>4</v>
      </c>
      <c r="B7" s="3048" t="s">
        <v>3282</v>
      </c>
      <c r="C7" s="3048" t="s">
        <v>3275</v>
      </c>
      <c r="D7" s="3048">
        <v>1020.6</v>
      </c>
      <c r="E7" s="3722"/>
      <c r="F7" s="3723"/>
      <c r="G7" s="3723"/>
      <c r="H7" s="3724"/>
      <c r="I7" s="3722"/>
      <c r="J7" s="3723"/>
      <c r="K7" s="3723"/>
      <c r="L7" s="3724"/>
      <c r="M7" s="3054">
        <v>4</v>
      </c>
      <c r="N7" s="3054" t="s">
        <v>3281</v>
      </c>
      <c r="O7" s="3054" t="s">
        <v>3280</v>
      </c>
      <c r="P7" s="3054">
        <v>449.53</v>
      </c>
      <c r="S7" s="3050"/>
      <c r="T7" s="3052"/>
    </row>
    <row r="8" spans="1:20" ht="18.75">
      <c r="A8" s="3048">
        <v>5</v>
      </c>
      <c r="B8" s="3048" t="s">
        <v>3279</v>
      </c>
      <c r="C8" s="3048" t="s">
        <v>3275</v>
      </c>
      <c r="D8" s="3048">
        <v>1255.6600000000001</v>
      </c>
      <c r="E8" s="3722"/>
      <c r="F8" s="3723"/>
      <c r="G8" s="3723"/>
      <c r="H8" s="3724"/>
      <c r="I8" s="3722"/>
      <c r="J8" s="3723"/>
      <c r="K8" s="3723"/>
      <c r="L8" s="3724"/>
      <c r="M8" s="3054">
        <v>5</v>
      </c>
      <c r="N8" s="3054" t="s">
        <v>3278</v>
      </c>
      <c r="O8" s="3054" t="s">
        <v>3277</v>
      </c>
      <c r="P8" s="3054">
        <v>475.17</v>
      </c>
      <c r="S8" s="3050"/>
      <c r="T8" s="3052"/>
    </row>
    <row r="9" spans="1:20" ht="18.75">
      <c r="A9" s="3048">
        <v>6</v>
      </c>
      <c r="B9" s="3048" t="s">
        <v>3276</v>
      </c>
      <c r="C9" s="3048" t="s">
        <v>3275</v>
      </c>
      <c r="D9" s="3048">
        <v>1445.6</v>
      </c>
      <c r="E9" s="3722"/>
      <c r="F9" s="3723"/>
      <c r="G9" s="3723"/>
      <c r="H9" s="3724"/>
      <c r="I9" s="3722"/>
      <c r="J9" s="3723"/>
      <c r="K9" s="3723"/>
      <c r="L9" s="3724"/>
      <c r="M9" s="3054">
        <v>6</v>
      </c>
      <c r="N9" s="3054" t="s">
        <v>3274</v>
      </c>
      <c r="O9" s="3054" t="s">
        <v>3273</v>
      </c>
      <c r="P9" s="3054">
        <v>446.5</v>
      </c>
      <c r="S9" s="3050"/>
      <c r="T9" s="3052"/>
    </row>
    <row r="10" spans="1:20" ht="18.75">
      <c r="A10" s="3048">
        <v>7</v>
      </c>
      <c r="B10" s="3048" t="s">
        <v>3272</v>
      </c>
      <c r="C10" s="3048" t="s">
        <v>3270</v>
      </c>
      <c r="D10" s="3048">
        <v>1783.67</v>
      </c>
      <c r="E10" s="3722"/>
      <c r="F10" s="3723"/>
      <c r="G10" s="3723"/>
      <c r="H10" s="3724"/>
      <c r="I10" s="3722"/>
      <c r="J10" s="3723"/>
      <c r="K10" s="3723"/>
      <c r="L10" s="3724"/>
      <c r="M10" s="3054">
        <v>7</v>
      </c>
      <c r="N10" s="3054" t="s">
        <v>3262</v>
      </c>
      <c r="O10" s="3054"/>
      <c r="P10" s="3054">
        <f>SUM(P4:P9)</f>
        <v>2745.0899999999997</v>
      </c>
      <c r="S10" s="3050"/>
      <c r="T10" s="3052"/>
    </row>
    <row r="11" spans="1:20" ht="18.75">
      <c r="A11" s="3048">
        <v>8</v>
      </c>
      <c r="B11" s="3048" t="s">
        <v>3271</v>
      </c>
      <c r="C11" s="3048" t="s">
        <v>3270</v>
      </c>
      <c r="D11" s="3048">
        <v>2503.27</v>
      </c>
      <c r="E11" s="3722"/>
      <c r="F11" s="3723"/>
      <c r="G11" s="3723"/>
      <c r="H11" s="3724"/>
      <c r="I11" s="3722"/>
      <c r="J11" s="3723"/>
      <c r="K11" s="3723"/>
      <c r="L11" s="3724"/>
      <c r="M11" s="3719"/>
      <c r="N11" s="3720"/>
      <c r="O11" s="3720"/>
      <c r="P11" s="3721"/>
      <c r="S11" s="3050"/>
      <c r="T11" s="3052"/>
    </row>
    <row r="12" spans="1:20" ht="18.75">
      <c r="A12" s="3048">
        <v>9</v>
      </c>
      <c r="B12" s="3048" t="s">
        <v>3269</v>
      </c>
      <c r="C12" s="3048" t="s">
        <v>3266</v>
      </c>
      <c r="D12" s="3048">
        <v>1676.62</v>
      </c>
      <c r="E12" s="3722"/>
      <c r="F12" s="3723"/>
      <c r="G12" s="3723"/>
      <c r="H12" s="3724"/>
      <c r="I12" s="3722"/>
      <c r="J12" s="3723"/>
      <c r="K12" s="3723"/>
      <c r="L12" s="3724"/>
      <c r="M12" s="3722"/>
      <c r="N12" s="3723"/>
      <c r="O12" s="3723"/>
      <c r="P12" s="3724"/>
      <c r="S12" s="3050"/>
      <c r="T12" s="3052"/>
    </row>
    <row r="13" spans="1:20" ht="18.75">
      <c r="A13" s="3048">
        <v>10</v>
      </c>
      <c r="B13" s="3048" t="s">
        <v>3268</v>
      </c>
      <c r="C13" s="3048" t="s">
        <v>3266</v>
      </c>
      <c r="D13" s="3048">
        <v>1205.21</v>
      </c>
      <c r="E13" s="3722"/>
      <c r="F13" s="3723"/>
      <c r="G13" s="3723"/>
      <c r="H13" s="3724"/>
      <c r="I13" s="3722"/>
      <c r="J13" s="3723"/>
      <c r="K13" s="3723"/>
      <c r="L13" s="3724"/>
      <c r="M13" s="3722"/>
      <c r="N13" s="3723"/>
      <c r="O13" s="3723"/>
      <c r="P13" s="3724"/>
      <c r="S13" s="3050"/>
      <c r="T13" s="3052"/>
    </row>
    <row r="14" spans="1:20" ht="18.75">
      <c r="A14" s="3048">
        <v>11</v>
      </c>
      <c r="B14" s="3048" t="s">
        <v>3267</v>
      </c>
      <c r="C14" s="3048" t="s">
        <v>3266</v>
      </c>
      <c r="D14" s="3048">
        <v>1644.53</v>
      </c>
      <c r="E14" s="3722"/>
      <c r="F14" s="3723"/>
      <c r="G14" s="3723"/>
      <c r="H14" s="3724"/>
      <c r="I14" s="3722"/>
      <c r="J14" s="3723"/>
      <c r="K14" s="3723"/>
      <c r="L14" s="3724"/>
      <c r="M14" s="3722"/>
      <c r="N14" s="3723"/>
      <c r="O14" s="3723"/>
      <c r="P14" s="3724"/>
      <c r="S14" s="3050"/>
      <c r="T14" s="3052"/>
    </row>
    <row r="15" spans="1:20" ht="18.75">
      <c r="A15" s="3048">
        <v>12</v>
      </c>
      <c r="B15" s="3048" t="s">
        <v>3265</v>
      </c>
      <c r="C15" s="3048"/>
      <c r="D15" s="3048">
        <v>2739.7</v>
      </c>
      <c r="E15" s="3722"/>
      <c r="F15" s="3723"/>
      <c r="G15" s="3723"/>
      <c r="H15" s="3724"/>
      <c r="I15" s="3722"/>
      <c r="J15" s="3723"/>
      <c r="K15" s="3723"/>
      <c r="L15" s="3724"/>
      <c r="M15" s="3722"/>
      <c r="N15" s="3723"/>
      <c r="O15" s="3723"/>
      <c r="P15" s="3724"/>
      <c r="S15" s="3050"/>
      <c r="T15" s="3052"/>
    </row>
    <row r="16" spans="1:20" ht="18.75">
      <c r="A16" s="3048">
        <v>13</v>
      </c>
      <c r="B16" s="3048" t="s">
        <v>3264</v>
      </c>
      <c r="C16" s="3048"/>
      <c r="D16" s="3048">
        <v>2165.5300000000002</v>
      </c>
      <c r="E16" s="3722"/>
      <c r="F16" s="3723"/>
      <c r="G16" s="3723"/>
      <c r="H16" s="3724"/>
      <c r="I16" s="3722"/>
      <c r="J16" s="3723"/>
      <c r="K16" s="3723"/>
      <c r="L16" s="3724"/>
      <c r="M16" s="3722"/>
      <c r="N16" s="3723"/>
      <c r="O16" s="3723"/>
      <c r="P16" s="3724"/>
      <c r="S16" s="3050"/>
      <c r="T16" s="3052"/>
    </row>
    <row r="17" spans="1:20" ht="18.75">
      <c r="A17" s="3048">
        <v>14</v>
      </c>
      <c r="B17" s="3048" t="s">
        <v>3263</v>
      </c>
      <c r="C17" s="3048"/>
      <c r="D17" s="3048">
        <v>3602</v>
      </c>
      <c r="E17" s="3722"/>
      <c r="F17" s="3723"/>
      <c r="G17" s="3723"/>
      <c r="H17" s="3724"/>
      <c r="I17" s="3722"/>
      <c r="J17" s="3723"/>
      <c r="K17" s="3723"/>
      <c r="L17" s="3724"/>
      <c r="M17" s="3722"/>
      <c r="N17" s="3723"/>
      <c r="O17" s="3723"/>
      <c r="P17" s="3724"/>
      <c r="S17" s="3050"/>
      <c r="T17" s="3052"/>
    </row>
    <row r="18" spans="1:20" ht="18.75">
      <c r="A18" s="3048">
        <v>15</v>
      </c>
      <c r="B18" s="3048" t="s">
        <v>3262</v>
      </c>
      <c r="C18" s="3048"/>
      <c r="D18" s="3048">
        <f>SUM(D4:D17)</f>
        <v>23582.579999999998</v>
      </c>
      <c r="E18" s="3725"/>
      <c r="F18" s="3726"/>
      <c r="G18" s="3726"/>
      <c r="H18" s="3727"/>
      <c r="I18" s="3725"/>
      <c r="J18" s="3726"/>
      <c r="K18" s="3726"/>
      <c r="L18" s="3727"/>
      <c r="M18" s="3725"/>
      <c r="N18" s="3726"/>
      <c r="O18" s="3726"/>
      <c r="P18" s="3727"/>
      <c r="S18" s="3050"/>
      <c r="T18" s="3052"/>
    </row>
    <row r="19" spans="1:20" ht="18.75">
      <c r="A19" s="3048">
        <v>16</v>
      </c>
      <c r="B19" s="3716" t="s">
        <v>3261</v>
      </c>
      <c r="C19" s="3717"/>
      <c r="D19" s="3716">
        <f>D18+H4+L4+P10</f>
        <v>135636.54</v>
      </c>
      <c r="E19" s="3718"/>
      <c r="F19" s="3718"/>
      <c r="G19" s="3718"/>
      <c r="H19" s="3718"/>
      <c r="I19" s="3718"/>
      <c r="J19" s="3718"/>
      <c r="K19" s="3718"/>
      <c r="L19" s="3718"/>
      <c r="M19" s="3718"/>
      <c r="N19" s="3718"/>
      <c r="O19" s="3718"/>
      <c r="P19" s="3717"/>
      <c r="S19" s="3050"/>
      <c r="T19" s="3051"/>
    </row>
    <row r="20" spans="1:20">
      <c r="S20" s="3050"/>
      <c r="T20" s="3052"/>
    </row>
    <row r="21" spans="1:20">
      <c r="S21" s="3050"/>
      <c r="T21" s="3052"/>
    </row>
    <row r="22" spans="1:20">
      <c r="S22" s="3052"/>
      <c r="T22" s="3052"/>
    </row>
    <row r="25" spans="1:20">
      <c r="F25">
        <f>D18+P10</f>
        <v>26327.67</v>
      </c>
    </row>
  </sheetData>
  <mergeCells count="10">
    <mergeCell ref="A1:P1"/>
    <mergeCell ref="A2:D2"/>
    <mergeCell ref="E2:H2"/>
    <mergeCell ref="I2:L2"/>
    <mergeCell ref="M2:P2"/>
    <mergeCell ref="B19:C19"/>
    <mergeCell ref="D19:P19"/>
    <mergeCell ref="E5:H18"/>
    <mergeCell ref="I5:L18"/>
    <mergeCell ref="M11:P18"/>
  </mergeCells>
  <phoneticPr fontId="143" type="noConversion"/>
  <pageMargins left="0.75" right="0.75" top="1" bottom="1" header="0.51180555555555596" footer="0.51180555555555596"/>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T214"/>
  <sheetViews>
    <sheetView zoomScale="80" zoomScaleNormal="80" workbookViewId="0">
      <selection activeCell="T16" sqref="T16:T17"/>
    </sheetView>
  </sheetViews>
  <sheetFormatPr defaultColWidth="10.875" defaultRowHeight="13.5"/>
  <cols>
    <col min="1" max="1" width="4.875" style="3018" customWidth="1"/>
    <col min="2" max="2" width="5.375" style="3018" customWidth="1"/>
    <col min="3" max="3" width="8.375" style="3018" customWidth="1"/>
    <col min="4" max="4" width="9.5" style="3018" customWidth="1"/>
    <col min="5" max="5" width="6.875" style="3018" customWidth="1"/>
    <col min="6" max="6" width="5.5" style="3018" customWidth="1"/>
    <col min="7" max="7" width="9.875" style="3018" customWidth="1"/>
    <col min="8" max="8" width="10.5" style="3018" customWidth="1"/>
    <col min="9" max="9" width="6.875" style="3018" customWidth="1"/>
    <col min="10" max="10" width="11.125" style="3018" customWidth="1"/>
    <col min="11" max="11" width="7" style="3018" customWidth="1"/>
    <col min="12" max="12" width="10.875" style="3018" customWidth="1"/>
    <col min="13" max="13" width="7.375" style="3018" customWidth="1"/>
    <col min="14" max="14" width="11.625" style="3018" customWidth="1"/>
    <col min="15" max="15" width="5" style="3018" customWidth="1"/>
    <col min="16" max="16" width="10" style="3018" customWidth="1"/>
    <col min="17" max="17" width="6.375" style="3018" customWidth="1"/>
    <col min="18" max="18" width="17.125" style="3018" customWidth="1"/>
    <col min="19" max="19" width="12.375" style="3018" customWidth="1"/>
    <col min="20" max="20" width="16.125" style="3018" customWidth="1"/>
    <col min="21" max="21" width="10.875" style="3018"/>
    <col min="22" max="22" width="6.625" style="3018" customWidth="1"/>
    <col min="23" max="16384" width="10.875" style="3018"/>
  </cols>
  <sheetData>
    <row r="1" spans="1:20" ht="21" customHeight="1">
      <c r="B1" s="3018" t="s">
        <v>3352</v>
      </c>
      <c r="C1" s="3070" t="s">
        <v>3351</v>
      </c>
    </row>
    <row r="2" spans="1:20" ht="38.1" customHeight="1">
      <c r="B2" s="3384" t="s">
        <v>3305</v>
      </c>
      <c r="C2" s="3384"/>
      <c r="D2" s="3384"/>
      <c r="E2" s="3384"/>
      <c r="F2" s="3384"/>
      <c r="G2" s="3384"/>
      <c r="H2" s="3384"/>
      <c r="J2" s="3733" t="s">
        <v>3335</v>
      </c>
      <c r="K2" s="3734"/>
      <c r="L2" s="3382"/>
      <c r="N2" s="3384" t="s">
        <v>3379</v>
      </c>
      <c r="O2" s="3384"/>
      <c r="P2" s="3384"/>
      <c r="R2" s="3084" t="s">
        <v>3338</v>
      </c>
      <c r="S2" s="3084" t="s">
        <v>3059</v>
      </c>
      <c r="T2" s="3084" t="s">
        <v>3083</v>
      </c>
    </row>
    <row r="3" spans="1:20" ht="27" customHeight="1">
      <c r="A3" s="3053"/>
      <c r="B3" s="3053" t="s">
        <v>3311</v>
      </c>
      <c r="C3" s="3053" t="s">
        <v>3308</v>
      </c>
      <c r="D3" s="3053" t="s">
        <v>3307</v>
      </c>
      <c r="E3" s="3053" t="s">
        <v>3058</v>
      </c>
      <c r="F3" s="3053" t="s">
        <v>3059</v>
      </c>
      <c r="G3" s="3053" t="s">
        <v>3060</v>
      </c>
      <c r="H3" s="3053" t="s">
        <v>3260</v>
      </c>
      <c r="J3" s="3055" t="s">
        <v>3080</v>
      </c>
      <c r="K3" s="3053" t="s">
        <v>3058</v>
      </c>
      <c r="L3" s="3053" t="s">
        <v>3083</v>
      </c>
      <c r="N3" s="3055" t="s">
        <v>3080</v>
      </c>
      <c r="O3" s="3053" t="s">
        <v>3058</v>
      </c>
      <c r="P3" s="3053" t="s">
        <v>3083</v>
      </c>
      <c r="R3" s="3735" t="s">
        <v>3335</v>
      </c>
      <c r="S3" s="3085" t="s">
        <v>3339</v>
      </c>
      <c r="T3" s="3085">
        <f>L43</f>
        <v>2458.0699999999997</v>
      </c>
    </row>
    <row r="4" spans="1:20">
      <c r="A4" s="3399" t="s">
        <v>3313</v>
      </c>
      <c r="B4" s="3053">
        <v>1</v>
      </c>
      <c r="C4" s="3399" t="s">
        <v>3275</v>
      </c>
      <c r="D4" s="3384" t="s">
        <v>3069</v>
      </c>
      <c r="E4" s="3053">
        <v>101</v>
      </c>
      <c r="F4" s="3053">
        <v>1</v>
      </c>
      <c r="G4" s="3053">
        <v>109.36</v>
      </c>
      <c r="H4" s="3384">
        <f>SUM(G4:G8)</f>
        <v>1020.6</v>
      </c>
      <c r="J4" s="3053" t="s">
        <v>3069</v>
      </c>
      <c r="K4" s="3053">
        <v>101</v>
      </c>
      <c r="L4" s="3053">
        <f>'面积汇总表2020-6-30'!G4</f>
        <v>109.36</v>
      </c>
      <c r="N4" s="3053" t="s">
        <v>3291</v>
      </c>
      <c r="O4" s="3053"/>
      <c r="P4" s="3053">
        <f>G101</f>
        <v>223.76499999999999</v>
      </c>
      <c r="R4" s="3735"/>
      <c r="S4" s="3085" t="s">
        <v>3340</v>
      </c>
      <c r="T4" s="3085">
        <f>L58</f>
        <v>6243.82</v>
      </c>
    </row>
    <row r="5" spans="1:20">
      <c r="A5" s="3400"/>
      <c r="B5" s="3053">
        <v>2</v>
      </c>
      <c r="C5" s="3400"/>
      <c r="D5" s="3384"/>
      <c r="E5" s="3053">
        <v>103</v>
      </c>
      <c r="F5" s="3053">
        <v>1</v>
      </c>
      <c r="G5" s="3053">
        <v>48.49</v>
      </c>
      <c r="H5" s="3384"/>
      <c r="J5" s="3053"/>
      <c r="K5" s="3053">
        <v>103</v>
      </c>
      <c r="L5" s="3053">
        <f>'面积汇总表2020-6-30'!G5</f>
        <v>48.49</v>
      </c>
      <c r="N5" s="3053" t="s">
        <v>3288</v>
      </c>
      <c r="O5" s="3053"/>
      <c r="P5" s="3053">
        <f>G103</f>
        <v>225.92500000000001</v>
      </c>
      <c r="R5" s="3735"/>
      <c r="S5" s="3085" t="s">
        <v>3341</v>
      </c>
      <c r="T5" s="3085">
        <f>L73</f>
        <v>6353.3099999999995</v>
      </c>
    </row>
    <row r="6" spans="1:20">
      <c r="A6" s="3400"/>
      <c r="B6" s="3053">
        <v>3</v>
      </c>
      <c r="C6" s="3400"/>
      <c r="D6" s="3384"/>
      <c r="E6" s="3053">
        <v>201</v>
      </c>
      <c r="F6" s="3053">
        <v>2</v>
      </c>
      <c r="G6" s="3053">
        <v>284.56</v>
      </c>
      <c r="H6" s="3384"/>
      <c r="J6" s="3053" t="s">
        <v>3070</v>
      </c>
      <c r="K6" s="3053">
        <v>101</v>
      </c>
      <c r="L6" s="3053">
        <f>'面积汇总表2020-6-30'!G9</f>
        <v>103.15</v>
      </c>
      <c r="N6" s="3053" t="s">
        <v>3284</v>
      </c>
      <c r="O6" s="3053"/>
      <c r="P6" s="3053">
        <f>G105</f>
        <v>237.255</v>
      </c>
      <c r="R6" s="3735"/>
      <c r="S6" s="3085" t="s">
        <v>3342</v>
      </c>
      <c r="T6" s="3085">
        <f>L89</f>
        <v>5927.9099999999989</v>
      </c>
    </row>
    <row r="7" spans="1:20">
      <c r="A7" s="3400"/>
      <c r="B7" s="3053">
        <v>4</v>
      </c>
      <c r="C7" s="3400"/>
      <c r="D7" s="3384"/>
      <c r="E7" s="3053">
        <v>301</v>
      </c>
      <c r="F7" s="3053">
        <v>3</v>
      </c>
      <c r="G7" s="3053">
        <v>289.57</v>
      </c>
      <c r="H7" s="3384"/>
      <c r="J7" s="3053"/>
      <c r="K7" s="3053">
        <v>103</v>
      </c>
      <c r="L7" s="3053">
        <f>'面积汇总表2020-6-30'!G10</f>
        <v>38.21</v>
      </c>
      <c r="N7" s="3053" t="s">
        <v>3281</v>
      </c>
      <c r="O7" s="3053"/>
      <c r="P7" s="3053">
        <f>G107</f>
        <v>224.76499999999999</v>
      </c>
      <c r="R7" s="3735"/>
      <c r="S7" s="3085" t="s">
        <v>3343</v>
      </c>
      <c r="T7" s="3085">
        <f>L94</f>
        <v>1998.52</v>
      </c>
    </row>
    <row r="8" spans="1:20">
      <c r="A8" s="3400"/>
      <c r="B8" s="3053">
        <v>5</v>
      </c>
      <c r="C8" s="3400"/>
      <c r="D8" s="3384"/>
      <c r="E8" s="3053">
        <v>401</v>
      </c>
      <c r="F8" s="3053">
        <v>4</v>
      </c>
      <c r="G8" s="3053">
        <v>288.62</v>
      </c>
      <c r="H8" s="3384"/>
      <c r="J8" s="3053"/>
      <c r="K8" s="3053">
        <v>104</v>
      </c>
      <c r="L8" s="3053">
        <f>'面积汇总表2020-6-30'!G11</f>
        <v>45.04</v>
      </c>
      <c r="N8" s="3053" t="s">
        <v>3278</v>
      </c>
      <c r="O8" s="3053"/>
      <c r="P8" s="3053">
        <f>G109</f>
        <v>237.58500000000001</v>
      </c>
      <c r="Q8" s="3057"/>
      <c r="R8" s="3084" t="s">
        <v>3346</v>
      </c>
      <c r="S8" s="3053"/>
      <c r="T8" s="3055">
        <f>SUM(T3:T7)</f>
        <v>22981.629999999997</v>
      </c>
    </row>
    <row r="9" spans="1:20">
      <c r="A9" s="3400"/>
      <c r="B9" s="3053">
        <v>6</v>
      </c>
      <c r="C9" s="3400"/>
      <c r="D9" s="3399" t="s">
        <v>3070</v>
      </c>
      <c r="E9" s="3053">
        <v>101</v>
      </c>
      <c r="F9" s="3053">
        <v>1</v>
      </c>
      <c r="G9" s="3053">
        <v>103.15</v>
      </c>
      <c r="H9" s="3384">
        <f>SUM(G9:G14)</f>
        <v>1255.6599999999999</v>
      </c>
      <c r="J9" s="3053" t="s">
        <v>3071</v>
      </c>
      <c r="K9" s="3053">
        <v>101</v>
      </c>
      <c r="L9" s="3053">
        <f>'面积汇总表2020-6-30'!G15</f>
        <v>77</v>
      </c>
      <c r="N9" s="3053" t="s">
        <v>3274</v>
      </c>
      <c r="O9" s="3053"/>
      <c r="P9" s="3053">
        <f>G111</f>
        <v>223.25</v>
      </c>
      <c r="R9" s="3735" t="s">
        <v>3347</v>
      </c>
      <c r="S9" s="3085" t="s">
        <v>3339</v>
      </c>
      <c r="T9" s="3085">
        <f>P11</f>
        <v>1673.02</v>
      </c>
    </row>
    <row r="10" spans="1:20" ht="17.100000000000001" customHeight="1">
      <c r="A10" s="3400"/>
      <c r="B10" s="3053">
        <v>7</v>
      </c>
      <c r="C10" s="3400"/>
      <c r="D10" s="3400"/>
      <c r="E10" s="3053">
        <v>103</v>
      </c>
      <c r="F10" s="3053">
        <v>1</v>
      </c>
      <c r="G10" s="3053">
        <v>38.21</v>
      </c>
      <c r="H10" s="3384"/>
      <c r="J10" s="3053"/>
      <c r="K10" s="3053">
        <v>102</v>
      </c>
      <c r="L10" s="3053">
        <f>'面积汇总表2020-6-30'!G16</f>
        <v>65.319999999999993</v>
      </c>
      <c r="N10" s="3053" t="s">
        <v>3296</v>
      </c>
      <c r="O10" s="3053"/>
      <c r="P10" s="3053">
        <f>G113</f>
        <v>300.47500000000002</v>
      </c>
      <c r="R10" s="3735"/>
      <c r="S10" s="3085" t="s">
        <v>3344</v>
      </c>
      <c r="T10" s="3085">
        <f>P20</f>
        <v>1673.02</v>
      </c>
    </row>
    <row r="11" spans="1:20">
      <c r="A11" s="3400"/>
      <c r="B11" s="3053">
        <v>8</v>
      </c>
      <c r="C11" s="3400"/>
      <c r="D11" s="3400"/>
      <c r="E11" s="3053">
        <v>104</v>
      </c>
      <c r="F11" s="3053">
        <v>1</v>
      </c>
      <c r="G11" s="3053">
        <v>45.04</v>
      </c>
      <c r="H11" s="3384"/>
      <c r="J11" s="3053" t="s">
        <v>3061</v>
      </c>
      <c r="K11" s="3053">
        <v>101</v>
      </c>
      <c r="L11" s="3053">
        <f>'面积汇总表2020-6-30'!G20</f>
        <v>22.08</v>
      </c>
      <c r="N11" s="3053" t="s">
        <v>3090</v>
      </c>
      <c r="O11" s="3053"/>
      <c r="P11" s="3055">
        <f>SUM(P4:P10)</f>
        <v>1673.02</v>
      </c>
      <c r="R11" s="3084" t="s">
        <v>3346</v>
      </c>
      <c r="S11" s="3053"/>
      <c r="T11" s="3055">
        <f>T9+T10</f>
        <v>3346.04</v>
      </c>
    </row>
    <row r="12" spans="1:20" ht="12.95" customHeight="1">
      <c r="A12" s="3400"/>
      <c r="B12" s="3053">
        <v>9</v>
      </c>
      <c r="C12" s="3400"/>
      <c r="D12" s="3400"/>
      <c r="E12" s="3053">
        <v>201</v>
      </c>
      <c r="F12" s="3053">
        <v>2</v>
      </c>
      <c r="G12" s="3053">
        <v>380.65</v>
      </c>
      <c r="H12" s="3384"/>
      <c r="J12" s="3053"/>
      <c r="K12" s="3053">
        <v>102</v>
      </c>
      <c r="L12" s="3053">
        <f>'面积汇总表2020-6-30'!G21</f>
        <v>128.94999999999999</v>
      </c>
      <c r="N12" s="3055" t="s">
        <v>3337</v>
      </c>
      <c r="O12" s="3053" t="s">
        <v>3058</v>
      </c>
      <c r="P12" s="3053" t="s">
        <v>3083</v>
      </c>
      <c r="R12" s="3735" t="s">
        <v>3348</v>
      </c>
      <c r="S12" s="3085" t="s">
        <v>3339</v>
      </c>
      <c r="T12" s="3085">
        <f>G88</f>
        <v>1175.9000000000001</v>
      </c>
    </row>
    <row r="13" spans="1:20">
      <c r="A13" s="3400"/>
      <c r="B13" s="3053">
        <v>10</v>
      </c>
      <c r="C13" s="3400"/>
      <c r="D13" s="3400"/>
      <c r="E13" s="3053">
        <v>301</v>
      </c>
      <c r="F13" s="3053">
        <v>3</v>
      </c>
      <c r="G13" s="3053">
        <v>364.65</v>
      </c>
      <c r="H13" s="3384"/>
      <c r="J13" s="3053"/>
      <c r="K13" s="3053">
        <v>104</v>
      </c>
      <c r="L13" s="3053">
        <f>'面积汇总表2020-6-30'!G22</f>
        <v>135.4</v>
      </c>
      <c r="N13" s="3053" t="s">
        <v>3291</v>
      </c>
      <c r="O13" s="3053"/>
      <c r="P13" s="3053">
        <f>G102</f>
        <v>223.76499999999999</v>
      </c>
      <c r="R13" s="3735"/>
      <c r="S13" s="3085" t="s">
        <v>3340</v>
      </c>
      <c r="T13" s="3085">
        <f>G89</f>
        <v>2065.16</v>
      </c>
    </row>
    <row r="14" spans="1:20">
      <c r="A14" s="3400"/>
      <c r="B14" s="3053">
        <v>11</v>
      </c>
      <c r="C14" s="3400"/>
      <c r="D14" s="3401"/>
      <c r="E14" s="3053">
        <v>401</v>
      </c>
      <c r="F14" s="3053">
        <v>4</v>
      </c>
      <c r="G14" s="3053">
        <v>323.95999999999998</v>
      </c>
      <c r="H14" s="3384"/>
      <c r="J14" s="3053"/>
      <c r="K14" s="3053">
        <v>105</v>
      </c>
      <c r="L14" s="3053">
        <f>'面积汇总表2020-6-30'!G23</f>
        <v>61.94</v>
      </c>
      <c r="N14" s="3053" t="s">
        <v>3288</v>
      </c>
      <c r="O14" s="3053"/>
      <c r="P14" s="3053">
        <f>G104</f>
        <v>225.92500000000001</v>
      </c>
      <c r="R14" s="3735"/>
      <c r="S14" s="3085" t="s">
        <v>3341</v>
      </c>
      <c r="T14" s="3085">
        <f>G90</f>
        <v>3363.01</v>
      </c>
    </row>
    <row r="15" spans="1:20">
      <c r="A15" s="3400"/>
      <c r="B15" s="3053">
        <v>12</v>
      </c>
      <c r="C15" s="3400"/>
      <c r="D15" s="3399" t="s">
        <v>3071</v>
      </c>
      <c r="E15" s="3053">
        <v>101</v>
      </c>
      <c r="F15" s="3053">
        <v>1</v>
      </c>
      <c r="G15" s="3053">
        <v>77</v>
      </c>
      <c r="H15" s="3384">
        <f>SUM(G15:G19)</f>
        <v>1445.6</v>
      </c>
      <c r="J15" s="3053" t="s">
        <v>3062</v>
      </c>
      <c r="K15" s="3053">
        <v>102</v>
      </c>
      <c r="L15" s="3053">
        <f>'面积汇总表2020-6-30'!G27</f>
        <v>62.98</v>
      </c>
      <c r="N15" s="3053" t="s">
        <v>3284</v>
      </c>
      <c r="O15" s="3053"/>
      <c r="P15" s="3053">
        <f>G106</f>
        <v>237.255</v>
      </c>
      <c r="R15" s="3084" t="s">
        <v>3346</v>
      </c>
      <c r="S15" s="3053"/>
      <c r="T15" s="3055">
        <f>SUM(T12:T14)</f>
        <v>6604.07</v>
      </c>
    </row>
    <row r="16" spans="1:20">
      <c r="A16" s="3400"/>
      <c r="B16" s="3053">
        <v>13</v>
      </c>
      <c r="C16" s="3400"/>
      <c r="D16" s="3400"/>
      <c r="E16" s="3053">
        <v>102</v>
      </c>
      <c r="F16" s="3053">
        <v>1</v>
      </c>
      <c r="G16" s="3053">
        <v>65.319999999999993</v>
      </c>
      <c r="H16" s="3384"/>
      <c r="J16" s="3053"/>
      <c r="K16" s="3053">
        <v>104</v>
      </c>
      <c r="L16" s="3053">
        <f>'面积汇总表2020-6-30'!G28</f>
        <v>44.73</v>
      </c>
      <c r="N16" s="3053" t="s">
        <v>3281</v>
      </c>
      <c r="O16" s="3053"/>
      <c r="P16" s="3053">
        <f>G108</f>
        <v>224.76499999999999</v>
      </c>
      <c r="R16" s="3735" t="s">
        <v>3363</v>
      </c>
      <c r="S16" s="3085" t="s">
        <v>3344</v>
      </c>
      <c r="T16" s="3085">
        <f>H92</f>
        <v>49847.820000000007</v>
      </c>
    </row>
    <row r="17" spans="1:20">
      <c r="A17" s="3400"/>
      <c r="B17" s="3053">
        <v>14</v>
      </c>
      <c r="C17" s="3400"/>
      <c r="D17" s="3400"/>
      <c r="E17" s="3053">
        <v>201</v>
      </c>
      <c r="F17" s="3053">
        <v>2</v>
      </c>
      <c r="G17" s="3053">
        <v>456.71</v>
      </c>
      <c r="H17" s="3384"/>
      <c r="J17" s="3053"/>
      <c r="K17" s="3053">
        <v>105</v>
      </c>
      <c r="L17" s="3053">
        <f>'面积汇总表2020-6-30'!G29</f>
        <v>63.12</v>
      </c>
      <c r="N17" s="3053" t="s">
        <v>3278</v>
      </c>
      <c r="O17" s="3053"/>
      <c r="P17" s="3053">
        <f>G110</f>
        <v>237.58500000000001</v>
      </c>
      <c r="R17" s="3735"/>
      <c r="S17" s="3085" t="s">
        <v>3345</v>
      </c>
      <c r="T17" s="3085">
        <f>H96</f>
        <v>52856.979999999996</v>
      </c>
    </row>
    <row r="18" spans="1:20">
      <c r="A18" s="3400"/>
      <c r="B18" s="3053">
        <v>15</v>
      </c>
      <c r="C18" s="3400"/>
      <c r="D18" s="3400"/>
      <c r="E18" s="3053">
        <v>301</v>
      </c>
      <c r="F18" s="3053">
        <v>3</v>
      </c>
      <c r="G18" s="3053">
        <v>445.43</v>
      </c>
      <c r="H18" s="3384"/>
      <c r="J18" s="3053"/>
      <c r="K18" s="3053">
        <v>106</v>
      </c>
      <c r="L18" s="3053">
        <f>'面积汇总表2020-6-30'!G30</f>
        <v>64.400000000000006</v>
      </c>
      <c r="N18" s="3053" t="s">
        <v>3274</v>
      </c>
      <c r="O18" s="3053"/>
      <c r="P18" s="3053">
        <f>G112</f>
        <v>223.25</v>
      </c>
      <c r="R18" s="3084" t="s">
        <v>3346</v>
      </c>
      <c r="S18" s="3053"/>
      <c r="T18" s="3055">
        <f>T16+T17</f>
        <v>102704.8</v>
      </c>
    </row>
    <row r="19" spans="1:20">
      <c r="A19" s="3400"/>
      <c r="B19" s="3053">
        <v>16</v>
      </c>
      <c r="C19" s="3401"/>
      <c r="D19" s="3401"/>
      <c r="E19" s="3053">
        <v>401</v>
      </c>
      <c r="F19" s="3053">
        <v>4</v>
      </c>
      <c r="G19" s="3053">
        <v>401.14</v>
      </c>
      <c r="H19" s="3384"/>
      <c r="J19" s="3053"/>
      <c r="K19" s="3053">
        <v>107</v>
      </c>
      <c r="L19" s="3053">
        <f>'面积汇总表2020-6-30'!G31</f>
        <v>15.85</v>
      </c>
      <c r="N19" s="3053" t="s">
        <v>3296</v>
      </c>
      <c r="O19" s="3053"/>
      <c r="P19" s="3053">
        <f>G114</f>
        <v>300.47500000000002</v>
      </c>
      <c r="R19" s="3084" t="s">
        <v>3081</v>
      </c>
      <c r="S19" s="3053"/>
      <c r="T19" s="3055">
        <f>T8+T11+T15+T18</f>
        <v>135636.54</v>
      </c>
    </row>
    <row r="20" spans="1:20">
      <c r="A20" s="3400"/>
      <c r="B20" s="3053">
        <v>17</v>
      </c>
      <c r="C20" s="3399" t="s">
        <v>3270</v>
      </c>
      <c r="D20" s="3399" t="s">
        <v>3061</v>
      </c>
      <c r="E20" s="3053">
        <v>101</v>
      </c>
      <c r="F20" s="3053">
        <v>1</v>
      </c>
      <c r="G20" s="3053">
        <v>22.08</v>
      </c>
      <c r="H20" s="3384">
        <f>SUM(G20:G26)</f>
        <v>1783.67</v>
      </c>
      <c r="J20" s="3053"/>
      <c r="K20" s="3053">
        <v>108</v>
      </c>
      <c r="L20" s="3053">
        <f>'面积汇总表2020-6-30'!G32</f>
        <v>57.2</v>
      </c>
      <c r="N20" s="3053" t="s">
        <v>3090</v>
      </c>
      <c r="O20" s="3053"/>
      <c r="P20" s="3055">
        <f>SUM(P13:P19)</f>
        <v>1673.02</v>
      </c>
    </row>
    <row r="21" spans="1:20">
      <c r="A21" s="3400"/>
      <c r="B21" s="3053">
        <v>18</v>
      </c>
      <c r="C21" s="3400"/>
      <c r="D21" s="3400"/>
      <c r="E21" s="3053">
        <v>102</v>
      </c>
      <c r="F21" s="3053">
        <v>1</v>
      </c>
      <c r="G21" s="3053">
        <v>128.94999999999999</v>
      </c>
      <c r="H21" s="3384"/>
      <c r="J21" s="3053" t="s">
        <v>3063</v>
      </c>
      <c r="K21" s="3053">
        <v>101</v>
      </c>
      <c r="L21" s="3053">
        <f>'面积汇总表2020-6-30'!G36</f>
        <v>8.8800000000000008</v>
      </c>
      <c r="N21" s="3053" t="s">
        <v>3081</v>
      </c>
      <c r="O21" s="3053"/>
      <c r="P21" s="3055">
        <f>P11+P20</f>
        <v>3346.04</v>
      </c>
    </row>
    <row r="22" spans="1:20">
      <c r="A22" s="3400"/>
      <c r="B22" s="3053">
        <v>19</v>
      </c>
      <c r="C22" s="3400"/>
      <c r="D22" s="3400"/>
      <c r="E22" s="3053">
        <v>104</v>
      </c>
      <c r="F22" s="3053">
        <v>1</v>
      </c>
      <c r="G22" s="3053">
        <v>135.4</v>
      </c>
      <c r="H22" s="3384"/>
      <c r="J22" s="3053"/>
      <c r="K22" s="3053">
        <v>102</v>
      </c>
      <c r="L22" s="3053">
        <f>'面积汇总表2020-6-30'!G37</f>
        <v>46.33</v>
      </c>
      <c r="S22" s="3059"/>
      <c r="T22" s="3058"/>
    </row>
    <row r="23" spans="1:20">
      <c r="A23" s="3400"/>
      <c r="B23" s="3053">
        <v>20</v>
      </c>
      <c r="C23" s="3400"/>
      <c r="D23" s="3400"/>
      <c r="E23" s="3053">
        <v>105</v>
      </c>
      <c r="F23" s="3053">
        <v>1</v>
      </c>
      <c r="G23" s="3053">
        <v>61.94</v>
      </c>
      <c r="H23" s="3384"/>
      <c r="J23" s="3053"/>
      <c r="K23" s="3053">
        <v>104</v>
      </c>
      <c r="L23" s="3053">
        <f>'面积汇总表2020-6-30'!G38</f>
        <v>46.64</v>
      </c>
      <c r="S23" s="3059"/>
      <c r="T23" s="3058"/>
    </row>
    <row r="24" spans="1:20">
      <c r="A24" s="3400"/>
      <c r="B24" s="3053">
        <v>21</v>
      </c>
      <c r="C24" s="3400"/>
      <c r="D24" s="3400"/>
      <c r="E24" s="3053">
        <v>201</v>
      </c>
      <c r="F24" s="3053">
        <v>2</v>
      </c>
      <c r="G24" s="3053">
        <v>478.18</v>
      </c>
      <c r="H24" s="3384"/>
      <c r="J24" s="3053"/>
      <c r="K24" s="3053">
        <v>105</v>
      </c>
      <c r="L24" s="3053">
        <f>'面积汇总表2020-6-30'!G39</f>
        <v>61.66</v>
      </c>
      <c r="Q24" s="3736"/>
      <c r="S24" s="3059"/>
      <c r="T24" s="3058"/>
    </row>
    <row r="25" spans="1:20">
      <c r="A25" s="3400"/>
      <c r="B25" s="3053">
        <v>22</v>
      </c>
      <c r="C25" s="3400"/>
      <c r="D25" s="3400"/>
      <c r="E25" s="3053">
        <v>301</v>
      </c>
      <c r="F25" s="3053">
        <v>3</v>
      </c>
      <c r="G25" s="3053">
        <v>478.6</v>
      </c>
      <c r="H25" s="3384"/>
      <c r="J25" s="3053" t="s">
        <v>3064</v>
      </c>
      <c r="K25" s="3053">
        <v>107</v>
      </c>
      <c r="L25" s="3053">
        <f>'面积汇总表2020-6-30'!G43</f>
        <v>63.63</v>
      </c>
      <c r="Q25" s="3736"/>
      <c r="S25" s="3059"/>
      <c r="T25" s="3058"/>
    </row>
    <row r="26" spans="1:20">
      <c r="A26" s="3400"/>
      <c r="B26" s="3053">
        <v>23</v>
      </c>
      <c r="C26" s="3400"/>
      <c r="D26" s="3401"/>
      <c r="E26" s="3053">
        <v>401</v>
      </c>
      <c r="F26" s="3053">
        <v>4</v>
      </c>
      <c r="G26" s="3053">
        <v>478.52</v>
      </c>
      <c r="H26" s="3384"/>
      <c r="J26" s="3053"/>
      <c r="K26" s="3053">
        <v>108</v>
      </c>
      <c r="L26" s="3053">
        <f>'面积汇总表2020-6-30'!G44</f>
        <v>8.3000000000000007</v>
      </c>
      <c r="Q26" s="3737"/>
      <c r="S26" s="3059"/>
      <c r="T26" s="3058"/>
    </row>
    <row r="27" spans="1:20">
      <c r="A27" s="3400"/>
      <c r="B27" s="3053">
        <v>24</v>
      </c>
      <c r="C27" s="3400"/>
      <c r="D27" s="3399" t="s">
        <v>3062</v>
      </c>
      <c r="E27" s="3053">
        <v>102</v>
      </c>
      <c r="F27" s="3053">
        <v>1</v>
      </c>
      <c r="G27" s="3053">
        <v>62.98</v>
      </c>
      <c r="H27" s="3384">
        <f>SUM(G27:G35)</f>
        <v>2503.27</v>
      </c>
      <c r="J27" s="3053"/>
      <c r="K27" s="3053">
        <v>109</v>
      </c>
      <c r="L27" s="3053">
        <f>'面积汇总表2020-6-30'!G45</f>
        <v>22.91</v>
      </c>
      <c r="Q27" s="3737"/>
      <c r="S27" s="3059"/>
      <c r="T27" s="3058"/>
    </row>
    <row r="28" spans="1:20">
      <c r="A28" s="3400"/>
      <c r="B28" s="3053">
        <v>25</v>
      </c>
      <c r="C28" s="3400"/>
      <c r="D28" s="3400"/>
      <c r="E28" s="3053">
        <v>104</v>
      </c>
      <c r="F28" s="3053">
        <v>1</v>
      </c>
      <c r="G28" s="3053">
        <v>44.73</v>
      </c>
      <c r="H28" s="3384"/>
      <c r="J28" s="3053"/>
      <c r="K28" s="3053">
        <v>110</v>
      </c>
      <c r="L28" s="3053">
        <f>'面积汇总表2020-6-30'!G46</f>
        <v>16.07</v>
      </c>
      <c r="Q28" s="3737"/>
      <c r="S28" s="3059"/>
      <c r="T28" s="3058"/>
    </row>
    <row r="29" spans="1:20">
      <c r="A29" s="3400"/>
      <c r="B29" s="3053">
        <v>26</v>
      </c>
      <c r="C29" s="3400"/>
      <c r="D29" s="3400"/>
      <c r="E29" s="3053">
        <v>105</v>
      </c>
      <c r="F29" s="3053">
        <v>1</v>
      </c>
      <c r="G29" s="3053">
        <v>63.12</v>
      </c>
      <c r="H29" s="3384"/>
      <c r="J29" s="3053" t="s">
        <v>3065</v>
      </c>
      <c r="K29" s="3053">
        <v>112</v>
      </c>
      <c r="L29" s="3053">
        <f>'面积汇总表2020-6-30'!G50</f>
        <v>49.13</v>
      </c>
      <c r="Q29" s="3736"/>
    </row>
    <row r="30" spans="1:20">
      <c r="A30" s="3400"/>
      <c r="B30" s="3053">
        <v>27</v>
      </c>
      <c r="C30" s="3400"/>
      <c r="D30" s="3400"/>
      <c r="E30" s="3053">
        <v>106</v>
      </c>
      <c r="F30" s="3053">
        <v>1</v>
      </c>
      <c r="G30" s="3053">
        <v>64.400000000000006</v>
      </c>
      <c r="H30" s="3384"/>
      <c r="J30" s="3053"/>
      <c r="K30" s="3053">
        <v>113</v>
      </c>
      <c r="L30" s="3053">
        <f>'面积汇总表2020-6-30'!G51</f>
        <v>126.59</v>
      </c>
      <c r="Q30" s="3736"/>
    </row>
    <row r="31" spans="1:20">
      <c r="A31" s="3400"/>
      <c r="B31" s="3053">
        <v>28</v>
      </c>
      <c r="C31" s="3400"/>
      <c r="D31" s="3400"/>
      <c r="E31" s="3053">
        <v>107</v>
      </c>
      <c r="F31" s="3053">
        <v>1</v>
      </c>
      <c r="G31" s="3053">
        <v>15.85</v>
      </c>
      <c r="H31" s="3384"/>
      <c r="J31" s="3053"/>
      <c r="K31" s="3053">
        <v>114</v>
      </c>
      <c r="L31" s="3053">
        <f>'面积汇总表2020-6-30'!G52</f>
        <v>8.56</v>
      </c>
    </row>
    <row r="32" spans="1:20">
      <c r="A32" s="3400"/>
      <c r="B32" s="3053">
        <v>29</v>
      </c>
      <c r="C32" s="3400"/>
      <c r="D32" s="3400"/>
      <c r="E32" s="3053">
        <v>108</v>
      </c>
      <c r="F32" s="3053">
        <v>1</v>
      </c>
      <c r="G32" s="3053">
        <v>57.2</v>
      </c>
      <c r="H32" s="3384"/>
      <c r="J32" s="3053"/>
      <c r="K32" s="3053">
        <v>115</v>
      </c>
      <c r="L32" s="3053">
        <f>'面积汇总表2020-6-30'!G53</f>
        <v>28.54</v>
      </c>
    </row>
    <row r="33" spans="1:12">
      <c r="A33" s="3400"/>
      <c r="B33" s="3053">
        <v>30</v>
      </c>
      <c r="C33" s="3400"/>
      <c r="D33" s="3400"/>
      <c r="E33" s="3053">
        <v>201</v>
      </c>
      <c r="F33" s="3053">
        <v>2</v>
      </c>
      <c r="G33" s="3053">
        <v>748.67</v>
      </c>
      <c r="H33" s="3384"/>
      <c r="J33" s="3053" t="s">
        <v>3066</v>
      </c>
      <c r="K33" s="3053">
        <v>101</v>
      </c>
      <c r="L33" s="3053">
        <f>'面积汇总表2020-6-30'!G57</f>
        <v>34.56</v>
      </c>
    </row>
    <row r="34" spans="1:12">
      <c r="A34" s="3400"/>
      <c r="B34" s="3053">
        <v>31</v>
      </c>
      <c r="C34" s="3400"/>
      <c r="D34" s="3400"/>
      <c r="E34" s="3053">
        <v>301</v>
      </c>
      <c r="F34" s="3053">
        <v>3</v>
      </c>
      <c r="G34" s="3053">
        <v>765.57</v>
      </c>
      <c r="H34" s="3384"/>
      <c r="J34" s="3053"/>
      <c r="K34" s="3053">
        <v>102</v>
      </c>
      <c r="L34" s="3053">
        <f>'面积汇总表2020-6-30'!G58</f>
        <v>41.69</v>
      </c>
    </row>
    <row r="35" spans="1:12">
      <c r="A35" s="3400"/>
      <c r="B35" s="3053">
        <v>32</v>
      </c>
      <c r="C35" s="3401"/>
      <c r="D35" s="3401"/>
      <c r="E35" s="3053">
        <v>401</v>
      </c>
      <c r="F35" s="3053">
        <v>4</v>
      </c>
      <c r="G35" s="3053">
        <v>680.75</v>
      </c>
      <c r="H35" s="3384"/>
      <c r="J35" s="3053" t="s">
        <v>3067</v>
      </c>
      <c r="K35" s="3053">
        <v>101</v>
      </c>
      <c r="L35" s="3053">
        <f>'面积汇总表2020-6-30'!G63</f>
        <v>76.33</v>
      </c>
    </row>
    <row r="36" spans="1:12">
      <c r="A36" s="3400"/>
      <c r="B36" s="3053">
        <v>33</v>
      </c>
      <c r="C36" s="3399" t="s">
        <v>3312</v>
      </c>
      <c r="D36" s="3399" t="s">
        <v>3063</v>
      </c>
      <c r="E36" s="3053">
        <v>101</v>
      </c>
      <c r="F36" s="3053">
        <v>1</v>
      </c>
      <c r="G36" s="3053">
        <v>8.8800000000000008</v>
      </c>
      <c r="H36" s="3384">
        <f>SUM(G36:G42)</f>
        <v>1676.62</v>
      </c>
      <c r="J36" s="3053"/>
      <c r="K36" s="3053">
        <v>102</v>
      </c>
      <c r="L36" s="3053">
        <f>'面积汇总表2020-6-30'!G64</f>
        <v>35.58</v>
      </c>
    </row>
    <row r="37" spans="1:12">
      <c r="A37" s="3400"/>
      <c r="B37" s="3053">
        <v>34</v>
      </c>
      <c r="C37" s="3400"/>
      <c r="D37" s="3400"/>
      <c r="E37" s="3053">
        <v>102</v>
      </c>
      <c r="F37" s="3053">
        <v>1</v>
      </c>
      <c r="G37" s="3053">
        <v>46.33</v>
      </c>
      <c r="H37" s="3384"/>
      <c r="J37" s="3053"/>
      <c r="K37" s="3053">
        <v>103</v>
      </c>
      <c r="L37" s="3053">
        <f>'面积汇总表2020-6-30'!G65</f>
        <v>21.6</v>
      </c>
    </row>
    <row r="38" spans="1:12">
      <c r="A38" s="3400"/>
      <c r="B38" s="3053">
        <v>35</v>
      </c>
      <c r="C38" s="3400"/>
      <c r="D38" s="3400"/>
      <c r="E38" s="3053">
        <v>104</v>
      </c>
      <c r="F38" s="3053">
        <v>1</v>
      </c>
      <c r="G38" s="3053">
        <v>46.64</v>
      </c>
      <c r="H38" s="3384"/>
      <c r="J38" s="3053" t="s">
        <v>3068</v>
      </c>
      <c r="K38" s="3053">
        <v>101</v>
      </c>
      <c r="L38" s="3053">
        <f>'面积汇总表2020-6-30'!G70</f>
        <v>62.17</v>
      </c>
    </row>
    <row r="39" spans="1:12">
      <c r="A39" s="3400"/>
      <c r="B39" s="3053">
        <v>36</v>
      </c>
      <c r="C39" s="3400"/>
      <c r="D39" s="3400"/>
      <c r="E39" s="3053">
        <v>105</v>
      </c>
      <c r="F39" s="3053">
        <v>1</v>
      </c>
      <c r="G39" s="3053">
        <v>61.66</v>
      </c>
      <c r="H39" s="3384"/>
      <c r="J39" s="3053"/>
      <c r="K39" s="3053">
        <v>102</v>
      </c>
      <c r="L39" s="3053">
        <f>'面积汇总表2020-6-30'!G71</f>
        <v>46.52</v>
      </c>
    </row>
    <row r="40" spans="1:12">
      <c r="A40" s="3400"/>
      <c r="B40" s="3053">
        <v>37</v>
      </c>
      <c r="C40" s="3400"/>
      <c r="D40" s="3400"/>
      <c r="E40" s="3053">
        <v>201</v>
      </c>
      <c r="F40" s="3053">
        <v>2</v>
      </c>
      <c r="G40" s="3053">
        <v>523.98</v>
      </c>
      <c r="H40" s="3384"/>
      <c r="J40" s="3053"/>
      <c r="K40" s="3053">
        <v>103</v>
      </c>
      <c r="L40" s="3053">
        <f>'面积汇总表2020-6-30'!G72</f>
        <v>24.35</v>
      </c>
    </row>
    <row r="41" spans="1:12">
      <c r="A41" s="3400"/>
      <c r="B41" s="3053">
        <v>38</v>
      </c>
      <c r="C41" s="3400"/>
      <c r="D41" s="3400"/>
      <c r="E41" s="3053">
        <v>301</v>
      </c>
      <c r="F41" s="3053">
        <v>3</v>
      </c>
      <c r="G41" s="3053">
        <v>523.36</v>
      </c>
      <c r="H41" s="3384"/>
      <c r="J41" s="3056" t="s">
        <v>3289</v>
      </c>
      <c r="K41" s="3056"/>
      <c r="L41" s="3056">
        <f>G78</f>
        <v>273.61</v>
      </c>
    </row>
    <row r="42" spans="1:12">
      <c r="A42" s="3400"/>
      <c r="B42" s="3053">
        <v>39</v>
      </c>
      <c r="C42" s="3400"/>
      <c r="D42" s="3401"/>
      <c r="E42" s="3053">
        <v>401</v>
      </c>
      <c r="F42" s="3053">
        <v>4</v>
      </c>
      <c r="G42" s="3053">
        <v>465.77</v>
      </c>
      <c r="H42" s="3384"/>
      <c r="J42" s="3056" t="s">
        <v>3310</v>
      </c>
      <c r="K42" s="3056"/>
      <c r="L42" s="3056">
        <f>G82</f>
        <v>211.2</v>
      </c>
    </row>
    <row r="43" spans="1:12">
      <c r="A43" s="3400"/>
      <c r="B43" s="3053">
        <v>40</v>
      </c>
      <c r="C43" s="3400"/>
      <c r="D43" s="3399" t="s">
        <v>3064</v>
      </c>
      <c r="E43" s="3053">
        <v>107</v>
      </c>
      <c r="F43" s="3053">
        <v>1</v>
      </c>
      <c r="G43" s="3053">
        <v>63.63</v>
      </c>
      <c r="H43" s="3384">
        <f>SUM(G43:G49)</f>
        <v>1205.21</v>
      </c>
      <c r="J43" s="3053" t="s">
        <v>3090</v>
      </c>
      <c r="K43" s="3053"/>
      <c r="L43" s="3055">
        <f>SUM(L4:L42)</f>
        <v>2458.0699999999997</v>
      </c>
    </row>
    <row r="44" spans="1:12">
      <c r="A44" s="3400"/>
      <c r="B44" s="3053">
        <v>41</v>
      </c>
      <c r="C44" s="3400"/>
      <c r="D44" s="3400"/>
      <c r="E44" s="3053">
        <v>108</v>
      </c>
      <c r="F44" s="3053">
        <v>1</v>
      </c>
      <c r="G44" s="3053">
        <v>8.3000000000000007</v>
      </c>
      <c r="H44" s="3384"/>
      <c r="J44" s="3055" t="s">
        <v>3082</v>
      </c>
      <c r="K44" s="3053" t="s">
        <v>3058</v>
      </c>
      <c r="L44" s="3053" t="s">
        <v>3083</v>
      </c>
    </row>
    <row r="45" spans="1:12">
      <c r="A45" s="3400"/>
      <c r="B45" s="3053">
        <v>42</v>
      </c>
      <c r="C45" s="3400"/>
      <c r="D45" s="3400"/>
      <c r="E45" s="3053">
        <v>109</v>
      </c>
      <c r="F45" s="3053">
        <v>1</v>
      </c>
      <c r="G45" s="3053">
        <v>22.91</v>
      </c>
      <c r="H45" s="3384"/>
      <c r="J45" s="3053" t="s">
        <v>3069</v>
      </c>
      <c r="K45" s="3053">
        <v>201</v>
      </c>
      <c r="L45" s="3053">
        <f>'面积汇总表2020-6-30'!G6</f>
        <v>284.56</v>
      </c>
    </row>
    <row r="46" spans="1:12">
      <c r="A46" s="3400"/>
      <c r="B46" s="3053">
        <v>43</v>
      </c>
      <c r="C46" s="3400"/>
      <c r="D46" s="3400"/>
      <c r="E46" s="3053">
        <v>110</v>
      </c>
      <c r="F46" s="3053">
        <v>1</v>
      </c>
      <c r="G46" s="3053">
        <v>16.07</v>
      </c>
      <c r="H46" s="3384"/>
      <c r="J46" s="3053" t="s">
        <v>3070</v>
      </c>
      <c r="K46" s="3053">
        <v>201</v>
      </c>
      <c r="L46" s="3053">
        <f>'面积汇总表2020-6-30'!G12</f>
        <v>380.65</v>
      </c>
    </row>
    <row r="47" spans="1:12">
      <c r="A47" s="3400"/>
      <c r="B47" s="3053">
        <v>44</v>
      </c>
      <c r="C47" s="3400"/>
      <c r="D47" s="3400"/>
      <c r="E47" s="3053">
        <v>202</v>
      </c>
      <c r="F47" s="3053">
        <v>2</v>
      </c>
      <c r="G47" s="3053">
        <v>354.56</v>
      </c>
      <c r="H47" s="3384"/>
      <c r="J47" s="3053" t="s">
        <v>3071</v>
      </c>
      <c r="K47" s="3053">
        <v>201</v>
      </c>
      <c r="L47" s="3053">
        <f>'面积汇总表2020-6-30'!G17</f>
        <v>456.71</v>
      </c>
    </row>
    <row r="48" spans="1:12">
      <c r="A48" s="3400"/>
      <c r="B48" s="3053">
        <v>45</v>
      </c>
      <c r="C48" s="3400"/>
      <c r="D48" s="3400"/>
      <c r="E48" s="3053">
        <v>302</v>
      </c>
      <c r="F48" s="3053">
        <v>3</v>
      </c>
      <c r="G48" s="3053">
        <v>385.18</v>
      </c>
      <c r="H48" s="3384"/>
      <c r="J48" s="3053" t="s">
        <v>3061</v>
      </c>
      <c r="K48" s="3053">
        <v>201</v>
      </c>
      <c r="L48" s="3053">
        <f>'面积汇总表2020-6-30'!G24</f>
        <v>478.18</v>
      </c>
    </row>
    <row r="49" spans="1:12">
      <c r="A49" s="3400"/>
      <c r="B49" s="3053">
        <v>46</v>
      </c>
      <c r="C49" s="3400"/>
      <c r="D49" s="3401"/>
      <c r="E49" s="3053">
        <v>402</v>
      </c>
      <c r="F49" s="3053">
        <v>4</v>
      </c>
      <c r="G49" s="3053">
        <v>354.56</v>
      </c>
      <c r="H49" s="3384"/>
      <c r="J49" s="3053" t="s">
        <v>3062</v>
      </c>
      <c r="K49" s="3053">
        <v>201</v>
      </c>
      <c r="L49" s="3053">
        <f>'面积汇总表2020-6-30'!G33</f>
        <v>748.67</v>
      </c>
    </row>
    <row r="50" spans="1:12">
      <c r="A50" s="3400"/>
      <c r="B50" s="3053">
        <v>47</v>
      </c>
      <c r="C50" s="3400"/>
      <c r="D50" s="3399" t="s">
        <v>3065</v>
      </c>
      <c r="E50" s="3053">
        <v>112</v>
      </c>
      <c r="F50" s="3053">
        <v>1</v>
      </c>
      <c r="G50" s="3053">
        <v>49.13</v>
      </c>
      <c r="H50" s="3384">
        <f>SUM(G50:G56)</f>
        <v>1644.5300000000002</v>
      </c>
      <c r="J50" s="3053" t="s">
        <v>3063</v>
      </c>
      <c r="K50" s="3053">
        <v>201</v>
      </c>
      <c r="L50" s="3053">
        <f>'面积汇总表2020-6-30'!G40</f>
        <v>523.98</v>
      </c>
    </row>
    <row r="51" spans="1:12">
      <c r="A51" s="3400"/>
      <c r="B51" s="3053">
        <v>48</v>
      </c>
      <c r="C51" s="3400"/>
      <c r="D51" s="3400"/>
      <c r="E51" s="3053">
        <v>113</v>
      </c>
      <c r="F51" s="3053">
        <v>1</v>
      </c>
      <c r="G51" s="3053">
        <v>126.59</v>
      </c>
      <c r="H51" s="3384"/>
      <c r="J51" s="3053" t="s">
        <v>3064</v>
      </c>
      <c r="K51" s="3053">
        <v>202</v>
      </c>
      <c r="L51" s="3053">
        <f>'面积汇总表2020-6-30'!G47</f>
        <v>354.56</v>
      </c>
    </row>
    <row r="52" spans="1:12">
      <c r="A52" s="3400"/>
      <c r="B52" s="3053">
        <v>49</v>
      </c>
      <c r="C52" s="3400"/>
      <c r="D52" s="3400"/>
      <c r="E52" s="3053">
        <v>114</v>
      </c>
      <c r="F52" s="3053">
        <v>1</v>
      </c>
      <c r="G52" s="3053">
        <v>8.56</v>
      </c>
      <c r="H52" s="3384"/>
      <c r="J52" s="3053" t="s">
        <v>3065</v>
      </c>
      <c r="K52" s="3053">
        <v>203</v>
      </c>
      <c r="L52" s="3053">
        <f>'面积汇总表2020-6-30'!G54</f>
        <v>485.92</v>
      </c>
    </row>
    <row r="53" spans="1:12">
      <c r="A53" s="3400"/>
      <c r="B53" s="3053">
        <v>50</v>
      </c>
      <c r="C53" s="3400"/>
      <c r="D53" s="3400"/>
      <c r="E53" s="3053">
        <v>115</v>
      </c>
      <c r="F53" s="3053">
        <v>1</v>
      </c>
      <c r="G53" s="3053">
        <v>28.54</v>
      </c>
      <c r="H53" s="3384"/>
      <c r="J53" s="3053" t="s">
        <v>3066</v>
      </c>
      <c r="K53" s="3053">
        <v>201</v>
      </c>
      <c r="L53" s="3053">
        <f>'面积汇总表2020-6-30'!G59</f>
        <v>562.57000000000005</v>
      </c>
    </row>
    <row r="54" spans="1:12">
      <c r="A54" s="3400"/>
      <c r="B54" s="3053">
        <v>51</v>
      </c>
      <c r="C54" s="3400"/>
      <c r="D54" s="3400"/>
      <c r="E54" s="3053">
        <v>203</v>
      </c>
      <c r="F54" s="3053">
        <v>2</v>
      </c>
      <c r="G54" s="3053">
        <v>485.92</v>
      </c>
      <c r="H54" s="3384"/>
      <c r="J54" s="3053" t="s">
        <v>3067</v>
      </c>
      <c r="K54" s="3053">
        <v>201</v>
      </c>
      <c r="L54" s="3053">
        <f>'面积汇总表2020-6-30'!G66</f>
        <v>592.95000000000005</v>
      </c>
    </row>
    <row r="55" spans="1:12">
      <c r="A55" s="3400"/>
      <c r="B55" s="3053">
        <v>52</v>
      </c>
      <c r="C55" s="3400"/>
      <c r="D55" s="3400"/>
      <c r="E55" s="3053">
        <v>303</v>
      </c>
      <c r="F55" s="3053">
        <v>3</v>
      </c>
      <c r="G55" s="3053">
        <v>500.94</v>
      </c>
      <c r="H55" s="3384"/>
      <c r="J55" s="3053" t="s">
        <v>3068</v>
      </c>
      <c r="K55" s="3053">
        <v>201</v>
      </c>
      <c r="L55" s="3053">
        <f>'面积汇总表2020-6-30'!G73</f>
        <v>890.26</v>
      </c>
    </row>
    <row r="56" spans="1:12">
      <c r="A56" s="3400"/>
      <c r="B56" s="3053">
        <v>53</v>
      </c>
      <c r="C56" s="3401"/>
      <c r="D56" s="3401"/>
      <c r="E56" s="3053">
        <v>403</v>
      </c>
      <c r="F56" s="3053">
        <v>4</v>
      </c>
      <c r="G56" s="3053">
        <v>444.85</v>
      </c>
      <c r="H56" s="3384"/>
      <c r="J56" s="3056" t="s">
        <v>3289</v>
      </c>
      <c r="K56" s="3056"/>
      <c r="L56" s="3056">
        <f>G79</f>
        <v>273.61</v>
      </c>
    </row>
    <row r="57" spans="1:12">
      <c r="A57" s="3400"/>
      <c r="B57" s="3053">
        <v>54</v>
      </c>
      <c r="C57" s="3399" t="s">
        <v>3314</v>
      </c>
      <c r="D57" s="3399" t="s">
        <v>3066</v>
      </c>
      <c r="E57" s="3053">
        <v>101</v>
      </c>
      <c r="F57" s="3053">
        <v>1</v>
      </c>
      <c r="G57" s="3053">
        <v>34.56</v>
      </c>
      <c r="H57" s="3384">
        <f>SUM(G57:G62)</f>
        <v>2739.7</v>
      </c>
      <c r="J57" s="3056" t="s">
        <v>3310</v>
      </c>
      <c r="K57" s="3056"/>
      <c r="L57" s="3056">
        <f>G83</f>
        <v>211.2</v>
      </c>
    </row>
    <row r="58" spans="1:12">
      <c r="A58" s="3400"/>
      <c r="B58" s="3053">
        <v>55</v>
      </c>
      <c r="C58" s="3400"/>
      <c r="D58" s="3400"/>
      <c r="E58" s="3053">
        <v>102</v>
      </c>
      <c r="F58" s="3053">
        <v>1</v>
      </c>
      <c r="G58" s="3053">
        <v>41.69</v>
      </c>
      <c r="H58" s="3384"/>
      <c r="J58" s="3053" t="s">
        <v>3090</v>
      </c>
      <c r="K58" s="3053"/>
      <c r="L58" s="3055">
        <f>SUM(L45:L57)</f>
        <v>6243.82</v>
      </c>
    </row>
    <row r="59" spans="1:12">
      <c r="A59" s="3400"/>
      <c r="B59" s="3053">
        <v>56</v>
      </c>
      <c r="C59" s="3400"/>
      <c r="D59" s="3400"/>
      <c r="E59" s="3053">
        <v>201</v>
      </c>
      <c r="F59" s="3053">
        <v>2</v>
      </c>
      <c r="G59" s="3053">
        <v>562.57000000000005</v>
      </c>
      <c r="H59" s="3384"/>
      <c r="J59" s="3055" t="s">
        <v>3084</v>
      </c>
      <c r="K59" s="3053" t="s">
        <v>3058</v>
      </c>
      <c r="L59" s="3053" t="s">
        <v>3083</v>
      </c>
    </row>
    <row r="60" spans="1:12">
      <c r="A60" s="3400"/>
      <c r="B60" s="3053">
        <v>57</v>
      </c>
      <c r="C60" s="3400"/>
      <c r="D60" s="3400"/>
      <c r="E60" s="3053">
        <v>301</v>
      </c>
      <c r="F60" s="3053">
        <v>3</v>
      </c>
      <c r="G60" s="3053">
        <v>624.51</v>
      </c>
      <c r="H60" s="3384"/>
      <c r="J60" s="3053" t="s">
        <v>3069</v>
      </c>
      <c r="K60" s="3053">
        <v>301</v>
      </c>
      <c r="L60" s="3053">
        <f>'面积汇总表2020-6-30'!G7</f>
        <v>289.57</v>
      </c>
    </row>
    <row r="61" spans="1:12">
      <c r="A61" s="3400"/>
      <c r="B61" s="3053">
        <v>58</v>
      </c>
      <c r="C61" s="3400"/>
      <c r="D61" s="3400"/>
      <c r="E61" s="3053">
        <v>401</v>
      </c>
      <c r="F61" s="3053">
        <v>4</v>
      </c>
      <c r="G61" s="3053">
        <v>746.56</v>
      </c>
      <c r="H61" s="3384"/>
      <c r="J61" s="3053" t="s">
        <v>3070</v>
      </c>
      <c r="K61" s="3053">
        <v>301</v>
      </c>
      <c r="L61" s="3053">
        <f>'面积汇总表2020-6-30'!G13</f>
        <v>364.65</v>
      </c>
    </row>
    <row r="62" spans="1:12">
      <c r="A62" s="3400"/>
      <c r="B62" s="3053">
        <v>59</v>
      </c>
      <c r="C62" s="3400"/>
      <c r="D62" s="3401"/>
      <c r="E62" s="3053">
        <v>501</v>
      </c>
      <c r="F62" s="3053">
        <v>5</v>
      </c>
      <c r="G62" s="3053">
        <v>729.81</v>
      </c>
      <c r="H62" s="3384"/>
      <c r="J62" s="3053" t="s">
        <v>3071</v>
      </c>
      <c r="K62" s="3053">
        <v>301</v>
      </c>
      <c r="L62" s="3053">
        <f>'面积汇总表2020-6-30'!G18</f>
        <v>445.43</v>
      </c>
    </row>
    <row r="63" spans="1:12">
      <c r="A63" s="3400"/>
      <c r="B63" s="3053">
        <v>60</v>
      </c>
      <c r="C63" s="3400"/>
      <c r="D63" s="3399" t="s">
        <v>3067</v>
      </c>
      <c r="E63" s="3053">
        <v>101</v>
      </c>
      <c r="F63" s="3053">
        <v>1</v>
      </c>
      <c r="G63" s="3053">
        <v>76.33</v>
      </c>
      <c r="H63" s="3384">
        <f>SUM(G63:G69)</f>
        <v>2165.5300000000002</v>
      </c>
      <c r="J63" s="3053" t="s">
        <v>3061</v>
      </c>
      <c r="K63" s="3053">
        <v>301</v>
      </c>
      <c r="L63" s="3053">
        <f>'面积汇总表2020-6-30'!G25</f>
        <v>478.6</v>
      </c>
    </row>
    <row r="64" spans="1:12">
      <c r="A64" s="3400"/>
      <c r="B64" s="3053">
        <v>61</v>
      </c>
      <c r="C64" s="3400"/>
      <c r="D64" s="3400"/>
      <c r="E64" s="3053">
        <v>102</v>
      </c>
      <c r="F64" s="3053">
        <v>1</v>
      </c>
      <c r="G64" s="3053">
        <v>35.58</v>
      </c>
      <c r="H64" s="3384"/>
      <c r="J64" s="3053" t="s">
        <v>3062</v>
      </c>
      <c r="K64" s="3053">
        <v>301</v>
      </c>
      <c r="L64" s="3053">
        <f>'面积汇总表2020-6-30'!G34</f>
        <v>765.57</v>
      </c>
    </row>
    <row r="65" spans="1:12">
      <c r="A65" s="3400"/>
      <c r="B65" s="3053">
        <v>62</v>
      </c>
      <c r="C65" s="3400"/>
      <c r="D65" s="3400"/>
      <c r="E65" s="3053">
        <v>103</v>
      </c>
      <c r="F65" s="3053">
        <v>1</v>
      </c>
      <c r="G65" s="3053">
        <v>21.6</v>
      </c>
      <c r="H65" s="3384"/>
      <c r="J65" s="3053" t="s">
        <v>3063</v>
      </c>
      <c r="K65" s="3053">
        <v>301</v>
      </c>
      <c r="L65" s="3053">
        <f>'面积汇总表2020-6-30'!G41</f>
        <v>523.36</v>
      </c>
    </row>
    <row r="66" spans="1:12">
      <c r="A66" s="3400"/>
      <c r="B66" s="3053">
        <v>63</v>
      </c>
      <c r="C66" s="3400"/>
      <c r="D66" s="3400"/>
      <c r="E66" s="3053">
        <v>201</v>
      </c>
      <c r="F66" s="3053">
        <v>2</v>
      </c>
      <c r="G66" s="3053">
        <v>592.95000000000005</v>
      </c>
      <c r="H66" s="3384"/>
      <c r="J66" s="3053" t="s">
        <v>3064</v>
      </c>
      <c r="K66" s="3053">
        <v>302</v>
      </c>
      <c r="L66" s="3053">
        <f>'面积汇总表2020-6-30'!G48</f>
        <v>385.18</v>
      </c>
    </row>
    <row r="67" spans="1:12">
      <c r="A67" s="3400"/>
      <c r="B67" s="3053">
        <v>64</v>
      </c>
      <c r="C67" s="3400"/>
      <c r="D67" s="3400"/>
      <c r="E67" s="3053">
        <v>301</v>
      </c>
      <c r="F67" s="3053">
        <v>3</v>
      </c>
      <c r="G67" s="3053">
        <v>580.24</v>
      </c>
      <c r="H67" s="3384"/>
      <c r="J67" s="3053" t="s">
        <v>3065</v>
      </c>
      <c r="K67" s="3053">
        <v>303</v>
      </c>
      <c r="L67" s="3053">
        <f>'面积汇总表2020-6-30'!G55</f>
        <v>500.94</v>
      </c>
    </row>
    <row r="68" spans="1:12">
      <c r="A68" s="3400"/>
      <c r="B68" s="3053">
        <v>65</v>
      </c>
      <c r="C68" s="3400"/>
      <c r="D68" s="3400"/>
      <c r="E68" s="3053">
        <v>401</v>
      </c>
      <c r="F68" s="3053">
        <v>4</v>
      </c>
      <c r="G68" s="3053">
        <v>415.21</v>
      </c>
      <c r="H68" s="3384"/>
      <c r="J68" s="3053" t="s">
        <v>3066</v>
      </c>
      <c r="K68" s="3053">
        <v>301</v>
      </c>
      <c r="L68" s="3053">
        <f>'面积汇总表2020-6-30'!G60</f>
        <v>624.51</v>
      </c>
    </row>
    <row r="69" spans="1:12">
      <c r="A69" s="3400"/>
      <c r="B69" s="3053">
        <v>66</v>
      </c>
      <c r="C69" s="3400"/>
      <c r="D69" s="3401"/>
      <c r="E69" s="3053">
        <v>501</v>
      </c>
      <c r="F69" s="3053">
        <v>5</v>
      </c>
      <c r="G69" s="3053">
        <v>443.62</v>
      </c>
      <c r="H69" s="3384"/>
      <c r="J69" s="3053" t="s">
        <v>3067</v>
      </c>
      <c r="K69" s="3053">
        <v>301</v>
      </c>
      <c r="L69" s="3053">
        <f>'面积汇总表2020-6-30'!G67</f>
        <v>580.24</v>
      </c>
    </row>
    <row r="70" spans="1:12">
      <c r="A70" s="3400"/>
      <c r="B70" s="3053">
        <v>67</v>
      </c>
      <c r="C70" s="3400"/>
      <c r="D70" s="3399" t="s">
        <v>3068</v>
      </c>
      <c r="E70" s="3053">
        <v>101</v>
      </c>
      <c r="F70" s="3053">
        <v>1</v>
      </c>
      <c r="G70" s="3053">
        <v>62.17</v>
      </c>
      <c r="H70" s="3384">
        <f>SUM(G70:G76)</f>
        <v>3602</v>
      </c>
      <c r="J70" s="3053" t="s">
        <v>3068</v>
      </c>
      <c r="K70" s="3053">
        <v>301</v>
      </c>
      <c r="L70" s="3053">
        <f>'面积汇总表2020-6-30'!G74</f>
        <v>910.45</v>
      </c>
    </row>
    <row r="71" spans="1:12">
      <c r="A71" s="3400"/>
      <c r="B71" s="3053">
        <v>68</v>
      </c>
      <c r="C71" s="3400"/>
      <c r="D71" s="3400"/>
      <c r="E71" s="3053">
        <v>102</v>
      </c>
      <c r="F71" s="3053">
        <v>1</v>
      </c>
      <c r="G71" s="3053">
        <v>46.52</v>
      </c>
      <c r="H71" s="3384"/>
      <c r="J71" s="3056" t="s">
        <v>3289</v>
      </c>
      <c r="K71" s="3056"/>
      <c r="L71" s="3056">
        <f>G80</f>
        <v>273.61</v>
      </c>
    </row>
    <row r="72" spans="1:12">
      <c r="A72" s="3400"/>
      <c r="B72" s="3053">
        <v>69</v>
      </c>
      <c r="C72" s="3400"/>
      <c r="D72" s="3400"/>
      <c r="E72" s="3053">
        <v>103</v>
      </c>
      <c r="F72" s="3053">
        <v>1</v>
      </c>
      <c r="G72" s="3053">
        <v>24.35</v>
      </c>
      <c r="H72" s="3384"/>
      <c r="J72" s="3056" t="s">
        <v>3310</v>
      </c>
      <c r="K72" s="3056"/>
      <c r="L72" s="3056">
        <f>G84</f>
        <v>211.2</v>
      </c>
    </row>
    <row r="73" spans="1:12">
      <c r="A73" s="3400"/>
      <c r="B73" s="3053">
        <v>70</v>
      </c>
      <c r="C73" s="3400"/>
      <c r="D73" s="3400"/>
      <c r="E73" s="3053">
        <v>201</v>
      </c>
      <c r="F73" s="3053">
        <v>2</v>
      </c>
      <c r="G73" s="3053">
        <v>890.26</v>
      </c>
      <c r="H73" s="3384"/>
      <c r="J73" s="3053" t="s">
        <v>3090</v>
      </c>
      <c r="K73" s="3053"/>
      <c r="L73" s="3055">
        <f>SUM(L60:L72)</f>
        <v>6353.3099999999995</v>
      </c>
    </row>
    <row r="74" spans="1:12">
      <c r="A74" s="3400"/>
      <c r="B74" s="3053">
        <v>71</v>
      </c>
      <c r="C74" s="3400"/>
      <c r="D74" s="3400"/>
      <c r="E74" s="3053">
        <v>301</v>
      </c>
      <c r="F74" s="3053">
        <v>3</v>
      </c>
      <c r="G74" s="3053">
        <v>910.45</v>
      </c>
      <c r="H74" s="3384"/>
      <c r="J74" s="3055" t="s">
        <v>3085</v>
      </c>
      <c r="K74" s="3053" t="s">
        <v>3058</v>
      </c>
      <c r="L74" s="3053" t="s">
        <v>3083</v>
      </c>
    </row>
    <row r="75" spans="1:12">
      <c r="A75" s="3400"/>
      <c r="B75" s="3053">
        <v>72</v>
      </c>
      <c r="C75" s="3400"/>
      <c r="D75" s="3400"/>
      <c r="E75" s="3053">
        <v>401</v>
      </c>
      <c r="F75" s="3053">
        <v>4</v>
      </c>
      <c r="G75" s="3053">
        <v>843.16</v>
      </c>
      <c r="H75" s="3384"/>
      <c r="J75" s="3053" t="s">
        <v>3069</v>
      </c>
      <c r="K75" s="3053">
        <v>401</v>
      </c>
      <c r="L75" s="3053">
        <f>'面积汇总表2020-6-30'!G8</f>
        <v>288.62</v>
      </c>
    </row>
    <row r="76" spans="1:12">
      <c r="A76" s="3400"/>
      <c r="B76" s="3053">
        <v>73</v>
      </c>
      <c r="C76" s="3401"/>
      <c r="D76" s="3401"/>
      <c r="E76" s="3053">
        <v>501</v>
      </c>
      <c r="F76" s="3053">
        <v>5</v>
      </c>
      <c r="G76" s="3053">
        <v>825.09</v>
      </c>
      <c r="H76" s="3384"/>
      <c r="J76" s="3053" t="s">
        <v>3070</v>
      </c>
      <c r="K76" s="3053">
        <v>401</v>
      </c>
      <c r="L76" s="3053">
        <f>'面积汇总表2020-6-30'!G14</f>
        <v>323.95999999999998</v>
      </c>
    </row>
    <row r="77" spans="1:12">
      <c r="A77" s="3400"/>
      <c r="B77" s="3053" t="s">
        <v>3334</v>
      </c>
      <c r="C77" s="3062"/>
      <c r="D77" s="3062"/>
      <c r="E77" s="3053"/>
      <c r="F77" s="3053"/>
      <c r="G77" s="3055">
        <f>SUM(G4:G76)</f>
        <v>21042.389999999992</v>
      </c>
      <c r="H77" s="3061"/>
      <c r="J77" s="3053" t="s">
        <v>3071</v>
      </c>
      <c r="K77" s="3053">
        <v>401</v>
      </c>
      <c r="L77" s="3053">
        <f>'面积汇总表2020-6-30'!G19</f>
        <v>401.14</v>
      </c>
    </row>
    <row r="78" spans="1:12">
      <c r="A78" s="3400"/>
      <c r="B78" s="3053">
        <v>74</v>
      </c>
      <c r="C78" s="3738" t="s">
        <v>3321</v>
      </c>
      <c r="D78" s="3738" t="s">
        <v>3309</v>
      </c>
      <c r="E78" s="3056"/>
      <c r="F78" s="3056">
        <v>1</v>
      </c>
      <c r="G78" s="3056">
        <f>H78/4</f>
        <v>273.61</v>
      </c>
      <c r="H78" s="3399">
        <v>1094.44</v>
      </c>
      <c r="J78" s="3053" t="s">
        <v>3061</v>
      </c>
      <c r="K78" s="3053">
        <v>401</v>
      </c>
      <c r="L78" s="3053">
        <f>'面积汇总表2020-6-30'!G26</f>
        <v>478.52</v>
      </c>
    </row>
    <row r="79" spans="1:12">
      <c r="A79" s="3400"/>
      <c r="B79" s="3053">
        <v>75</v>
      </c>
      <c r="C79" s="3742"/>
      <c r="D79" s="3742"/>
      <c r="E79" s="3056"/>
      <c r="F79" s="3056">
        <v>2</v>
      </c>
      <c r="G79" s="3056">
        <f>G78</f>
        <v>273.61</v>
      </c>
      <c r="H79" s="3400"/>
      <c r="J79" s="3053" t="s">
        <v>3062</v>
      </c>
      <c r="K79" s="3053">
        <v>401</v>
      </c>
      <c r="L79" s="3053">
        <f>'面积汇总表2020-6-30'!G35</f>
        <v>680.75</v>
      </c>
    </row>
    <row r="80" spans="1:12">
      <c r="A80" s="3400"/>
      <c r="B80" s="3053">
        <v>76</v>
      </c>
      <c r="C80" s="3742"/>
      <c r="D80" s="3742"/>
      <c r="E80" s="3056"/>
      <c r="F80" s="3056">
        <v>3</v>
      </c>
      <c r="G80" s="3056">
        <f>G78</f>
        <v>273.61</v>
      </c>
      <c r="H80" s="3400"/>
      <c r="J80" s="3053" t="s">
        <v>3063</v>
      </c>
      <c r="K80" s="3053">
        <v>401</v>
      </c>
      <c r="L80" s="3053">
        <f>'面积汇总表2020-6-30'!G42</f>
        <v>465.77</v>
      </c>
    </row>
    <row r="81" spans="1:12">
      <c r="A81" s="3400"/>
      <c r="B81" s="3053">
        <v>77</v>
      </c>
      <c r="C81" s="3742"/>
      <c r="D81" s="3739"/>
      <c r="E81" s="3056"/>
      <c r="F81" s="3056">
        <v>4</v>
      </c>
      <c r="G81" s="3056">
        <f>G78</f>
        <v>273.61</v>
      </c>
      <c r="H81" s="3401"/>
      <c r="J81" s="3053" t="s">
        <v>3064</v>
      </c>
      <c r="K81" s="3053">
        <v>402</v>
      </c>
      <c r="L81" s="3053">
        <f>'面积汇总表2020-6-30'!G49</f>
        <v>354.56</v>
      </c>
    </row>
    <row r="82" spans="1:12">
      <c r="A82" s="3400"/>
      <c r="B82" s="3053">
        <v>78</v>
      </c>
      <c r="C82" s="3742"/>
      <c r="D82" s="3738" t="s">
        <v>3310</v>
      </c>
      <c r="E82" s="3056"/>
      <c r="F82" s="3056">
        <v>1</v>
      </c>
      <c r="G82" s="3056">
        <f>H82/4</f>
        <v>211.2</v>
      </c>
      <c r="H82" s="3399">
        <v>844.8</v>
      </c>
      <c r="J82" s="3053" t="s">
        <v>3065</v>
      </c>
      <c r="K82" s="3053">
        <v>403</v>
      </c>
      <c r="L82" s="3053">
        <f>'面积汇总表2020-6-30'!G56</f>
        <v>444.85</v>
      </c>
    </row>
    <row r="83" spans="1:12">
      <c r="A83" s="3400"/>
      <c r="B83" s="3053">
        <v>79</v>
      </c>
      <c r="C83" s="3742"/>
      <c r="D83" s="3742"/>
      <c r="E83" s="3056"/>
      <c r="F83" s="3056">
        <v>2</v>
      </c>
      <c r="G83" s="3056">
        <f>G82</f>
        <v>211.2</v>
      </c>
      <c r="H83" s="3400"/>
      <c r="J83" s="3053" t="s">
        <v>3066</v>
      </c>
      <c r="K83" s="3053">
        <v>401</v>
      </c>
      <c r="L83" s="3053">
        <f>'面积汇总表2020-6-30'!G61</f>
        <v>746.56</v>
      </c>
    </row>
    <row r="84" spans="1:12">
      <c r="A84" s="3400"/>
      <c r="B84" s="3053">
        <v>80</v>
      </c>
      <c r="C84" s="3742"/>
      <c r="D84" s="3742"/>
      <c r="E84" s="3056"/>
      <c r="F84" s="3056">
        <v>3</v>
      </c>
      <c r="G84" s="3056">
        <f>G82</f>
        <v>211.2</v>
      </c>
      <c r="H84" s="3400"/>
      <c r="J84" s="3053" t="s">
        <v>3067</v>
      </c>
      <c r="K84" s="3053">
        <v>401</v>
      </c>
      <c r="L84" s="3053">
        <f>'面积汇总表2020-6-30'!G68</f>
        <v>415.21</v>
      </c>
    </row>
    <row r="85" spans="1:12">
      <c r="A85" s="3400"/>
      <c r="B85" s="3053">
        <v>81</v>
      </c>
      <c r="C85" s="3739"/>
      <c r="D85" s="3739"/>
      <c r="E85" s="3056"/>
      <c r="F85" s="3056">
        <v>4</v>
      </c>
      <c r="G85" s="3056">
        <f>G82</f>
        <v>211.2</v>
      </c>
      <c r="H85" s="3401"/>
      <c r="J85" s="3053" t="s">
        <v>3068</v>
      </c>
      <c r="K85" s="3053">
        <v>401</v>
      </c>
      <c r="L85" s="3053">
        <f>'面积汇总表2020-6-30'!G75</f>
        <v>843.16</v>
      </c>
    </row>
    <row r="86" spans="1:12">
      <c r="A86" s="3400"/>
      <c r="B86" s="3053" t="s">
        <v>3334</v>
      </c>
      <c r="C86" s="3065"/>
      <c r="D86" s="3064"/>
      <c r="E86" s="3053"/>
      <c r="F86" s="3053"/>
      <c r="G86" s="3066">
        <f>SUM(G78:G85)</f>
        <v>1939.2400000000002</v>
      </c>
      <c r="H86" s="3060"/>
      <c r="J86" s="3056" t="s">
        <v>3289</v>
      </c>
      <c r="K86" s="3056"/>
      <c r="L86" s="3056">
        <f>G81</f>
        <v>273.61</v>
      </c>
    </row>
    <row r="87" spans="1:12">
      <c r="A87" s="3401"/>
      <c r="B87" s="3053" t="s">
        <v>3081</v>
      </c>
      <c r="C87" s="3068"/>
      <c r="D87" s="3063"/>
      <c r="E87" s="3053"/>
      <c r="F87" s="3053"/>
      <c r="G87" s="3066">
        <f>G77+G86</f>
        <v>22981.629999999994</v>
      </c>
      <c r="H87" s="3069"/>
      <c r="J87" s="3056"/>
      <c r="K87" s="3056"/>
      <c r="L87" s="3056"/>
    </row>
    <row r="88" spans="1:12">
      <c r="A88" s="3399" t="s">
        <v>3318</v>
      </c>
      <c r="B88" s="3053">
        <v>82</v>
      </c>
      <c r="C88" s="3399" t="s">
        <v>3319</v>
      </c>
      <c r="D88" s="3399" t="s">
        <v>3317</v>
      </c>
      <c r="E88" s="3053">
        <v>201</v>
      </c>
      <c r="F88" s="3053">
        <v>2</v>
      </c>
      <c r="G88" s="3060">
        <v>1175.9000000000001</v>
      </c>
      <c r="H88" s="3399">
        <f>G88+G89+G90</f>
        <v>6604.07</v>
      </c>
      <c r="J88" s="3056" t="s">
        <v>3310</v>
      </c>
      <c r="K88" s="3056"/>
      <c r="L88" s="3056">
        <f>G85</f>
        <v>211.2</v>
      </c>
    </row>
    <row r="89" spans="1:12">
      <c r="A89" s="3400"/>
      <c r="B89" s="3053">
        <v>83</v>
      </c>
      <c r="C89" s="3400"/>
      <c r="D89" s="3400"/>
      <c r="E89" s="3053">
        <v>301</v>
      </c>
      <c r="F89" s="3053">
        <v>3</v>
      </c>
      <c r="G89" s="3060">
        <v>2065.16</v>
      </c>
      <c r="H89" s="3400"/>
      <c r="J89" s="3053" t="s">
        <v>3090</v>
      </c>
      <c r="K89" s="3053"/>
      <c r="L89" s="3055">
        <f>SUM(L75:L88)</f>
        <v>5927.9099999999989</v>
      </c>
    </row>
    <row r="90" spans="1:12">
      <c r="A90" s="3400"/>
      <c r="B90" s="3053">
        <v>84</v>
      </c>
      <c r="C90" s="3400"/>
      <c r="D90" s="3400"/>
      <c r="E90" s="3053">
        <v>401</v>
      </c>
      <c r="F90" s="3053">
        <v>4</v>
      </c>
      <c r="G90" s="3060">
        <v>3363.01</v>
      </c>
      <c r="H90" s="3401"/>
      <c r="J90" s="3055" t="s">
        <v>3086</v>
      </c>
      <c r="K90" s="3053" t="s">
        <v>3058</v>
      </c>
      <c r="L90" s="3053" t="s">
        <v>3083</v>
      </c>
    </row>
    <row r="91" spans="1:12">
      <c r="A91" s="3401"/>
      <c r="B91" s="3053" t="s">
        <v>3334</v>
      </c>
      <c r="C91" s="3401"/>
      <c r="D91" s="3401"/>
      <c r="E91" s="3053"/>
      <c r="F91" s="3053"/>
      <c r="G91" s="3055">
        <f>SUM(G88:G90)</f>
        <v>6604.07</v>
      </c>
      <c r="H91" s="3061"/>
      <c r="J91" s="3053" t="s">
        <v>3066</v>
      </c>
      <c r="K91" s="3053">
        <v>501</v>
      </c>
      <c r="L91" s="3053">
        <f>'面积汇总表2020-6-30'!G62</f>
        <v>729.81</v>
      </c>
    </row>
    <row r="92" spans="1:12">
      <c r="A92" s="3399" t="s">
        <v>3316</v>
      </c>
      <c r="B92" s="3053">
        <v>85</v>
      </c>
      <c r="C92" s="3399" t="s">
        <v>3315</v>
      </c>
      <c r="D92" s="3399" t="s">
        <v>3315</v>
      </c>
      <c r="E92" s="3053">
        <v>-109</v>
      </c>
      <c r="F92" s="3053">
        <v>-1</v>
      </c>
      <c r="G92" s="3053">
        <v>17173.29</v>
      </c>
      <c r="H92" s="3399">
        <f>G92+G93+G94+G95</f>
        <v>49847.820000000007</v>
      </c>
      <c r="J92" s="3053" t="s">
        <v>3067</v>
      </c>
      <c r="K92" s="3053">
        <v>501</v>
      </c>
      <c r="L92" s="3053">
        <f>'面积汇总表2020-6-30'!G69</f>
        <v>443.62</v>
      </c>
    </row>
    <row r="93" spans="1:12">
      <c r="A93" s="3400"/>
      <c r="B93" s="3053">
        <v>86</v>
      </c>
      <c r="C93" s="3400"/>
      <c r="D93" s="3400"/>
      <c r="E93" s="3053">
        <v>-134</v>
      </c>
      <c r="F93" s="3053">
        <v>-1</v>
      </c>
      <c r="G93" s="3053">
        <v>14584.69</v>
      </c>
      <c r="H93" s="3400"/>
      <c r="J93" s="3053" t="s">
        <v>3068</v>
      </c>
      <c r="K93" s="3053">
        <v>501</v>
      </c>
      <c r="L93" s="3053">
        <f>'面积汇总表2020-6-30'!G76</f>
        <v>825.09</v>
      </c>
    </row>
    <row r="94" spans="1:12">
      <c r="A94" s="3400"/>
      <c r="B94" s="3053">
        <v>87</v>
      </c>
      <c r="C94" s="3400"/>
      <c r="D94" s="3400"/>
      <c r="E94" s="3053">
        <v>-142</v>
      </c>
      <c r="F94" s="3053">
        <v>-1</v>
      </c>
      <c r="G94" s="3053">
        <v>2621.12</v>
      </c>
      <c r="H94" s="3400"/>
      <c r="J94" s="3053" t="s">
        <v>3090</v>
      </c>
      <c r="K94" s="3053"/>
      <c r="L94" s="3055">
        <f>SUM(L91:L93)</f>
        <v>1998.52</v>
      </c>
    </row>
    <row r="95" spans="1:12">
      <c r="A95" s="3400"/>
      <c r="B95" s="3053">
        <v>88</v>
      </c>
      <c r="C95" s="3400"/>
      <c r="D95" s="3400"/>
      <c r="E95" s="3053">
        <v>-157</v>
      </c>
      <c r="F95" s="3053">
        <v>-1</v>
      </c>
      <c r="G95" s="3053">
        <v>15468.72</v>
      </c>
      <c r="H95" s="3401"/>
      <c r="J95" s="3053" t="s">
        <v>3081</v>
      </c>
      <c r="K95" s="3053"/>
      <c r="L95" s="3055">
        <f>L43+L58+L73+L89+L94</f>
        <v>22981.629999999997</v>
      </c>
    </row>
    <row r="96" spans="1:12">
      <c r="A96" s="3400"/>
      <c r="B96" s="3053">
        <v>89</v>
      </c>
      <c r="C96" s="3400"/>
      <c r="D96" s="3400"/>
      <c r="E96" s="3053">
        <v>-213</v>
      </c>
      <c r="F96" s="3053">
        <v>-2</v>
      </c>
      <c r="G96" s="3053">
        <v>16585.34</v>
      </c>
      <c r="H96" s="3399">
        <f>G96+G97+G98+G99</f>
        <v>52856.979999999996</v>
      </c>
    </row>
    <row r="97" spans="1:8">
      <c r="A97" s="3400"/>
      <c r="B97" s="3053">
        <v>90</v>
      </c>
      <c r="C97" s="3400"/>
      <c r="D97" s="3400"/>
      <c r="E97" s="3053">
        <v>-247</v>
      </c>
      <c r="F97" s="3053">
        <v>-2</v>
      </c>
      <c r="G97" s="3053">
        <v>15723.39</v>
      </c>
      <c r="H97" s="3400"/>
    </row>
    <row r="98" spans="1:8">
      <c r="A98" s="3400"/>
      <c r="B98" s="3053">
        <v>91</v>
      </c>
      <c r="C98" s="3400"/>
      <c r="D98" s="3400"/>
      <c r="E98" s="3053">
        <v>-259</v>
      </c>
      <c r="F98" s="3053">
        <v>-2</v>
      </c>
      <c r="G98" s="3053">
        <v>2754.04</v>
      </c>
      <c r="H98" s="3400"/>
    </row>
    <row r="99" spans="1:8">
      <c r="A99" s="3400"/>
      <c r="B99" s="3053">
        <v>92</v>
      </c>
      <c r="C99" s="3400"/>
      <c r="D99" s="3401"/>
      <c r="E99" s="3053">
        <v>-275</v>
      </c>
      <c r="F99" s="3053">
        <v>-2</v>
      </c>
      <c r="G99" s="3053">
        <v>17794.21</v>
      </c>
      <c r="H99" s="3401"/>
    </row>
    <row r="100" spans="1:8">
      <c r="A100" s="3401"/>
      <c r="B100" s="3053" t="s">
        <v>3334</v>
      </c>
      <c r="C100" s="3401"/>
      <c r="D100" s="3053"/>
      <c r="E100" s="3053"/>
      <c r="F100" s="3053"/>
      <c r="G100" s="3055">
        <f>SUM(G92:G99)</f>
        <v>102704.79999999999</v>
      </c>
      <c r="H100" s="3053"/>
    </row>
    <row r="101" spans="1:8" ht="15" customHeight="1">
      <c r="A101" s="3399" t="s">
        <v>3333</v>
      </c>
      <c r="B101" s="3067">
        <v>93</v>
      </c>
      <c r="C101" s="3738" t="s">
        <v>3327</v>
      </c>
      <c r="D101" s="3738" t="s">
        <v>3336</v>
      </c>
      <c r="E101" s="3056"/>
      <c r="F101" s="3056">
        <v>1</v>
      </c>
      <c r="G101" s="3056">
        <f>H101/2</f>
        <v>223.76499999999999</v>
      </c>
      <c r="H101" s="3399">
        <v>447.53</v>
      </c>
    </row>
    <row r="102" spans="1:8">
      <c r="A102" s="3400"/>
      <c r="B102" s="3067">
        <v>94</v>
      </c>
      <c r="C102" s="3739"/>
      <c r="D102" s="3739"/>
      <c r="E102" s="3056"/>
      <c r="F102" s="3056">
        <v>-1</v>
      </c>
      <c r="G102" s="3056">
        <f>G101</f>
        <v>223.76499999999999</v>
      </c>
      <c r="H102" s="3401"/>
    </row>
    <row r="103" spans="1:8">
      <c r="A103" s="3400"/>
      <c r="B103" s="3067">
        <v>95</v>
      </c>
      <c r="C103" s="3738" t="s">
        <v>3328</v>
      </c>
      <c r="D103" s="3738" t="s">
        <v>3322</v>
      </c>
      <c r="E103" s="3056"/>
      <c r="F103" s="3056">
        <v>1</v>
      </c>
      <c r="G103" s="3056">
        <f>H103/2</f>
        <v>225.92500000000001</v>
      </c>
      <c r="H103" s="3399">
        <v>451.85</v>
      </c>
    </row>
    <row r="104" spans="1:8">
      <c r="A104" s="3400"/>
      <c r="B104" s="3067">
        <v>96</v>
      </c>
      <c r="C104" s="3739"/>
      <c r="D104" s="3739"/>
      <c r="E104" s="3056"/>
      <c r="F104" s="3056">
        <v>-1</v>
      </c>
      <c r="G104" s="3056">
        <f>G103</f>
        <v>225.92500000000001</v>
      </c>
      <c r="H104" s="3401"/>
    </row>
    <row r="105" spans="1:8">
      <c r="A105" s="3400"/>
      <c r="B105" s="3067">
        <v>97</v>
      </c>
      <c r="C105" s="3738" t="s">
        <v>3329</v>
      </c>
      <c r="D105" s="3740" t="s">
        <v>3323</v>
      </c>
      <c r="E105" s="3056"/>
      <c r="F105" s="3056">
        <v>1</v>
      </c>
      <c r="G105" s="3056">
        <f>H105/2</f>
        <v>237.255</v>
      </c>
      <c r="H105" s="3399">
        <v>474.51</v>
      </c>
    </row>
    <row r="106" spans="1:8">
      <c r="A106" s="3400"/>
      <c r="B106" s="3067">
        <v>98</v>
      </c>
      <c r="C106" s="3739"/>
      <c r="D106" s="3741"/>
      <c r="E106" s="3056"/>
      <c r="F106" s="3056">
        <v>-1</v>
      </c>
      <c r="G106" s="3056">
        <f>G105</f>
        <v>237.255</v>
      </c>
      <c r="H106" s="3401"/>
    </row>
    <row r="107" spans="1:8">
      <c r="A107" s="3400"/>
      <c r="B107" s="3067">
        <v>99</v>
      </c>
      <c r="C107" s="3738" t="s">
        <v>3330</v>
      </c>
      <c r="D107" s="3740" t="s">
        <v>3324</v>
      </c>
      <c r="E107" s="3056"/>
      <c r="F107" s="3056">
        <v>1</v>
      </c>
      <c r="G107" s="3056">
        <f>H107/2</f>
        <v>224.76499999999999</v>
      </c>
      <c r="H107" s="3399">
        <v>449.53</v>
      </c>
    </row>
    <row r="108" spans="1:8">
      <c r="A108" s="3400"/>
      <c r="B108" s="3067">
        <v>100</v>
      </c>
      <c r="C108" s="3739"/>
      <c r="D108" s="3741"/>
      <c r="E108" s="3056"/>
      <c r="F108" s="3056">
        <v>-1</v>
      </c>
      <c r="G108" s="3056">
        <f>G107</f>
        <v>224.76499999999999</v>
      </c>
      <c r="H108" s="3401"/>
    </row>
    <row r="109" spans="1:8">
      <c r="A109" s="3400"/>
      <c r="B109" s="3067">
        <v>101</v>
      </c>
      <c r="C109" s="3738" t="s">
        <v>3331</v>
      </c>
      <c r="D109" s="3740" t="s">
        <v>3325</v>
      </c>
      <c r="E109" s="3056"/>
      <c r="F109" s="3056">
        <v>1</v>
      </c>
      <c r="G109" s="3056">
        <f>H109/2</f>
        <v>237.58500000000001</v>
      </c>
      <c r="H109" s="3399">
        <v>475.17</v>
      </c>
    </row>
    <row r="110" spans="1:8">
      <c r="A110" s="3400"/>
      <c r="B110" s="3067">
        <v>102</v>
      </c>
      <c r="C110" s="3739"/>
      <c r="D110" s="3741"/>
      <c r="E110" s="3056"/>
      <c r="F110" s="3056">
        <v>-1</v>
      </c>
      <c r="G110" s="3056">
        <f>G109</f>
        <v>237.58500000000001</v>
      </c>
      <c r="H110" s="3401"/>
    </row>
    <row r="111" spans="1:8">
      <c r="A111" s="3400"/>
      <c r="B111" s="3067">
        <v>103</v>
      </c>
      <c r="C111" s="3738" t="s">
        <v>3332</v>
      </c>
      <c r="D111" s="3740" t="s">
        <v>3326</v>
      </c>
      <c r="E111" s="3056"/>
      <c r="F111" s="3056">
        <v>1</v>
      </c>
      <c r="G111" s="3056">
        <f>H111/2</f>
        <v>223.25</v>
      </c>
      <c r="H111" s="3399">
        <v>446.5</v>
      </c>
    </row>
    <row r="112" spans="1:8">
      <c r="A112" s="3400"/>
      <c r="B112" s="3067">
        <v>104</v>
      </c>
      <c r="C112" s="3739"/>
      <c r="D112" s="3741"/>
      <c r="E112" s="3056"/>
      <c r="F112" s="3056">
        <v>-1</v>
      </c>
      <c r="G112" s="3056">
        <f>G111</f>
        <v>223.25</v>
      </c>
      <c r="H112" s="3401"/>
    </row>
    <row r="113" spans="1:10">
      <c r="A113" s="3400"/>
      <c r="B113" s="3067">
        <v>105</v>
      </c>
      <c r="C113" s="3738" t="s">
        <v>3320</v>
      </c>
      <c r="D113" s="3738" t="s">
        <v>3306</v>
      </c>
      <c r="E113" s="3056"/>
      <c r="F113" s="3056">
        <v>1</v>
      </c>
      <c r="G113" s="3056">
        <f>H113/2</f>
        <v>300.47500000000002</v>
      </c>
      <c r="H113" s="3399">
        <v>600.95000000000005</v>
      </c>
    </row>
    <row r="114" spans="1:10">
      <c r="A114" s="3400"/>
      <c r="B114" s="3067">
        <v>106</v>
      </c>
      <c r="C114" s="3739"/>
      <c r="D114" s="3739"/>
      <c r="E114" s="3056"/>
      <c r="F114" s="3056">
        <v>-1</v>
      </c>
      <c r="G114" s="3056">
        <f>G113</f>
        <v>300.47500000000002</v>
      </c>
      <c r="H114" s="3401"/>
    </row>
    <row r="115" spans="1:10">
      <c r="A115" s="3401"/>
      <c r="B115" s="3053" t="s">
        <v>3334</v>
      </c>
      <c r="C115" s="3053"/>
      <c r="D115" s="3053"/>
      <c r="E115" s="3053"/>
      <c r="F115" s="3053"/>
      <c r="G115" s="3055">
        <f>SUM(G101:G114)</f>
        <v>3346.0399999999995</v>
      </c>
      <c r="H115" s="3053"/>
    </row>
    <row r="116" spans="1:10">
      <c r="A116" s="3053"/>
      <c r="B116" s="3053" t="s">
        <v>3081</v>
      </c>
      <c r="C116" s="3053"/>
      <c r="D116" s="3053"/>
      <c r="E116" s="3053"/>
      <c r="F116" s="3053"/>
      <c r="G116" s="3053"/>
      <c r="H116" s="3053">
        <f>SUM(H4:H114)</f>
        <v>135636.54000000004</v>
      </c>
    </row>
    <row r="121" spans="1:10">
      <c r="J121" s="3058"/>
    </row>
    <row r="122" spans="1:10">
      <c r="J122" s="3058"/>
    </row>
    <row r="123" spans="1:10">
      <c r="J123" s="3058"/>
    </row>
    <row r="213" spans="2:4">
      <c r="B213"/>
      <c r="C213"/>
      <c r="D213"/>
    </row>
    <row r="214" spans="2:4">
      <c r="B214"/>
      <c r="C214"/>
      <c r="D214"/>
    </row>
  </sheetData>
  <mergeCells count="73">
    <mergeCell ref="H20:H26"/>
    <mergeCell ref="H27:H35"/>
    <mergeCell ref="H36:H42"/>
    <mergeCell ref="H43:H49"/>
    <mergeCell ref="H50:H56"/>
    <mergeCell ref="H63:H69"/>
    <mergeCell ref="H70:H76"/>
    <mergeCell ref="D50:D56"/>
    <mergeCell ref="D92:D99"/>
    <mergeCell ref="H92:H95"/>
    <mergeCell ref="H96:H99"/>
    <mergeCell ref="H88:H90"/>
    <mergeCell ref="H78:H81"/>
    <mergeCell ref="H82:H85"/>
    <mergeCell ref="D57:D62"/>
    <mergeCell ref="H57:H62"/>
    <mergeCell ref="D20:D26"/>
    <mergeCell ref="D27:D35"/>
    <mergeCell ref="D36:D42"/>
    <mergeCell ref="D43:D49"/>
    <mergeCell ref="C88:C91"/>
    <mergeCell ref="D63:D69"/>
    <mergeCell ref="D70:D76"/>
    <mergeCell ref="D78:D81"/>
    <mergeCell ref="D82:D85"/>
    <mergeCell ref="C36:C56"/>
    <mergeCell ref="C20:C35"/>
    <mergeCell ref="C57:C76"/>
    <mergeCell ref="C92:C100"/>
    <mergeCell ref="C78:C85"/>
    <mergeCell ref="A88:A91"/>
    <mergeCell ref="D109:D110"/>
    <mergeCell ref="D111:D112"/>
    <mergeCell ref="D88:D91"/>
    <mergeCell ref="C111:C112"/>
    <mergeCell ref="A92:A100"/>
    <mergeCell ref="A101:A115"/>
    <mergeCell ref="C113:C114"/>
    <mergeCell ref="C101:C102"/>
    <mergeCell ref="C103:C104"/>
    <mergeCell ref="C105:C106"/>
    <mergeCell ref="C107:C108"/>
    <mergeCell ref="C109:C110"/>
    <mergeCell ref="A4:A87"/>
    <mergeCell ref="H111:H112"/>
    <mergeCell ref="D101:D102"/>
    <mergeCell ref="D103:D104"/>
    <mergeCell ref="H113:H114"/>
    <mergeCell ref="D113:D114"/>
    <mergeCell ref="D105:D106"/>
    <mergeCell ref="D107:D108"/>
    <mergeCell ref="H101:H102"/>
    <mergeCell ref="H103:H104"/>
    <mergeCell ref="H105:H106"/>
    <mergeCell ref="H107:H108"/>
    <mergeCell ref="H109:H110"/>
    <mergeCell ref="Q24:Q25"/>
    <mergeCell ref="Q26:Q28"/>
    <mergeCell ref="Q29:Q30"/>
    <mergeCell ref="R9:R10"/>
    <mergeCell ref="R12:R14"/>
    <mergeCell ref="R16:R17"/>
    <mergeCell ref="J2:L2"/>
    <mergeCell ref="D4:D8"/>
    <mergeCell ref="D9:D14"/>
    <mergeCell ref="N2:P2"/>
    <mergeCell ref="R3:R7"/>
    <mergeCell ref="B2:H2"/>
    <mergeCell ref="C4:C19"/>
    <mergeCell ref="H4:H8"/>
    <mergeCell ref="H9:H14"/>
    <mergeCell ref="H15:H19"/>
    <mergeCell ref="D15:D19"/>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958"/>
  <sheetViews>
    <sheetView zoomScale="90" zoomScaleNormal="90" workbookViewId="0">
      <selection activeCell="L153" sqref="L153"/>
    </sheetView>
  </sheetViews>
  <sheetFormatPr defaultColWidth="8.875" defaultRowHeight="13.5"/>
  <cols>
    <col min="1" max="1" width="9.5" style="3105" customWidth="1"/>
    <col min="2" max="2" width="11.875" style="3105" customWidth="1"/>
    <col min="3" max="3" width="9.625" style="3107" customWidth="1"/>
    <col min="4" max="4" width="9.875" style="3107" customWidth="1"/>
    <col min="5" max="5" width="13.375" style="3116" customWidth="1"/>
    <col min="6" max="6" width="16.875" style="3088" customWidth="1"/>
    <col min="7" max="7" width="13.125" style="3088" customWidth="1"/>
    <col min="8" max="8" width="11.5" style="3088" customWidth="1"/>
    <col min="9" max="10" width="8.875" style="3088"/>
    <col min="11" max="11" width="13.875" style="3088" customWidth="1"/>
    <col min="12" max="12" width="15.5" style="3088" customWidth="1"/>
    <col min="13" max="13" width="20.125" style="3088" customWidth="1"/>
    <col min="14" max="216" width="8.875" style="3088"/>
    <col min="217" max="218" width="7.625" style="3088" customWidth="1"/>
    <col min="219" max="219" width="9.125" style="3088" customWidth="1"/>
    <col min="220" max="223" width="8.125" style="3088" customWidth="1"/>
    <col min="224" max="225" width="9.5" style="3088" customWidth="1"/>
    <col min="226" max="226" width="8.125" style="3088" customWidth="1"/>
    <col min="227" max="227" width="6" style="3088" customWidth="1"/>
    <col min="228" max="228" width="7.625" style="3088" customWidth="1"/>
    <col min="229" max="229" width="7.125" style="3088" customWidth="1"/>
    <col min="230" max="230" width="6.875" style="3088" customWidth="1"/>
    <col min="231" max="231" width="7.125" style="3088" customWidth="1"/>
    <col min="232" max="236" width="6.125" style="3088" customWidth="1"/>
    <col min="237" max="237" width="7.125" style="3088" customWidth="1"/>
    <col min="238" max="238" width="6.625" style="3088" customWidth="1"/>
    <col min="239" max="240" width="7.125" style="3088" customWidth="1"/>
    <col min="241" max="241" width="7.875" style="3088" customWidth="1"/>
    <col min="242" max="245" width="6.625" style="3088" customWidth="1"/>
    <col min="246" max="246" width="6.875" style="3088" customWidth="1"/>
    <col min="247" max="247" width="7.875" style="3088" customWidth="1"/>
    <col min="248" max="249" width="8.125" style="3088" customWidth="1"/>
    <col min="250" max="251" width="6.625" style="3088" customWidth="1"/>
    <col min="252" max="252" width="8.5" style="3088" customWidth="1"/>
    <col min="253" max="254" width="8.625" style="3088" customWidth="1"/>
    <col min="255" max="256" width="12.125" style="3088" customWidth="1"/>
    <col min="257" max="257" width="13" style="3088" customWidth="1"/>
    <col min="258" max="258" width="16.875" style="3088" customWidth="1"/>
    <col min="259" max="472" width="8.875" style="3088"/>
    <col min="473" max="474" width="7.625" style="3088" customWidth="1"/>
    <col min="475" max="475" width="9.125" style="3088" customWidth="1"/>
    <col min="476" max="479" width="8.125" style="3088" customWidth="1"/>
    <col min="480" max="481" width="9.5" style="3088" customWidth="1"/>
    <col min="482" max="482" width="8.125" style="3088" customWidth="1"/>
    <col min="483" max="483" width="6" style="3088" customWidth="1"/>
    <col min="484" max="484" width="7.625" style="3088" customWidth="1"/>
    <col min="485" max="485" width="7.125" style="3088" customWidth="1"/>
    <col min="486" max="486" width="6.875" style="3088" customWidth="1"/>
    <col min="487" max="487" width="7.125" style="3088" customWidth="1"/>
    <col min="488" max="492" width="6.125" style="3088" customWidth="1"/>
    <col min="493" max="493" width="7.125" style="3088" customWidth="1"/>
    <col min="494" max="494" width="6.625" style="3088" customWidth="1"/>
    <col min="495" max="496" width="7.125" style="3088" customWidth="1"/>
    <col min="497" max="497" width="7.875" style="3088" customWidth="1"/>
    <col min="498" max="501" width="6.625" style="3088" customWidth="1"/>
    <col min="502" max="502" width="6.875" style="3088" customWidth="1"/>
    <col min="503" max="503" width="7.875" style="3088" customWidth="1"/>
    <col min="504" max="505" width="8.125" style="3088" customWidth="1"/>
    <col min="506" max="507" width="6.625" style="3088" customWidth="1"/>
    <col min="508" max="508" width="8.5" style="3088" customWidth="1"/>
    <col min="509" max="510" width="8.625" style="3088" customWidth="1"/>
    <col min="511" max="512" width="12.125" style="3088" customWidth="1"/>
    <col min="513" max="513" width="13" style="3088" customWidth="1"/>
    <col min="514" max="514" width="16.875" style="3088" customWidth="1"/>
    <col min="515" max="728" width="8.875" style="3088"/>
    <col min="729" max="730" width="7.625" style="3088" customWidth="1"/>
    <col min="731" max="731" width="9.125" style="3088" customWidth="1"/>
    <col min="732" max="735" width="8.125" style="3088" customWidth="1"/>
    <col min="736" max="737" width="9.5" style="3088" customWidth="1"/>
    <col min="738" max="738" width="8.125" style="3088" customWidth="1"/>
    <col min="739" max="739" width="6" style="3088" customWidth="1"/>
    <col min="740" max="740" width="7.625" style="3088" customWidth="1"/>
    <col min="741" max="741" width="7.125" style="3088" customWidth="1"/>
    <col min="742" max="742" width="6.875" style="3088" customWidth="1"/>
    <col min="743" max="743" width="7.125" style="3088" customWidth="1"/>
    <col min="744" max="748" width="6.125" style="3088" customWidth="1"/>
    <col min="749" max="749" width="7.125" style="3088" customWidth="1"/>
    <col min="750" max="750" width="6.625" style="3088" customWidth="1"/>
    <col min="751" max="752" width="7.125" style="3088" customWidth="1"/>
    <col min="753" max="753" width="7.875" style="3088" customWidth="1"/>
    <col min="754" max="757" width="6.625" style="3088" customWidth="1"/>
    <col min="758" max="758" width="6.875" style="3088" customWidth="1"/>
    <col min="759" max="759" width="7.875" style="3088" customWidth="1"/>
    <col min="760" max="761" width="8.125" style="3088" customWidth="1"/>
    <col min="762" max="763" width="6.625" style="3088" customWidth="1"/>
    <col min="764" max="764" width="8.5" style="3088" customWidth="1"/>
    <col min="765" max="766" width="8.625" style="3088" customWidth="1"/>
    <col min="767" max="768" width="12.125" style="3088" customWidth="1"/>
    <col min="769" max="769" width="13" style="3088" customWidth="1"/>
    <col min="770" max="770" width="16.875" style="3088" customWidth="1"/>
    <col min="771" max="984" width="8.875" style="3088"/>
    <col min="985" max="986" width="7.625" style="3088" customWidth="1"/>
    <col min="987" max="987" width="9.125" style="3088" customWidth="1"/>
    <col min="988" max="991" width="8.125" style="3088" customWidth="1"/>
    <col min="992" max="993" width="9.5" style="3088" customWidth="1"/>
    <col min="994" max="994" width="8.125" style="3088" customWidth="1"/>
    <col min="995" max="995" width="6" style="3088" customWidth="1"/>
    <col min="996" max="996" width="7.625" style="3088" customWidth="1"/>
    <col min="997" max="997" width="7.125" style="3088" customWidth="1"/>
    <col min="998" max="998" width="6.875" style="3088" customWidth="1"/>
    <col min="999" max="999" width="7.125" style="3088" customWidth="1"/>
    <col min="1000" max="1004" width="6.125" style="3088" customWidth="1"/>
    <col min="1005" max="1005" width="7.125" style="3088" customWidth="1"/>
    <col min="1006" max="1006" width="6.625" style="3088" customWidth="1"/>
    <col min="1007" max="1008" width="7.125" style="3088" customWidth="1"/>
    <col min="1009" max="1009" width="7.875" style="3088" customWidth="1"/>
    <col min="1010" max="1013" width="6.625" style="3088" customWidth="1"/>
    <col min="1014" max="1014" width="6.875" style="3088" customWidth="1"/>
    <col min="1015" max="1015" width="7.875" style="3088" customWidth="1"/>
    <col min="1016" max="1017" width="8.125" style="3088" customWidth="1"/>
    <col min="1018" max="1019" width="6.625" style="3088" customWidth="1"/>
    <col min="1020" max="1020" width="8.5" style="3088" customWidth="1"/>
    <col min="1021" max="1022" width="8.625" style="3088" customWidth="1"/>
    <col min="1023" max="1024" width="12.125" style="3088" customWidth="1"/>
    <col min="1025" max="1025" width="13" style="3088" customWidth="1"/>
    <col min="1026" max="1026" width="16.875" style="3088" customWidth="1"/>
    <col min="1027" max="1240" width="8.875" style="3088"/>
    <col min="1241" max="1242" width="7.625" style="3088" customWidth="1"/>
    <col min="1243" max="1243" width="9.125" style="3088" customWidth="1"/>
    <col min="1244" max="1247" width="8.125" style="3088" customWidth="1"/>
    <col min="1248" max="1249" width="9.5" style="3088" customWidth="1"/>
    <col min="1250" max="1250" width="8.125" style="3088" customWidth="1"/>
    <col min="1251" max="1251" width="6" style="3088" customWidth="1"/>
    <col min="1252" max="1252" width="7.625" style="3088" customWidth="1"/>
    <col min="1253" max="1253" width="7.125" style="3088" customWidth="1"/>
    <col min="1254" max="1254" width="6.875" style="3088" customWidth="1"/>
    <col min="1255" max="1255" width="7.125" style="3088" customWidth="1"/>
    <col min="1256" max="1260" width="6.125" style="3088" customWidth="1"/>
    <col min="1261" max="1261" width="7.125" style="3088" customWidth="1"/>
    <col min="1262" max="1262" width="6.625" style="3088" customWidth="1"/>
    <col min="1263" max="1264" width="7.125" style="3088" customWidth="1"/>
    <col min="1265" max="1265" width="7.875" style="3088" customWidth="1"/>
    <col min="1266" max="1269" width="6.625" style="3088" customWidth="1"/>
    <col min="1270" max="1270" width="6.875" style="3088" customWidth="1"/>
    <col min="1271" max="1271" width="7.875" style="3088" customWidth="1"/>
    <col min="1272" max="1273" width="8.125" style="3088" customWidth="1"/>
    <col min="1274" max="1275" width="6.625" style="3088" customWidth="1"/>
    <col min="1276" max="1276" width="8.5" style="3088" customWidth="1"/>
    <col min="1277" max="1278" width="8.625" style="3088" customWidth="1"/>
    <col min="1279" max="1280" width="12.125" style="3088" customWidth="1"/>
    <col min="1281" max="1281" width="13" style="3088" customWidth="1"/>
    <col min="1282" max="1282" width="16.875" style="3088" customWidth="1"/>
    <col min="1283" max="1496" width="8.875" style="3088"/>
    <col min="1497" max="1498" width="7.625" style="3088" customWidth="1"/>
    <col min="1499" max="1499" width="9.125" style="3088" customWidth="1"/>
    <col min="1500" max="1503" width="8.125" style="3088" customWidth="1"/>
    <col min="1504" max="1505" width="9.5" style="3088" customWidth="1"/>
    <col min="1506" max="1506" width="8.125" style="3088" customWidth="1"/>
    <col min="1507" max="1507" width="6" style="3088" customWidth="1"/>
    <col min="1508" max="1508" width="7.625" style="3088" customWidth="1"/>
    <col min="1509" max="1509" width="7.125" style="3088" customWidth="1"/>
    <col min="1510" max="1510" width="6.875" style="3088" customWidth="1"/>
    <col min="1511" max="1511" width="7.125" style="3088" customWidth="1"/>
    <col min="1512" max="1516" width="6.125" style="3088" customWidth="1"/>
    <col min="1517" max="1517" width="7.125" style="3088" customWidth="1"/>
    <col min="1518" max="1518" width="6.625" style="3088" customWidth="1"/>
    <col min="1519" max="1520" width="7.125" style="3088" customWidth="1"/>
    <col min="1521" max="1521" width="7.875" style="3088" customWidth="1"/>
    <col min="1522" max="1525" width="6.625" style="3088" customWidth="1"/>
    <col min="1526" max="1526" width="6.875" style="3088" customWidth="1"/>
    <col min="1527" max="1527" width="7.875" style="3088" customWidth="1"/>
    <col min="1528" max="1529" width="8.125" style="3088" customWidth="1"/>
    <col min="1530" max="1531" width="6.625" style="3088" customWidth="1"/>
    <col min="1532" max="1532" width="8.5" style="3088" customWidth="1"/>
    <col min="1533" max="1534" width="8.625" style="3088" customWidth="1"/>
    <col min="1535" max="1536" width="12.125" style="3088" customWidth="1"/>
    <col min="1537" max="1537" width="13" style="3088" customWidth="1"/>
    <col min="1538" max="1538" width="16.875" style="3088" customWidth="1"/>
    <col min="1539" max="1752" width="8.875" style="3088"/>
    <col min="1753" max="1754" width="7.625" style="3088" customWidth="1"/>
    <col min="1755" max="1755" width="9.125" style="3088" customWidth="1"/>
    <col min="1756" max="1759" width="8.125" style="3088" customWidth="1"/>
    <col min="1760" max="1761" width="9.5" style="3088" customWidth="1"/>
    <col min="1762" max="1762" width="8.125" style="3088" customWidth="1"/>
    <col min="1763" max="1763" width="6" style="3088" customWidth="1"/>
    <col min="1764" max="1764" width="7.625" style="3088" customWidth="1"/>
    <col min="1765" max="1765" width="7.125" style="3088" customWidth="1"/>
    <col min="1766" max="1766" width="6.875" style="3088" customWidth="1"/>
    <col min="1767" max="1767" width="7.125" style="3088" customWidth="1"/>
    <col min="1768" max="1772" width="6.125" style="3088" customWidth="1"/>
    <col min="1773" max="1773" width="7.125" style="3088" customWidth="1"/>
    <col min="1774" max="1774" width="6.625" style="3088" customWidth="1"/>
    <col min="1775" max="1776" width="7.125" style="3088" customWidth="1"/>
    <col min="1777" max="1777" width="7.875" style="3088" customWidth="1"/>
    <col min="1778" max="1781" width="6.625" style="3088" customWidth="1"/>
    <col min="1782" max="1782" width="6.875" style="3088" customWidth="1"/>
    <col min="1783" max="1783" width="7.875" style="3088" customWidth="1"/>
    <col min="1784" max="1785" width="8.125" style="3088" customWidth="1"/>
    <col min="1786" max="1787" width="6.625" style="3088" customWidth="1"/>
    <col min="1788" max="1788" width="8.5" style="3088" customWidth="1"/>
    <col min="1789" max="1790" width="8.625" style="3088" customWidth="1"/>
    <col min="1791" max="1792" width="12.125" style="3088" customWidth="1"/>
    <col min="1793" max="1793" width="13" style="3088" customWidth="1"/>
    <col min="1794" max="1794" width="16.875" style="3088" customWidth="1"/>
    <col min="1795" max="2008" width="8.875" style="3088"/>
    <col min="2009" max="2010" width="7.625" style="3088" customWidth="1"/>
    <col min="2011" max="2011" width="9.125" style="3088" customWidth="1"/>
    <col min="2012" max="2015" width="8.125" style="3088" customWidth="1"/>
    <col min="2016" max="2017" width="9.5" style="3088" customWidth="1"/>
    <col min="2018" max="2018" width="8.125" style="3088" customWidth="1"/>
    <col min="2019" max="2019" width="6" style="3088" customWidth="1"/>
    <col min="2020" max="2020" width="7.625" style="3088" customWidth="1"/>
    <col min="2021" max="2021" width="7.125" style="3088" customWidth="1"/>
    <col min="2022" max="2022" width="6.875" style="3088" customWidth="1"/>
    <col min="2023" max="2023" width="7.125" style="3088" customWidth="1"/>
    <col min="2024" max="2028" width="6.125" style="3088" customWidth="1"/>
    <col min="2029" max="2029" width="7.125" style="3088" customWidth="1"/>
    <col min="2030" max="2030" width="6.625" style="3088" customWidth="1"/>
    <col min="2031" max="2032" width="7.125" style="3088" customWidth="1"/>
    <col min="2033" max="2033" width="7.875" style="3088" customWidth="1"/>
    <col min="2034" max="2037" width="6.625" style="3088" customWidth="1"/>
    <col min="2038" max="2038" width="6.875" style="3088" customWidth="1"/>
    <col min="2039" max="2039" width="7.875" style="3088" customWidth="1"/>
    <col min="2040" max="2041" width="8.125" style="3088" customWidth="1"/>
    <col min="2042" max="2043" width="6.625" style="3088" customWidth="1"/>
    <col min="2044" max="2044" width="8.5" style="3088" customWidth="1"/>
    <col min="2045" max="2046" width="8.625" style="3088" customWidth="1"/>
    <col min="2047" max="2048" width="12.125" style="3088" customWidth="1"/>
    <col min="2049" max="2049" width="13" style="3088" customWidth="1"/>
    <col min="2050" max="2050" width="16.875" style="3088" customWidth="1"/>
    <col min="2051" max="2264" width="8.875" style="3088"/>
    <col min="2265" max="2266" width="7.625" style="3088" customWidth="1"/>
    <col min="2267" max="2267" width="9.125" style="3088" customWidth="1"/>
    <col min="2268" max="2271" width="8.125" style="3088" customWidth="1"/>
    <col min="2272" max="2273" width="9.5" style="3088" customWidth="1"/>
    <col min="2274" max="2274" width="8.125" style="3088" customWidth="1"/>
    <col min="2275" max="2275" width="6" style="3088" customWidth="1"/>
    <col min="2276" max="2276" width="7.625" style="3088" customWidth="1"/>
    <col min="2277" max="2277" width="7.125" style="3088" customWidth="1"/>
    <col min="2278" max="2278" width="6.875" style="3088" customWidth="1"/>
    <col min="2279" max="2279" width="7.125" style="3088" customWidth="1"/>
    <col min="2280" max="2284" width="6.125" style="3088" customWidth="1"/>
    <col min="2285" max="2285" width="7.125" style="3088" customWidth="1"/>
    <col min="2286" max="2286" width="6.625" style="3088" customWidth="1"/>
    <col min="2287" max="2288" width="7.125" style="3088" customWidth="1"/>
    <col min="2289" max="2289" width="7.875" style="3088" customWidth="1"/>
    <col min="2290" max="2293" width="6.625" style="3088" customWidth="1"/>
    <col min="2294" max="2294" width="6.875" style="3088" customWidth="1"/>
    <col min="2295" max="2295" width="7.875" style="3088" customWidth="1"/>
    <col min="2296" max="2297" width="8.125" style="3088" customWidth="1"/>
    <col min="2298" max="2299" width="6.625" style="3088" customWidth="1"/>
    <col min="2300" max="2300" width="8.5" style="3088" customWidth="1"/>
    <col min="2301" max="2302" width="8.625" style="3088" customWidth="1"/>
    <col min="2303" max="2304" width="12.125" style="3088" customWidth="1"/>
    <col min="2305" max="2305" width="13" style="3088" customWidth="1"/>
    <col min="2306" max="2306" width="16.875" style="3088" customWidth="1"/>
    <col min="2307" max="2520" width="8.875" style="3088"/>
    <col min="2521" max="2522" width="7.625" style="3088" customWidth="1"/>
    <col min="2523" max="2523" width="9.125" style="3088" customWidth="1"/>
    <col min="2524" max="2527" width="8.125" style="3088" customWidth="1"/>
    <col min="2528" max="2529" width="9.5" style="3088" customWidth="1"/>
    <col min="2530" max="2530" width="8.125" style="3088" customWidth="1"/>
    <col min="2531" max="2531" width="6" style="3088" customWidth="1"/>
    <col min="2532" max="2532" width="7.625" style="3088" customWidth="1"/>
    <col min="2533" max="2533" width="7.125" style="3088" customWidth="1"/>
    <col min="2534" max="2534" width="6.875" style="3088" customWidth="1"/>
    <col min="2535" max="2535" width="7.125" style="3088" customWidth="1"/>
    <col min="2536" max="2540" width="6.125" style="3088" customWidth="1"/>
    <col min="2541" max="2541" width="7.125" style="3088" customWidth="1"/>
    <col min="2542" max="2542" width="6.625" style="3088" customWidth="1"/>
    <col min="2543" max="2544" width="7.125" style="3088" customWidth="1"/>
    <col min="2545" max="2545" width="7.875" style="3088" customWidth="1"/>
    <col min="2546" max="2549" width="6.625" style="3088" customWidth="1"/>
    <col min="2550" max="2550" width="6.875" style="3088" customWidth="1"/>
    <col min="2551" max="2551" width="7.875" style="3088" customWidth="1"/>
    <col min="2552" max="2553" width="8.125" style="3088" customWidth="1"/>
    <col min="2554" max="2555" width="6.625" style="3088" customWidth="1"/>
    <col min="2556" max="2556" width="8.5" style="3088" customWidth="1"/>
    <col min="2557" max="2558" width="8.625" style="3088" customWidth="1"/>
    <col min="2559" max="2560" width="12.125" style="3088" customWidth="1"/>
    <col min="2561" max="2561" width="13" style="3088" customWidth="1"/>
    <col min="2562" max="2562" width="16.875" style="3088" customWidth="1"/>
    <col min="2563" max="2776" width="8.875" style="3088"/>
    <col min="2777" max="2778" width="7.625" style="3088" customWidth="1"/>
    <col min="2779" max="2779" width="9.125" style="3088" customWidth="1"/>
    <col min="2780" max="2783" width="8.125" style="3088" customWidth="1"/>
    <col min="2784" max="2785" width="9.5" style="3088" customWidth="1"/>
    <col min="2786" max="2786" width="8.125" style="3088" customWidth="1"/>
    <col min="2787" max="2787" width="6" style="3088" customWidth="1"/>
    <col min="2788" max="2788" width="7.625" style="3088" customWidth="1"/>
    <col min="2789" max="2789" width="7.125" style="3088" customWidth="1"/>
    <col min="2790" max="2790" width="6.875" style="3088" customWidth="1"/>
    <col min="2791" max="2791" width="7.125" style="3088" customWidth="1"/>
    <col min="2792" max="2796" width="6.125" style="3088" customWidth="1"/>
    <col min="2797" max="2797" width="7.125" style="3088" customWidth="1"/>
    <col min="2798" max="2798" width="6.625" style="3088" customWidth="1"/>
    <col min="2799" max="2800" width="7.125" style="3088" customWidth="1"/>
    <col min="2801" max="2801" width="7.875" style="3088" customWidth="1"/>
    <col min="2802" max="2805" width="6.625" style="3088" customWidth="1"/>
    <col min="2806" max="2806" width="6.875" style="3088" customWidth="1"/>
    <col min="2807" max="2807" width="7.875" style="3088" customWidth="1"/>
    <col min="2808" max="2809" width="8.125" style="3088" customWidth="1"/>
    <col min="2810" max="2811" width="6.625" style="3088" customWidth="1"/>
    <col min="2812" max="2812" width="8.5" style="3088" customWidth="1"/>
    <col min="2813" max="2814" width="8.625" style="3088" customWidth="1"/>
    <col min="2815" max="2816" width="12.125" style="3088" customWidth="1"/>
    <col min="2817" max="2817" width="13" style="3088" customWidth="1"/>
    <col min="2818" max="2818" width="16.875" style="3088" customWidth="1"/>
    <col min="2819" max="3032" width="8.875" style="3088"/>
    <col min="3033" max="3034" width="7.625" style="3088" customWidth="1"/>
    <col min="3035" max="3035" width="9.125" style="3088" customWidth="1"/>
    <col min="3036" max="3039" width="8.125" style="3088" customWidth="1"/>
    <col min="3040" max="3041" width="9.5" style="3088" customWidth="1"/>
    <col min="3042" max="3042" width="8.125" style="3088" customWidth="1"/>
    <col min="3043" max="3043" width="6" style="3088" customWidth="1"/>
    <col min="3044" max="3044" width="7.625" style="3088" customWidth="1"/>
    <col min="3045" max="3045" width="7.125" style="3088" customWidth="1"/>
    <col min="3046" max="3046" width="6.875" style="3088" customWidth="1"/>
    <col min="3047" max="3047" width="7.125" style="3088" customWidth="1"/>
    <col min="3048" max="3052" width="6.125" style="3088" customWidth="1"/>
    <col min="3053" max="3053" width="7.125" style="3088" customWidth="1"/>
    <col min="3054" max="3054" width="6.625" style="3088" customWidth="1"/>
    <col min="3055" max="3056" width="7.125" style="3088" customWidth="1"/>
    <col min="3057" max="3057" width="7.875" style="3088" customWidth="1"/>
    <col min="3058" max="3061" width="6.625" style="3088" customWidth="1"/>
    <col min="3062" max="3062" width="6.875" style="3088" customWidth="1"/>
    <col min="3063" max="3063" width="7.875" style="3088" customWidth="1"/>
    <col min="3064" max="3065" width="8.125" style="3088" customWidth="1"/>
    <col min="3066" max="3067" width="6.625" style="3088" customWidth="1"/>
    <col min="3068" max="3068" width="8.5" style="3088" customWidth="1"/>
    <col min="3069" max="3070" width="8.625" style="3088" customWidth="1"/>
    <col min="3071" max="3072" width="12.125" style="3088" customWidth="1"/>
    <col min="3073" max="3073" width="13" style="3088" customWidth="1"/>
    <col min="3074" max="3074" width="16.875" style="3088" customWidth="1"/>
    <col min="3075" max="3288" width="8.875" style="3088"/>
    <col min="3289" max="3290" width="7.625" style="3088" customWidth="1"/>
    <col min="3291" max="3291" width="9.125" style="3088" customWidth="1"/>
    <col min="3292" max="3295" width="8.125" style="3088" customWidth="1"/>
    <col min="3296" max="3297" width="9.5" style="3088" customWidth="1"/>
    <col min="3298" max="3298" width="8.125" style="3088" customWidth="1"/>
    <col min="3299" max="3299" width="6" style="3088" customWidth="1"/>
    <col min="3300" max="3300" width="7.625" style="3088" customWidth="1"/>
    <col min="3301" max="3301" width="7.125" style="3088" customWidth="1"/>
    <col min="3302" max="3302" width="6.875" style="3088" customWidth="1"/>
    <col min="3303" max="3303" width="7.125" style="3088" customWidth="1"/>
    <col min="3304" max="3308" width="6.125" style="3088" customWidth="1"/>
    <col min="3309" max="3309" width="7.125" style="3088" customWidth="1"/>
    <col min="3310" max="3310" width="6.625" style="3088" customWidth="1"/>
    <col min="3311" max="3312" width="7.125" style="3088" customWidth="1"/>
    <col min="3313" max="3313" width="7.875" style="3088" customWidth="1"/>
    <col min="3314" max="3317" width="6.625" style="3088" customWidth="1"/>
    <col min="3318" max="3318" width="6.875" style="3088" customWidth="1"/>
    <col min="3319" max="3319" width="7.875" style="3088" customWidth="1"/>
    <col min="3320" max="3321" width="8.125" style="3088" customWidth="1"/>
    <col min="3322" max="3323" width="6.625" style="3088" customWidth="1"/>
    <col min="3324" max="3324" width="8.5" style="3088" customWidth="1"/>
    <col min="3325" max="3326" width="8.625" style="3088" customWidth="1"/>
    <col min="3327" max="3328" width="12.125" style="3088" customWidth="1"/>
    <col min="3329" max="3329" width="13" style="3088" customWidth="1"/>
    <col min="3330" max="3330" width="16.875" style="3088" customWidth="1"/>
    <col min="3331" max="3544" width="8.875" style="3088"/>
    <col min="3545" max="3546" width="7.625" style="3088" customWidth="1"/>
    <col min="3547" max="3547" width="9.125" style="3088" customWidth="1"/>
    <col min="3548" max="3551" width="8.125" style="3088" customWidth="1"/>
    <col min="3552" max="3553" width="9.5" style="3088" customWidth="1"/>
    <col min="3554" max="3554" width="8.125" style="3088" customWidth="1"/>
    <col min="3555" max="3555" width="6" style="3088" customWidth="1"/>
    <col min="3556" max="3556" width="7.625" style="3088" customWidth="1"/>
    <col min="3557" max="3557" width="7.125" style="3088" customWidth="1"/>
    <col min="3558" max="3558" width="6.875" style="3088" customWidth="1"/>
    <col min="3559" max="3559" width="7.125" style="3088" customWidth="1"/>
    <col min="3560" max="3564" width="6.125" style="3088" customWidth="1"/>
    <col min="3565" max="3565" width="7.125" style="3088" customWidth="1"/>
    <col min="3566" max="3566" width="6.625" style="3088" customWidth="1"/>
    <col min="3567" max="3568" width="7.125" style="3088" customWidth="1"/>
    <col min="3569" max="3569" width="7.875" style="3088" customWidth="1"/>
    <col min="3570" max="3573" width="6.625" style="3088" customWidth="1"/>
    <col min="3574" max="3574" width="6.875" style="3088" customWidth="1"/>
    <col min="3575" max="3575" width="7.875" style="3088" customWidth="1"/>
    <col min="3576" max="3577" width="8.125" style="3088" customWidth="1"/>
    <col min="3578" max="3579" width="6.625" style="3088" customWidth="1"/>
    <col min="3580" max="3580" width="8.5" style="3088" customWidth="1"/>
    <col min="3581" max="3582" width="8.625" style="3088" customWidth="1"/>
    <col min="3583" max="3584" width="12.125" style="3088" customWidth="1"/>
    <col min="3585" max="3585" width="13" style="3088" customWidth="1"/>
    <col min="3586" max="3586" width="16.875" style="3088" customWidth="1"/>
    <col min="3587" max="3800" width="8.875" style="3088"/>
    <col min="3801" max="3802" width="7.625" style="3088" customWidth="1"/>
    <col min="3803" max="3803" width="9.125" style="3088" customWidth="1"/>
    <col min="3804" max="3807" width="8.125" style="3088" customWidth="1"/>
    <col min="3808" max="3809" width="9.5" style="3088" customWidth="1"/>
    <col min="3810" max="3810" width="8.125" style="3088" customWidth="1"/>
    <col min="3811" max="3811" width="6" style="3088" customWidth="1"/>
    <col min="3812" max="3812" width="7.625" style="3088" customWidth="1"/>
    <col min="3813" max="3813" width="7.125" style="3088" customWidth="1"/>
    <col min="3814" max="3814" width="6.875" style="3088" customWidth="1"/>
    <col min="3815" max="3815" width="7.125" style="3088" customWidth="1"/>
    <col min="3816" max="3820" width="6.125" style="3088" customWidth="1"/>
    <col min="3821" max="3821" width="7.125" style="3088" customWidth="1"/>
    <col min="3822" max="3822" width="6.625" style="3088" customWidth="1"/>
    <col min="3823" max="3824" width="7.125" style="3088" customWidth="1"/>
    <col min="3825" max="3825" width="7.875" style="3088" customWidth="1"/>
    <col min="3826" max="3829" width="6.625" style="3088" customWidth="1"/>
    <col min="3830" max="3830" width="6.875" style="3088" customWidth="1"/>
    <col min="3831" max="3831" width="7.875" style="3088" customWidth="1"/>
    <col min="3832" max="3833" width="8.125" style="3088" customWidth="1"/>
    <col min="3834" max="3835" width="6.625" style="3088" customWidth="1"/>
    <col min="3836" max="3836" width="8.5" style="3088" customWidth="1"/>
    <col min="3837" max="3838" width="8.625" style="3088" customWidth="1"/>
    <col min="3839" max="3840" width="12.125" style="3088" customWidth="1"/>
    <col min="3841" max="3841" width="13" style="3088" customWidth="1"/>
    <col min="3842" max="3842" width="16.875" style="3088" customWidth="1"/>
    <col min="3843" max="4056" width="8.875" style="3088"/>
    <col min="4057" max="4058" width="7.625" style="3088" customWidth="1"/>
    <col min="4059" max="4059" width="9.125" style="3088" customWidth="1"/>
    <col min="4060" max="4063" width="8.125" style="3088" customWidth="1"/>
    <col min="4064" max="4065" width="9.5" style="3088" customWidth="1"/>
    <col min="4066" max="4066" width="8.125" style="3088" customWidth="1"/>
    <col min="4067" max="4067" width="6" style="3088" customWidth="1"/>
    <col min="4068" max="4068" width="7.625" style="3088" customWidth="1"/>
    <col min="4069" max="4069" width="7.125" style="3088" customWidth="1"/>
    <col min="4070" max="4070" width="6.875" style="3088" customWidth="1"/>
    <col min="4071" max="4071" width="7.125" style="3088" customWidth="1"/>
    <col min="4072" max="4076" width="6.125" style="3088" customWidth="1"/>
    <col min="4077" max="4077" width="7.125" style="3088" customWidth="1"/>
    <col min="4078" max="4078" width="6.625" style="3088" customWidth="1"/>
    <col min="4079" max="4080" width="7.125" style="3088" customWidth="1"/>
    <col min="4081" max="4081" width="7.875" style="3088" customWidth="1"/>
    <col min="4082" max="4085" width="6.625" style="3088" customWidth="1"/>
    <col min="4086" max="4086" width="6.875" style="3088" customWidth="1"/>
    <col min="4087" max="4087" width="7.875" style="3088" customWidth="1"/>
    <col min="4088" max="4089" width="8.125" style="3088" customWidth="1"/>
    <col min="4090" max="4091" width="6.625" style="3088" customWidth="1"/>
    <col min="4092" max="4092" width="8.5" style="3088" customWidth="1"/>
    <col min="4093" max="4094" width="8.625" style="3088" customWidth="1"/>
    <col min="4095" max="4096" width="12.125" style="3088" customWidth="1"/>
    <col min="4097" max="4097" width="13" style="3088" customWidth="1"/>
    <col min="4098" max="4098" width="16.875" style="3088" customWidth="1"/>
    <col min="4099" max="4312" width="8.875" style="3088"/>
    <col min="4313" max="4314" width="7.625" style="3088" customWidth="1"/>
    <col min="4315" max="4315" width="9.125" style="3088" customWidth="1"/>
    <col min="4316" max="4319" width="8.125" style="3088" customWidth="1"/>
    <col min="4320" max="4321" width="9.5" style="3088" customWidth="1"/>
    <col min="4322" max="4322" width="8.125" style="3088" customWidth="1"/>
    <col min="4323" max="4323" width="6" style="3088" customWidth="1"/>
    <col min="4324" max="4324" width="7.625" style="3088" customWidth="1"/>
    <col min="4325" max="4325" width="7.125" style="3088" customWidth="1"/>
    <col min="4326" max="4326" width="6.875" style="3088" customWidth="1"/>
    <col min="4327" max="4327" width="7.125" style="3088" customWidth="1"/>
    <col min="4328" max="4332" width="6.125" style="3088" customWidth="1"/>
    <col min="4333" max="4333" width="7.125" style="3088" customWidth="1"/>
    <col min="4334" max="4334" width="6.625" style="3088" customWidth="1"/>
    <col min="4335" max="4336" width="7.125" style="3088" customWidth="1"/>
    <col min="4337" max="4337" width="7.875" style="3088" customWidth="1"/>
    <col min="4338" max="4341" width="6.625" style="3088" customWidth="1"/>
    <col min="4342" max="4342" width="6.875" style="3088" customWidth="1"/>
    <col min="4343" max="4343" width="7.875" style="3088" customWidth="1"/>
    <col min="4344" max="4345" width="8.125" style="3088" customWidth="1"/>
    <col min="4346" max="4347" width="6.625" style="3088" customWidth="1"/>
    <col min="4348" max="4348" width="8.5" style="3088" customWidth="1"/>
    <col min="4349" max="4350" width="8.625" style="3088" customWidth="1"/>
    <col min="4351" max="4352" width="12.125" style="3088" customWidth="1"/>
    <col min="4353" max="4353" width="13" style="3088" customWidth="1"/>
    <col min="4354" max="4354" width="16.875" style="3088" customWidth="1"/>
    <col min="4355" max="4568" width="8.875" style="3088"/>
    <col min="4569" max="4570" width="7.625" style="3088" customWidth="1"/>
    <col min="4571" max="4571" width="9.125" style="3088" customWidth="1"/>
    <col min="4572" max="4575" width="8.125" style="3088" customWidth="1"/>
    <col min="4576" max="4577" width="9.5" style="3088" customWidth="1"/>
    <col min="4578" max="4578" width="8.125" style="3088" customWidth="1"/>
    <col min="4579" max="4579" width="6" style="3088" customWidth="1"/>
    <col min="4580" max="4580" width="7.625" style="3088" customWidth="1"/>
    <col min="4581" max="4581" width="7.125" style="3088" customWidth="1"/>
    <col min="4582" max="4582" width="6.875" style="3088" customWidth="1"/>
    <col min="4583" max="4583" width="7.125" style="3088" customWidth="1"/>
    <col min="4584" max="4588" width="6.125" style="3088" customWidth="1"/>
    <col min="4589" max="4589" width="7.125" style="3088" customWidth="1"/>
    <col min="4590" max="4590" width="6.625" style="3088" customWidth="1"/>
    <col min="4591" max="4592" width="7.125" style="3088" customWidth="1"/>
    <col min="4593" max="4593" width="7.875" style="3088" customWidth="1"/>
    <col min="4594" max="4597" width="6.625" style="3088" customWidth="1"/>
    <col min="4598" max="4598" width="6.875" style="3088" customWidth="1"/>
    <col min="4599" max="4599" width="7.875" style="3088" customWidth="1"/>
    <col min="4600" max="4601" width="8.125" style="3088" customWidth="1"/>
    <col min="4602" max="4603" width="6.625" style="3088" customWidth="1"/>
    <col min="4604" max="4604" width="8.5" style="3088" customWidth="1"/>
    <col min="4605" max="4606" width="8.625" style="3088" customWidth="1"/>
    <col min="4607" max="4608" width="12.125" style="3088" customWidth="1"/>
    <col min="4609" max="4609" width="13" style="3088" customWidth="1"/>
    <col min="4610" max="4610" width="16.875" style="3088" customWidth="1"/>
    <col min="4611" max="4824" width="8.875" style="3088"/>
    <col min="4825" max="4826" width="7.625" style="3088" customWidth="1"/>
    <col min="4827" max="4827" width="9.125" style="3088" customWidth="1"/>
    <col min="4828" max="4831" width="8.125" style="3088" customWidth="1"/>
    <col min="4832" max="4833" width="9.5" style="3088" customWidth="1"/>
    <col min="4834" max="4834" width="8.125" style="3088" customWidth="1"/>
    <col min="4835" max="4835" width="6" style="3088" customWidth="1"/>
    <col min="4836" max="4836" width="7.625" style="3088" customWidth="1"/>
    <col min="4837" max="4837" width="7.125" style="3088" customWidth="1"/>
    <col min="4838" max="4838" width="6.875" style="3088" customWidth="1"/>
    <col min="4839" max="4839" width="7.125" style="3088" customWidth="1"/>
    <col min="4840" max="4844" width="6.125" style="3088" customWidth="1"/>
    <col min="4845" max="4845" width="7.125" style="3088" customWidth="1"/>
    <col min="4846" max="4846" width="6.625" style="3088" customWidth="1"/>
    <col min="4847" max="4848" width="7.125" style="3088" customWidth="1"/>
    <col min="4849" max="4849" width="7.875" style="3088" customWidth="1"/>
    <col min="4850" max="4853" width="6.625" style="3088" customWidth="1"/>
    <col min="4854" max="4854" width="6.875" style="3088" customWidth="1"/>
    <col min="4855" max="4855" width="7.875" style="3088" customWidth="1"/>
    <col min="4856" max="4857" width="8.125" style="3088" customWidth="1"/>
    <col min="4858" max="4859" width="6.625" style="3088" customWidth="1"/>
    <col min="4860" max="4860" width="8.5" style="3088" customWidth="1"/>
    <col min="4861" max="4862" width="8.625" style="3088" customWidth="1"/>
    <col min="4863" max="4864" width="12.125" style="3088" customWidth="1"/>
    <col min="4865" max="4865" width="13" style="3088" customWidth="1"/>
    <col min="4866" max="4866" width="16.875" style="3088" customWidth="1"/>
    <col min="4867" max="5080" width="8.875" style="3088"/>
    <col min="5081" max="5082" width="7.625" style="3088" customWidth="1"/>
    <col min="5083" max="5083" width="9.125" style="3088" customWidth="1"/>
    <col min="5084" max="5087" width="8.125" style="3088" customWidth="1"/>
    <col min="5088" max="5089" width="9.5" style="3088" customWidth="1"/>
    <col min="5090" max="5090" width="8.125" style="3088" customWidth="1"/>
    <col min="5091" max="5091" width="6" style="3088" customWidth="1"/>
    <col min="5092" max="5092" width="7.625" style="3088" customWidth="1"/>
    <col min="5093" max="5093" width="7.125" style="3088" customWidth="1"/>
    <col min="5094" max="5094" width="6.875" style="3088" customWidth="1"/>
    <col min="5095" max="5095" width="7.125" style="3088" customWidth="1"/>
    <col min="5096" max="5100" width="6.125" style="3088" customWidth="1"/>
    <col min="5101" max="5101" width="7.125" style="3088" customWidth="1"/>
    <col min="5102" max="5102" width="6.625" style="3088" customWidth="1"/>
    <col min="5103" max="5104" width="7.125" style="3088" customWidth="1"/>
    <col min="5105" max="5105" width="7.875" style="3088" customWidth="1"/>
    <col min="5106" max="5109" width="6.625" style="3088" customWidth="1"/>
    <col min="5110" max="5110" width="6.875" style="3088" customWidth="1"/>
    <col min="5111" max="5111" width="7.875" style="3088" customWidth="1"/>
    <col min="5112" max="5113" width="8.125" style="3088" customWidth="1"/>
    <col min="5114" max="5115" width="6.625" style="3088" customWidth="1"/>
    <col min="5116" max="5116" width="8.5" style="3088" customWidth="1"/>
    <col min="5117" max="5118" width="8.625" style="3088" customWidth="1"/>
    <col min="5119" max="5120" width="12.125" style="3088" customWidth="1"/>
    <col min="5121" max="5121" width="13" style="3088" customWidth="1"/>
    <col min="5122" max="5122" width="16.875" style="3088" customWidth="1"/>
    <col min="5123" max="5336" width="8.875" style="3088"/>
    <col min="5337" max="5338" width="7.625" style="3088" customWidth="1"/>
    <col min="5339" max="5339" width="9.125" style="3088" customWidth="1"/>
    <col min="5340" max="5343" width="8.125" style="3088" customWidth="1"/>
    <col min="5344" max="5345" width="9.5" style="3088" customWidth="1"/>
    <col min="5346" max="5346" width="8.125" style="3088" customWidth="1"/>
    <col min="5347" max="5347" width="6" style="3088" customWidth="1"/>
    <col min="5348" max="5348" width="7.625" style="3088" customWidth="1"/>
    <col min="5349" max="5349" width="7.125" style="3088" customWidth="1"/>
    <col min="5350" max="5350" width="6.875" style="3088" customWidth="1"/>
    <col min="5351" max="5351" width="7.125" style="3088" customWidth="1"/>
    <col min="5352" max="5356" width="6.125" style="3088" customWidth="1"/>
    <col min="5357" max="5357" width="7.125" style="3088" customWidth="1"/>
    <col min="5358" max="5358" width="6.625" style="3088" customWidth="1"/>
    <col min="5359" max="5360" width="7.125" style="3088" customWidth="1"/>
    <col min="5361" max="5361" width="7.875" style="3088" customWidth="1"/>
    <col min="5362" max="5365" width="6.625" style="3088" customWidth="1"/>
    <col min="5366" max="5366" width="6.875" style="3088" customWidth="1"/>
    <col min="5367" max="5367" width="7.875" style="3088" customWidth="1"/>
    <col min="5368" max="5369" width="8.125" style="3088" customWidth="1"/>
    <col min="5370" max="5371" width="6.625" style="3088" customWidth="1"/>
    <col min="5372" max="5372" width="8.5" style="3088" customWidth="1"/>
    <col min="5373" max="5374" width="8.625" style="3088" customWidth="1"/>
    <col min="5375" max="5376" width="12.125" style="3088" customWidth="1"/>
    <col min="5377" max="5377" width="13" style="3088" customWidth="1"/>
    <col min="5378" max="5378" width="16.875" style="3088" customWidth="1"/>
    <col min="5379" max="5592" width="8.875" style="3088"/>
    <col min="5593" max="5594" width="7.625" style="3088" customWidth="1"/>
    <col min="5595" max="5595" width="9.125" style="3088" customWidth="1"/>
    <col min="5596" max="5599" width="8.125" style="3088" customWidth="1"/>
    <col min="5600" max="5601" width="9.5" style="3088" customWidth="1"/>
    <col min="5602" max="5602" width="8.125" style="3088" customWidth="1"/>
    <col min="5603" max="5603" width="6" style="3088" customWidth="1"/>
    <col min="5604" max="5604" width="7.625" style="3088" customWidth="1"/>
    <col min="5605" max="5605" width="7.125" style="3088" customWidth="1"/>
    <col min="5606" max="5606" width="6.875" style="3088" customWidth="1"/>
    <col min="5607" max="5607" width="7.125" style="3088" customWidth="1"/>
    <col min="5608" max="5612" width="6.125" style="3088" customWidth="1"/>
    <col min="5613" max="5613" width="7.125" style="3088" customWidth="1"/>
    <col min="5614" max="5614" width="6.625" style="3088" customWidth="1"/>
    <col min="5615" max="5616" width="7.125" style="3088" customWidth="1"/>
    <col min="5617" max="5617" width="7.875" style="3088" customWidth="1"/>
    <col min="5618" max="5621" width="6.625" style="3088" customWidth="1"/>
    <col min="5622" max="5622" width="6.875" style="3088" customWidth="1"/>
    <col min="5623" max="5623" width="7.875" style="3088" customWidth="1"/>
    <col min="5624" max="5625" width="8.125" style="3088" customWidth="1"/>
    <col min="5626" max="5627" width="6.625" style="3088" customWidth="1"/>
    <col min="5628" max="5628" width="8.5" style="3088" customWidth="1"/>
    <col min="5629" max="5630" width="8.625" style="3088" customWidth="1"/>
    <col min="5631" max="5632" width="12.125" style="3088" customWidth="1"/>
    <col min="5633" max="5633" width="13" style="3088" customWidth="1"/>
    <col min="5634" max="5634" width="16.875" style="3088" customWidth="1"/>
    <col min="5635" max="5848" width="8.875" style="3088"/>
    <col min="5849" max="5850" width="7.625" style="3088" customWidth="1"/>
    <col min="5851" max="5851" width="9.125" style="3088" customWidth="1"/>
    <col min="5852" max="5855" width="8.125" style="3088" customWidth="1"/>
    <col min="5856" max="5857" width="9.5" style="3088" customWidth="1"/>
    <col min="5858" max="5858" width="8.125" style="3088" customWidth="1"/>
    <col min="5859" max="5859" width="6" style="3088" customWidth="1"/>
    <col min="5860" max="5860" width="7.625" style="3088" customWidth="1"/>
    <col min="5861" max="5861" width="7.125" style="3088" customWidth="1"/>
    <col min="5862" max="5862" width="6.875" style="3088" customWidth="1"/>
    <col min="5863" max="5863" width="7.125" style="3088" customWidth="1"/>
    <col min="5864" max="5868" width="6.125" style="3088" customWidth="1"/>
    <col min="5869" max="5869" width="7.125" style="3088" customWidth="1"/>
    <col min="5870" max="5870" width="6.625" style="3088" customWidth="1"/>
    <col min="5871" max="5872" width="7.125" style="3088" customWidth="1"/>
    <col min="5873" max="5873" width="7.875" style="3088" customWidth="1"/>
    <col min="5874" max="5877" width="6.625" style="3088" customWidth="1"/>
    <col min="5878" max="5878" width="6.875" style="3088" customWidth="1"/>
    <col min="5879" max="5879" width="7.875" style="3088" customWidth="1"/>
    <col min="5880" max="5881" width="8.125" style="3088" customWidth="1"/>
    <col min="5882" max="5883" width="6.625" style="3088" customWidth="1"/>
    <col min="5884" max="5884" width="8.5" style="3088" customWidth="1"/>
    <col min="5885" max="5886" width="8.625" style="3088" customWidth="1"/>
    <col min="5887" max="5888" width="12.125" style="3088" customWidth="1"/>
    <col min="5889" max="5889" width="13" style="3088" customWidth="1"/>
    <col min="5890" max="5890" width="16.875" style="3088" customWidth="1"/>
    <col min="5891" max="6104" width="8.875" style="3088"/>
    <col min="6105" max="6106" width="7.625" style="3088" customWidth="1"/>
    <col min="6107" max="6107" width="9.125" style="3088" customWidth="1"/>
    <col min="6108" max="6111" width="8.125" style="3088" customWidth="1"/>
    <col min="6112" max="6113" width="9.5" style="3088" customWidth="1"/>
    <col min="6114" max="6114" width="8.125" style="3088" customWidth="1"/>
    <col min="6115" max="6115" width="6" style="3088" customWidth="1"/>
    <col min="6116" max="6116" width="7.625" style="3088" customWidth="1"/>
    <col min="6117" max="6117" width="7.125" style="3088" customWidth="1"/>
    <col min="6118" max="6118" width="6.875" style="3088" customWidth="1"/>
    <col min="6119" max="6119" width="7.125" style="3088" customWidth="1"/>
    <col min="6120" max="6124" width="6.125" style="3088" customWidth="1"/>
    <col min="6125" max="6125" width="7.125" style="3088" customWidth="1"/>
    <col min="6126" max="6126" width="6.625" style="3088" customWidth="1"/>
    <col min="6127" max="6128" width="7.125" style="3088" customWidth="1"/>
    <col min="6129" max="6129" width="7.875" style="3088" customWidth="1"/>
    <col min="6130" max="6133" width="6.625" style="3088" customWidth="1"/>
    <col min="6134" max="6134" width="6.875" style="3088" customWidth="1"/>
    <col min="6135" max="6135" width="7.875" style="3088" customWidth="1"/>
    <col min="6136" max="6137" width="8.125" style="3088" customWidth="1"/>
    <col min="6138" max="6139" width="6.625" style="3088" customWidth="1"/>
    <col min="6140" max="6140" width="8.5" style="3088" customWidth="1"/>
    <col min="6141" max="6142" width="8.625" style="3088" customWidth="1"/>
    <col min="6143" max="6144" width="12.125" style="3088" customWidth="1"/>
    <col min="6145" max="6145" width="13" style="3088" customWidth="1"/>
    <col min="6146" max="6146" width="16.875" style="3088" customWidth="1"/>
    <col min="6147" max="6360" width="8.875" style="3088"/>
    <col min="6361" max="6362" width="7.625" style="3088" customWidth="1"/>
    <col min="6363" max="6363" width="9.125" style="3088" customWidth="1"/>
    <col min="6364" max="6367" width="8.125" style="3088" customWidth="1"/>
    <col min="6368" max="6369" width="9.5" style="3088" customWidth="1"/>
    <col min="6370" max="6370" width="8.125" style="3088" customWidth="1"/>
    <col min="6371" max="6371" width="6" style="3088" customWidth="1"/>
    <col min="6372" max="6372" width="7.625" style="3088" customWidth="1"/>
    <col min="6373" max="6373" width="7.125" style="3088" customWidth="1"/>
    <col min="6374" max="6374" width="6.875" style="3088" customWidth="1"/>
    <col min="6375" max="6375" width="7.125" style="3088" customWidth="1"/>
    <col min="6376" max="6380" width="6.125" style="3088" customWidth="1"/>
    <col min="6381" max="6381" width="7.125" style="3088" customWidth="1"/>
    <col min="6382" max="6382" width="6.625" style="3088" customWidth="1"/>
    <col min="6383" max="6384" width="7.125" style="3088" customWidth="1"/>
    <col min="6385" max="6385" width="7.875" style="3088" customWidth="1"/>
    <col min="6386" max="6389" width="6.625" style="3088" customWidth="1"/>
    <col min="6390" max="6390" width="6.875" style="3088" customWidth="1"/>
    <col min="6391" max="6391" width="7.875" style="3088" customWidth="1"/>
    <col min="6392" max="6393" width="8.125" style="3088" customWidth="1"/>
    <col min="6394" max="6395" width="6.625" style="3088" customWidth="1"/>
    <col min="6396" max="6396" width="8.5" style="3088" customWidth="1"/>
    <col min="6397" max="6398" width="8.625" style="3088" customWidth="1"/>
    <col min="6399" max="6400" width="12.125" style="3088" customWidth="1"/>
    <col min="6401" max="6401" width="13" style="3088" customWidth="1"/>
    <col min="6402" max="6402" width="16.875" style="3088" customWidth="1"/>
    <col min="6403" max="6616" width="8.875" style="3088"/>
    <col min="6617" max="6618" width="7.625" style="3088" customWidth="1"/>
    <col min="6619" max="6619" width="9.125" style="3088" customWidth="1"/>
    <col min="6620" max="6623" width="8.125" style="3088" customWidth="1"/>
    <col min="6624" max="6625" width="9.5" style="3088" customWidth="1"/>
    <col min="6626" max="6626" width="8.125" style="3088" customWidth="1"/>
    <col min="6627" max="6627" width="6" style="3088" customWidth="1"/>
    <col min="6628" max="6628" width="7.625" style="3088" customWidth="1"/>
    <col min="6629" max="6629" width="7.125" style="3088" customWidth="1"/>
    <col min="6630" max="6630" width="6.875" style="3088" customWidth="1"/>
    <col min="6631" max="6631" width="7.125" style="3088" customWidth="1"/>
    <col min="6632" max="6636" width="6.125" style="3088" customWidth="1"/>
    <col min="6637" max="6637" width="7.125" style="3088" customWidth="1"/>
    <col min="6638" max="6638" width="6.625" style="3088" customWidth="1"/>
    <col min="6639" max="6640" width="7.125" style="3088" customWidth="1"/>
    <col min="6641" max="6641" width="7.875" style="3088" customWidth="1"/>
    <col min="6642" max="6645" width="6.625" style="3088" customWidth="1"/>
    <col min="6646" max="6646" width="6.875" style="3088" customWidth="1"/>
    <col min="6647" max="6647" width="7.875" style="3088" customWidth="1"/>
    <col min="6648" max="6649" width="8.125" style="3088" customWidth="1"/>
    <col min="6650" max="6651" width="6.625" style="3088" customWidth="1"/>
    <col min="6652" max="6652" width="8.5" style="3088" customWidth="1"/>
    <col min="6653" max="6654" width="8.625" style="3088" customWidth="1"/>
    <col min="6655" max="6656" width="12.125" style="3088" customWidth="1"/>
    <col min="6657" max="6657" width="13" style="3088" customWidth="1"/>
    <col min="6658" max="6658" width="16.875" style="3088" customWidth="1"/>
    <col min="6659" max="6872" width="8.875" style="3088"/>
    <col min="6873" max="6874" width="7.625" style="3088" customWidth="1"/>
    <col min="6875" max="6875" width="9.125" style="3088" customWidth="1"/>
    <col min="6876" max="6879" width="8.125" style="3088" customWidth="1"/>
    <col min="6880" max="6881" width="9.5" style="3088" customWidth="1"/>
    <col min="6882" max="6882" width="8.125" style="3088" customWidth="1"/>
    <col min="6883" max="6883" width="6" style="3088" customWidth="1"/>
    <col min="6884" max="6884" width="7.625" style="3088" customWidth="1"/>
    <col min="6885" max="6885" width="7.125" style="3088" customWidth="1"/>
    <col min="6886" max="6886" width="6.875" style="3088" customWidth="1"/>
    <col min="6887" max="6887" width="7.125" style="3088" customWidth="1"/>
    <col min="6888" max="6892" width="6.125" style="3088" customWidth="1"/>
    <col min="6893" max="6893" width="7.125" style="3088" customWidth="1"/>
    <col min="6894" max="6894" width="6.625" style="3088" customWidth="1"/>
    <col min="6895" max="6896" width="7.125" style="3088" customWidth="1"/>
    <col min="6897" max="6897" width="7.875" style="3088" customWidth="1"/>
    <col min="6898" max="6901" width="6.625" style="3088" customWidth="1"/>
    <col min="6902" max="6902" width="6.875" style="3088" customWidth="1"/>
    <col min="6903" max="6903" width="7.875" style="3088" customWidth="1"/>
    <col min="6904" max="6905" width="8.125" style="3088" customWidth="1"/>
    <col min="6906" max="6907" width="6.625" style="3088" customWidth="1"/>
    <col min="6908" max="6908" width="8.5" style="3088" customWidth="1"/>
    <col min="6909" max="6910" width="8.625" style="3088" customWidth="1"/>
    <col min="6911" max="6912" width="12.125" style="3088" customWidth="1"/>
    <col min="6913" max="6913" width="13" style="3088" customWidth="1"/>
    <col min="6914" max="6914" width="16.875" style="3088" customWidth="1"/>
    <col min="6915" max="7128" width="8.875" style="3088"/>
    <col min="7129" max="7130" width="7.625" style="3088" customWidth="1"/>
    <col min="7131" max="7131" width="9.125" style="3088" customWidth="1"/>
    <col min="7132" max="7135" width="8.125" style="3088" customWidth="1"/>
    <col min="7136" max="7137" width="9.5" style="3088" customWidth="1"/>
    <col min="7138" max="7138" width="8.125" style="3088" customWidth="1"/>
    <col min="7139" max="7139" width="6" style="3088" customWidth="1"/>
    <col min="7140" max="7140" width="7.625" style="3088" customWidth="1"/>
    <col min="7141" max="7141" width="7.125" style="3088" customWidth="1"/>
    <col min="7142" max="7142" width="6.875" style="3088" customWidth="1"/>
    <col min="7143" max="7143" width="7.125" style="3088" customWidth="1"/>
    <col min="7144" max="7148" width="6.125" style="3088" customWidth="1"/>
    <col min="7149" max="7149" width="7.125" style="3088" customWidth="1"/>
    <col min="7150" max="7150" width="6.625" style="3088" customWidth="1"/>
    <col min="7151" max="7152" width="7.125" style="3088" customWidth="1"/>
    <col min="7153" max="7153" width="7.875" style="3088" customWidth="1"/>
    <col min="7154" max="7157" width="6.625" style="3088" customWidth="1"/>
    <col min="7158" max="7158" width="6.875" style="3088" customWidth="1"/>
    <col min="7159" max="7159" width="7.875" style="3088" customWidth="1"/>
    <col min="7160" max="7161" width="8.125" style="3088" customWidth="1"/>
    <col min="7162" max="7163" width="6.625" style="3088" customWidth="1"/>
    <col min="7164" max="7164" width="8.5" style="3088" customWidth="1"/>
    <col min="7165" max="7166" width="8.625" style="3088" customWidth="1"/>
    <col min="7167" max="7168" width="12.125" style="3088" customWidth="1"/>
    <col min="7169" max="7169" width="13" style="3088" customWidth="1"/>
    <col min="7170" max="7170" width="16.875" style="3088" customWidth="1"/>
    <col min="7171" max="7384" width="8.875" style="3088"/>
    <col min="7385" max="7386" width="7.625" style="3088" customWidth="1"/>
    <col min="7387" max="7387" width="9.125" style="3088" customWidth="1"/>
    <col min="7388" max="7391" width="8.125" style="3088" customWidth="1"/>
    <col min="7392" max="7393" width="9.5" style="3088" customWidth="1"/>
    <col min="7394" max="7394" width="8.125" style="3088" customWidth="1"/>
    <col min="7395" max="7395" width="6" style="3088" customWidth="1"/>
    <col min="7396" max="7396" width="7.625" style="3088" customWidth="1"/>
    <col min="7397" max="7397" width="7.125" style="3088" customWidth="1"/>
    <col min="7398" max="7398" width="6.875" style="3088" customWidth="1"/>
    <col min="7399" max="7399" width="7.125" style="3088" customWidth="1"/>
    <col min="7400" max="7404" width="6.125" style="3088" customWidth="1"/>
    <col min="7405" max="7405" width="7.125" style="3088" customWidth="1"/>
    <col min="7406" max="7406" width="6.625" style="3088" customWidth="1"/>
    <col min="7407" max="7408" width="7.125" style="3088" customWidth="1"/>
    <col min="7409" max="7409" width="7.875" style="3088" customWidth="1"/>
    <col min="7410" max="7413" width="6.625" style="3088" customWidth="1"/>
    <col min="7414" max="7414" width="6.875" style="3088" customWidth="1"/>
    <col min="7415" max="7415" width="7.875" style="3088" customWidth="1"/>
    <col min="7416" max="7417" width="8.125" style="3088" customWidth="1"/>
    <col min="7418" max="7419" width="6.625" style="3088" customWidth="1"/>
    <col min="7420" max="7420" width="8.5" style="3088" customWidth="1"/>
    <col min="7421" max="7422" width="8.625" style="3088" customWidth="1"/>
    <col min="7423" max="7424" width="12.125" style="3088" customWidth="1"/>
    <col min="7425" max="7425" width="13" style="3088" customWidth="1"/>
    <col min="7426" max="7426" width="16.875" style="3088" customWidth="1"/>
    <col min="7427" max="7640" width="8.875" style="3088"/>
    <col min="7641" max="7642" width="7.625" style="3088" customWidth="1"/>
    <col min="7643" max="7643" width="9.125" style="3088" customWidth="1"/>
    <col min="7644" max="7647" width="8.125" style="3088" customWidth="1"/>
    <col min="7648" max="7649" width="9.5" style="3088" customWidth="1"/>
    <col min="7650" max="7650" width="8.125" style="3088" customWidth="1"/>
    <col min="7651" max="7651" width="6" style="3088" customWidth="1"/>
    <col min="7652" max="7652" width="7.625" style="3088" customWidth="1"/>
    <col min="7653" max="7653" width="7.125" style="3088" customWidth="1"/>
    <col min="7654" max="7654" width="6.875" style="3088" customWidth="1"/>
    <col min="7655" max="7655" width="7.125" style="3088" customWidth="1"/>
    <col min="7656" max="7660" width="6.125" style="3088" customWidth="1"/>
    <col min="7661" max="7661" width="7.125" style="3088" customWidth="1"/>
    <col min="7662" max="7662" width="6.625" style="3088" customWidth="1"/>
    <col min="7663" max="7664" width="7.125" style="3088" customWidth="1"/>
    <col min="7665" max="7665" width="7.875" style="3088" customWidth="1"/>
    <col min="7666" max="7669" width="6.625" style="3088" customWidth="1"/>
    <col min="7670" max="7670" width="6.875" style="3088" customWidth="1"/>
    <col min="7671" max="7671" width="7.875" style="3088" customWidth="1"/>
    <col min="7672" max="7673" width="8.125" style="3088" customWidth="1"/>
    <col min="7674" max="7675" width="6.625" style="3088" customWidth="1"/>
    <col min="7676" max="7676" width="8.5" style="3088" customWidth="1"/>
    <col min="7677" max="7678" width="8.625" style="3088" customWidth="1"/>
    <col min="7679" max="7680" width="12.125" style="3088" customWidth="1"/>
    <col min="7681" max="7681" width="13" style="3088" customWidth="1"/>
    <col min="7682" max="7682" width="16.875" style="3088" customWidth="1"/>
    <col min="7683" max="7896" width="8.875" style="3088"/>
    <col min="7897" max="7898" width="7.625" style="3088" customWidth="1"/>
    <col min="7899" max="7899" width="9.125" style="3088" customWidth="1"/>
    <col min="7900" max="7903" width="8.125" style="3088" customWidth="1"/>
    <col min="7904" max="7905" width="9.5" style="3088" customWidth="1"/>
    <col min="7906" max="7906" width="8.125" style="3088" customWidth="1"/>
    <col min="7907" max="7907" width="6" style="3088" customWidth="1"/>
    <col min="7908" max="7908" width="7.625" style="3088" customWidth="1"/>
    <col min="7909" max="7909" width="7.125" style="3088" customWidth="1"/>
    <col min="7910" max="7910" width="6.875" style="3088" customWidth="1"/>
    <col min="7911" max="7911" width="7.125" style="3088" customWidth="1"/>
    <col min="7912" max="7916" width="6.125" style="3088" customWidth="1"/>
    <col min="7917" max="7917" width="7.125" style="3088" customWidth="1"/>
    <col min="7918" max="7918" width="6.625" style="3088" customWidth="1"/>
    <col min="7919" max="7920" width="7.125" style="3088" customWidth="1"/>
    <col min="7921" max="7921" width="7.875" style="3088" customWidth="1"/>
    <col min="7922" max="7925" width="6.625" style="3088" customWidth="1"/>
    <col min="7926" max="7926" width="6.875" style="3088" customWidth="1"/>
    <col min="7927" max="7927" width="7.875" style="3088" customWidth="1"/>
    <col min="7928" max="7929" width="8.125" style="3088" customWidth="1"/>
    <col min="7930" max="7931" width="6.625" style="3088" customWidth="1"/>
    <col min="7932" max="7932" width="8.5" style="3088" customWidth="1"/>
    <col min="7933" max="7934" width="8.625" style="3088" customWidth="1"/>
    <col min="7935" max="7936" width="12.125" style="3088" customWidth="1"/>
    <col min="7937" max="7937" width="13" style="3088" customWidth="1"/>
    <col min="7938" max="7938" width="16.875" style="3088" customWidth="1"/>
    <col min="7939" max="8152" width="8.875" style="3088"/>
    <col min="8153" max="8154" width="7.625" style="3088" customWidth="1"/>
    <col min="8155" max="8155" width="9.125" style="3088" customWidth="1"/>
    <col min="8156" max="8159" width="8.125" style="3088" customWidth="1"/>
    <col min="8160" max="8161" width="9.5" style="3088" customWidth="1"/>
    <col min="8162" max="8162" width="8.125" style="3088" customWidth="1"/>
    <col min="8163" max="8163" width="6" style="3088" customWidth="1"/>
    <col min="8164" max="8164" width="7.625" style="3088" customWidth="1"/>
    <col min="8165" max="8165" width="7.125" style="3088" customWidth="1"/>
    <col min="8166" max="8166" width="6.875" style="3088" customWidth="1"/>
    <col min="8167" max="8167" width="7.125" style="3088" customWidth="1"/>
    <col min="8168" max="8172" width="6.125" style="3088" customWidth="1"/>
    <col min="8173" max="8173" width="7.125" style="3088" customWidth="1"/>
    <col min="8174" max="8174" width="6.625" style="3088" customWidth="1"/>
    <col min="8175" max="8176" width="7.125" style="3088" customWidth="1"/>
    <col min="8177" max="8177" width="7.875" style="3088" customWidth="1"/>
    <col min="8178" max="8181" width="6.625" style="3088" customWidth="1"/>
    <col min="8182" max="8182" width="6.875" style="3088" customWidth="1"/>
    <col min="8183" max="8183" width="7.875" style="3088" customWidth="1"/>
    <col min="8184" max="8185" width="8.125" style="3088" customWidth="1"/>
    <col min="8186" max="8187" width="6.625" style="3088" customWidth="1"/>
    <col min="8188" max="8188" width="8.5" style="3088" customWidth="1"/>
    <col min="8189" max="8190" width="8.625" style="3088" customWidth="1"/>
    <col min="8191" max="8192" width="12.125" style="3088" customWidth="1"/>
    <col min="8193" max="8193" width="13" style="3088" customWidth="1"/>
    <col min="8194" max="8194" width="16.875" style="3088" customWidth="1"/>
    <col min="8195" max="8408" width="8.875" style="3088"/>
    <col min="8409" max="8410" width="7.625" style="3088" customWidth="1"/>
    <col min="8411" max="8411" width="9.125" style="3088" customWidth="1"/>
    <col min="8412" max="8415" width="8.125" style="3088" customWidth="1"/>
    <col min="8416" max="8417" width="9.5" style="3088" customWidth="1"/>
    <col min="8418" max="8418" width="8.125" style="3088" customWidth="1"/>
    <col min="8419" max="8419" width="6" style="3088" customWidth="1"/>
    <col min="8420" max="8420" width="7.625" style="3088" customWidth="1"/>
    <col min="8421" max="8421" width="7.125" style="3088" customWidth="1"/>
    <col min="8422" max="8422" width="6.875" style="3088" customWidth="1"/>
    <col min="8423" max="8423" width="7.125" style="3088" customWidth="1"/>
    <col min="8424" max="8428" width="6.125" style="3088" customWidth="1"/>
    <col min="8429" max="8429" width="7.125" style="3088" customWidth="1"/>
    <col min="8430" max="8430" width="6.625" style="3088" customWidth="1"/>
    <col min="8431" max="8432" width="7.125" style="3088" customWidth="1"/>
    <col min="8433" max="8433" width="7.875" style="3088" customWidth="1"/>
    <col min="8434" max="8437" width="6.625" style="3088" customWidth="1"/>
    <col min="8438" max="8438" width="6.875" style="3088" customWidth="1"/>
    <col min="8439" max="8439" width="7.875" style="3088" customWidth="1"/>
    <col min="8440" max="8441" width="8.125" style="3088" customWidth="1"/>
    <col min="8442" max="8443" width="6.625" style="3088" customWidth="1"/>
    <col min="8444" max="8444" width="8.5" style="3088" customWidth="1"/>
    <col min="8445" max="8446" width="8.625" style="3088" customWidth="1"/>
    <col min="8447" max="8448" width="12.125" style="3088" customWidth="1"/>
    <col min="8449" max="8449" width="13" style="3088" customWidth="1"/>
    <col min="8450" max="8450" width="16.875" style="3088" customWidth="1"/>
    <col min="8451" max="8664" width="8.875" style="3088"/>
    <col min="8665" max="8666" width="7.625" style="3088" customWidth="1"/>
    <col min="8667" max="8667" width="9.125" style="3088" customWidth="1"/>
    <col min="8668" max="8671" width="8.125" style="3088" customWidth="1"/>
    <col min="8672" max="8673" width="9.5" style="3088" customWidth="1"/>
    <col min="8674" max="8674" width="8.125" style="3088" customWidth="1"/>
    <col min="8675" max="8675" width="6" style="3088" customWidth="1"/>
    <col min="8676" max="8676" width="7.625" style="3088" customWidth="1"/>
    <col min="8677" max="8677" width="7.125" style="3088" customWidth="1"/>
    <col min="8678" max="8678" width="6.875" style="3088" customWidth="1"/>
    <col min="8679" max="8679" width="7.125" style="3088" customWidth="1"/>
    <col min="8680" max="8684" width="6.125" style="3088" customWidth="1"/>
    <col min="8685" max="8685" width="7.125" style="3088" customWidth="1"/>
    <col min="8686" max="8686" width="6.625" style="3088" customWidth="1"/>
    <col min="8687" max="8688" width="7.125" style="3088" customWidth="1"/>
    <col min="8689" max="8689" width="7.875" style="3088" customWidth="1"/>
    <col min="8690" max="8693" width="6.625" style="3088" customWidth="1"/>
    <col min="8694" max="8694" width="6.875" style="3088" customWidth="1"/>
    <col min="8695" max="8695" width="7.875" style="3088" customWidth="1"/>
    <col min="8696" max="8697" width="8.125" style="3088" customWidth="1"/>
    <col min="8698" max="8699" width="6.625" style="3088" customWidth="1"/>
    <col min="8700" max="8700" width="8.5" style="3088" customWidth="1"/>
    <col min="8701" max="8702" width="8.625" style="3088" customWidth="1"/>
    <col min="8703" max="8704" width="12.125" style="3088" customWidth="1"/>
    <col min="8705" max="8705" width="13" style="3088" customWidth="1"/>
    <col min="8706" max="8706" width="16.875" style="3088" customWidth="1"/>
    <col min="8707" max="8920" width="8.875" style="3088"/>
    <col min="8921" max="8922" width="7.625" style="3088" customWidth="1"/>
    <col min="8923" max="8923" width="9.125" style="3088" customWidth="1"/>
    <col min="8924" max="8927" width="8.125" style="3088" customWidth="1"/>
    <col min="8928" max="8929" width="9.5" style="3088" customWidth="1"/>
    <col min="8930" max="8930" width="8.125" style="3088" customWidth="1"/>
    <col min="8931" max="8931" width="6" style="3088" customWidth="1"/>
    <col min="8932" max="8932" width="7.625" style="3088" customWidth="1"/>
    <col min="8933" max="8933" width="7.125" style="3088" customWidth="1"/>
    <col min="8934" max="8934" width="6.875" style="3088" customWidth="1"/>
    <col min="8935" max="8935" width="7.125" style="3088" customWidth="1"/>
    <col min="8936" max="8940" width="6.125" style="3088" customWidth="1"/>
    <col min="8941" max="8941" width="7.125" style="3088" customWidth="1"/>
    <col min="8942" max="8942" width="6.625" style="3088" customWidth="1"/>
    <col min="8943" max="8944" width="7.125" style="3088" customWidth="1"/>
    <col min="8945" max="8945" width="7.875" style="3088" customWidth="1"/>
    <col min="8946" max="8949" width="6.625" style="3088" customWidth="1"/>
    <col min="8950" max="8950" width="6.875" style="3088" customWidth="1"/>
    <col min="8951" max="8951" width="7.875" style="3088" customWidth="1"/>
    <col min="8952" max="8953" width="8.125" style="3088" customWidth="1"/>
    <col min="8954" max="8955" width="6.625" style="3088" customWidth="1"/>
    <col min="8956" max="8956" width="8.5" style="3088" customWidth="1"/>
    <col min="8957" max="8958" width="8.625" style="3088" customWidth="1"/>
    <col min="8959" max="8960" width="12.125" style="3088" customWidth="1"/>
    <col min="8961" max="8961" width="13" style="3088" customWidth="1"/>
    <col min="8962" max="8962" width="16.875" style="3088" customWidth="1"/>
    <col min="8963" max="9176" width="8.875" style="3088"/>
    <col min="9177" max="9178" width="7.625" style="3088" customWidth="1"/>
    <col min="9179" max="9179" width="9.125" style="3088" customWidth="1"/>
    <col min="9180" max="9183" width="8.125" style="3088" customWidth="1"/>
    <col min="9184" max="9185" width="9.5" style="3088" customWidth="1"/>
    <col min="9186" max="9186" width="8.125" style="3088" customWidth="1"/>
    <col min="9187" max="9187" width="6" style="3088" customWidth="1"/>
    <col min="9188" max="9188" width="7.625" style="3088" customWidth="1"/>
    <col min="9189" max="9189" width="7.125" style="3088" customWidth="1"/>
    <col min="9190" max="9190" width="6.875" style="3088" customWidth="1"/>
    <col min="9191" max="9191" width="7.125" style="3088" customWidth="1"/>
    <col min="9192" max="9196" width="6.125" style="3088" customWidth="1"/>
    <col min="9197" max="9197" width="7.125" style="3088" customWidth="1"/>
    <col min="9198" max="9198" width="6.625" style="3088" customWidth="1"/>
    <col min="9199" max="9200" width="7.125" style="3088" customWidth="1"/>
    <col min="9201" max="9201" width="7.875" style="3088" customWidth="1"/>
    <col min="9202" max="9205" width="6.625" style="3088" customWidth="1"/>
    <col min="9206" max="9206" width="6.875" style="3088" customWidth="1"/>
    <col min="9207" max="9207" width="7.875" style="3088" customWidth="1"/>
    <col min="9208" max="9209" width="8.125" style="3088" customWidth="1"/>
    <col min="9210" max="9211" width="6.625" style="3088" customWidth="1"/>
    <col min="9212" max="9212" width="8.5" style="3088" customWidth="1"/>
    <col min="9213" max="9214" width="8.625" style="3088" customWidth="1"/>
    <col min="9215" max="9216" width="12.125" style="3088" customWidth="1"/>
    <col min="9217" max="9217" width="13" style="3088" customWidth="1"/>
    <col min="9218" max="9218" width="16.875" style="3088" customWidth="1"/>
    <col min="9219" max="9432" width="8.875" style="3088"/>
    <col min="9433" max="9434" width="7.625" style="3088" customWidth="1"/>
    <col min="9435" max="9435" width="9.125" style="3088" customWidth="1"/>
    <col min="9436" max="9439" width="8.125" style="3088" customWidth="1"/>
    <col min="9440" max="9441" width="9.5" style="3088" customWidth="1"/>
    <col min="9442" max="9442" width="8.125" style="3088" customWidth="1"/>
    <col min="9443" max="9443" width="6" style="3088" customWidth="1"/>
    <col min="9444" max="9444" width="7.625" style="3088" customWidth="1"/>
    <col min="9445" max="9445" width="7.125" style="3088" customWidth="1"/>
    <col min="9446" max="9446" width="6.875" style="3088" customWidth="1"/>
    <col min="9447" max="9447" width="7.125" style="3088" customWidth="1"/>
    <col min="9448" max="9452" width="6.125" style="3088" customWidth="1"/>
    <col min="9453" max="9453" width="7.125" style="3088" customWidth="1"/>
    <col min="9454" max="9454" width="6.625" style="3088" customWidth="1"/>
    <col min="9455" max="9456" width="7.125" style="3088" customWidth="1"/>
    <col min="9457" max="9457" width="7.875" style="3088" customWidth="1"/>
    <col min="9458" max="9461" width="6.625" style="3088" customWidth="1"/>
    <col min="9462" max="9462" width="6.875" style="3088" customWidth="1"/>
    <col min="9463" max="9463" width="7.875" style="3088" customWidth="1"/>
    <col min="9464" max="9465" width="8.125" style="3088" customWidth="1"/>
    <col min="9466" max="9467" width="6.625" style="3088" customWidth="1"/>
    <col min="9468" max="9468" width="8.5" style="3088" customWidth="1"/>
    <col min="9469" max="9470" width="8.625" style="3088" customWidth="1"/>
    <col min="9471" max="9472" width="12.125" style="3088" customWidth="1"/>
    <col min="9473" max="9473" width="13" style="3088" customWidth="1"/>
    <col min="9474" max="9474" width="16.875" style="3088" customWidth="1"/>
    <col min="9475" max="9688" width="8.875" style="3088"/>
    <col min="9689" max="9690" width="7.625" style="3088" customWidth="1"/>
    <col min="9691" max="9691" width="9.125" style="3088" customWidth="1"/>
    <col min="9692" max="9695" width="8.125" style="3088" customWidth="1"/>
    <col min="9696" max="9697" width="9.5" style="3088" customWidth="1"/>
    <col min="9698" max="9698" width="8.125" style="3088" customWidth="1"/>
    <col min="9699" max="9699" width="6" style="3088" customWidth="1"/>
    <col min="9700" max="9700" width="7.625" style="3088" customWidth="1"/>
    <col min="9701" max="9701" width="7.125" style="3088" customWidth="1"/>
    <col min="9702" max="9702" width="6.875" style="3088" customWidth="1"/>
    <col min="9703" max="9703" width="7.125" style="3088" customWidth="1"/>
    <col min="9704" max="9708" width="6.125" style="3088" customWidth="1"/>
    <col min="9709" max="9709" width="7.125" style="3088" customWidth="1"/>
    <col min="9710" max="9710" width="6.625" style="3088" customWidth="1"/>
    <col min="9711" max="9712" width="7.125" style="3088" customWidth="1"/>
    <col min="9713" max="9713" width="7.875" style="3088" customWidth="1"/>
    <col min="9714" max="9717" width="6.625" style="3088" customWidth="1"/>
    <col min="9718" max="9718" width="6.875" style="3088" customWidth="1"/>
    <col min="9719" max="9719" width="7.875" style="3088" customWidth="1"/>
    <col min="9720" max="9721" width="8.125" style="3088" customWidth="1"/>
    <col min="9722" max="9723" width="6.625" style="3088" customWidth="1"/>
    <col min="9724" max="9724" width="8.5" style="3088" customWidth="1"/>
    <col min="9725" max="9726" width="8.625" style="3088" customWidth="1"/>
    <col min="9727" max="9728" width="12.125" style="3088" customWidth="1"/>
    <col min="9729" max="9729" width="13" style="3088" customWidth="1"/>
    <col min="9730" max="9730" width="16.875" style="3088" customWidth="1"/>
    <col min="9731" max="9944" width="8.875" style="3088"/>
    <col min="9945" max="9946" width="7.625" style="3088" customWidth="1"/>
    <col min="9947" max="9947" width="9.125" style="3088" customWidth="1"/>
    <col min="9948" max="9951" width="8.125" style="3088" customWidth="1"/>
    <col min="9952" max="9953" width="9.5" style="3088" customWidth="1"/>
    <col min="9954" max="9954" width="8.125" style="3088" customWidth="1"/>
    <col min="9955" max="9955" width="6" style="3088" customWidth="1"/>
    <col min="9956" max="9956" width="7.625" style="3088" customWidth="1"/>
    <col min="9957" max="9957" width="7.125" style="3088" customWidth="1"/>
    <col min="9958" max="9958" width="6.875" style="3088" customWidth="1"/>
    <col min="9959" max="9959" width="7.125" style="3088" customWidth="1"/>
    <col min="9960" max="9964" width="6.125" style="3088" customWidth="1"/>
    <col min="9965" max="9965" width="7.125" style="3088" customWidth="1"/>
    <col min="9966" max="9966" width="6.625" style="3088" customWidth="1"/>
    <col min="9967" max="9968" width="7.125" style="3088" customWidth="1"/>
    <col min="9969" max="9969" width="7.875" style="3088" customWidth="1"/>
    <col min="9970" max="9973" width="6.625" style="3088" customWidth="1"/>
    <col min="9974" max="9974" width="6.875" style="3088" customWidth="1"/>
    <col min="9975" max="9975" width="7.875" style="3088" customWidth="1"/>
    <col min="9976" max="9977" width="8.125" style="3088" customWidth="1"/>
    <col min="9978" max="9979" width="6.625" style="3088" customWidth="1"/>
    <col min="9980" max="9980" width="8.5" style="3088" customWidth="1"/>
    <col min="9981" max="9982" width="8.625" style="3088" customWidth="1"/>
    <col min="9983" max="9984" width="12.125" style="3088" customWidth="1"/>
    <col min="9985" max="9985" width="13" style="3088" customWidth="1"/>
    <col min="9986" max="9986" width="16.875" style="3088" customWidth="1"/>
    <col min="9987" max="10200" width="8.875" style="3088"/>
    <col min="10201" max="10202" width="7.625" style="3088" customWidth="1"/>
    <col min="10203" max="10203" width="9.125" style="3088" customWidth="1"/>
    <col min="10204" max="10207" width="8.125" style="3088" customWidth="1"/>
    <col min="10208" max="10209" width="9.5" style="3088" customWidth="1"/>
    <col min="10210" max="10210" width="8.125" style="3088" customWidth="1"/>
    <col min="10211" max="10211" width="6" style="3088" customWidth="1"/>
    <col min="10212" max="10212" width="7.625" style="3088" customWidth="1"/>
    <col min="10213" max="10213" width="7.125" style="3088" customWidth="1"/>
    <col min="10214" max="10214" width="6.875" style="3088" customWidth="1"/>
    <col min="10215" max="10215" width="7.125" style="3088" customWidth="1"/>
    <col min="10216" max="10220" width="6.125" style="3088" customWidth="1"/>
    <col min="10221" max="10221" width="7.125" style="3088" customWidth="1"/>
    <col min="10222" max="10222" width="6.625" style="3088" customWidth="1"/>
    <col min="10223" max="10224" width="7.125" style="3088" customWidth="1"/>
    <col min="10225" max="10225" width="7.875" style="3088" customWidth="1"/>
    <col min="10226" max="10229" width="6.625" style="3088" customWidth="1"/>
    <col min="10230" max="10230" width="6.875" style="3088" customWidth="1"/>
    <col min="10231" max="10231" width="7.875" style="3088" customWidth="1"/>
    <col min="10232" max="10233" width="8.125" style="3088" customWidth="1"/>
    <col min="10234" max="10235" width="6.625" style="3088" customWidth="1"/>
    <col min="10236" max="10236" width="8.5" style="3088" customWidth="1"/>
    <col min="10237" max="10238" width="8.625" style="3088" customWidth="1"/>
    <col min="10239" max="10240" width="12.125" style="3088" customWidth="1"/>
    <col min="10241" max="10241" width="13" style="3088" customWidth="1"/>
    <col min="10242" max="10242" width="16.875" style="3088" customWidth="1"/>
    <col min="10243" max="10456" width="8.875" style="3088"/>
    <col min="10457" max="10458" width="7.625" style="3088" customWidth="1"/>
    <col min="10459" max="10459" width="9.125" style="3088" customWidth="1"/>
    <col min="10460" max="10463" width="8.125" style="3088" customWidth="1"/>
    <col min="10464" max="10465" width="9.5" style="3088" customWidth="1"/>
    <col min="10466" max="10466" width="8.125" style="3088" customWidth="1"/>
    <col min="10467" max="10467" width="6" style="3088" customWidth="1"/>
    <col min="10468" max="10468" width="7.625" style="3088" customWidth="1"/>
    <col min="10469" max="10469" width="7.125" style="3088" customWidth="1"/>
    <col min="10470" max="10470" width="6.875" style="3088" customWidth="1"/>
    <col min="10471" max="10471" width="7.125" style="3088" customWidth="1"/>
    <col min="10472" max="10476" width="6.125" style="3088" customWidth="1"/>
    <col min="10477" max="10477" width="7.125" style="3088" customWidth="1"/>
    <col min="10478" max="10478" width="6.625" style="3088" customWidth="1"/>
    <col min="10479" max="10480" width="7.125" style="3088" customWidth="1"/>
    <col min="10481" max="10481" width="7.875" style="3088" customWidth="1"/>
    <col min="10482" max="10485" width="6.625" style="3088" customWidth="1"/>
    <col min="10486" max="10486" width="6.875" style="3088" customWidth="1"/>
    <col min="10487" max="10487" width="7.875" style="3088" customWidth="1"/>
    <col min="10488" max="10489" width="8.125" style="3088" customWidth="1"/>
    <col min="10490" max="10491" width="6.625" style="3088" customWidth="1"/>
    <col min="10492" max="10492" width="8.5" style="3088" customWidth="1"/>
    <col min="10493" max="10494" width="8.625" style="3088" customWidth="1"/>
    <col min="10495" max="10496" width="12.125" style="3088" customWidth="1"/>
    <col min="10497" max="10497" width="13" style="3088" customWidth="1"/>
    <col min="10498" max="10498" width="16.875" style="3088" customWidth="1"/>
    <col min="10499" max="10712" width="8.875" style="3088"/>
    <col min="10713" max="10714" width="7.625" style="3088" customWidth="1"/>
    <col min="10715" max="10715" width="9.125" style="3088" customWidth="1"/>
    <col min="10716" max="10719" width="8.125" style="3088" customWidth="1"/>
    <col min="10720" max="10721" width="9.5" style="3088" customWidth="1"/>
    <col min="10722" max="10722" width="8.125" style="3088" customWidth="1"/>
    <col min="10723" max="10723" width="6" style="3088" customWidth="1"/>
    <col min="10724" max="10724" width="7.625" style="3088" customWidth="1"/>
    <col min="10725" max="10725" width="7.125" style="3088" customWidth="1"/>
    <col min="10726" max="10726" width="6.875" style="3088" customWidth="1"/>
    <col min="10727" max="10727" width="7.125" style="3088" customWidth="1"/>
    <col min="10728" max="10732" width="6.125" style="3088" customWidth="1"/>
    <col min="10733" max="10733" width="7.125" style="3088" customWidth="1"/>
    <col min="10734" max="10734" width="6.625" style="3088" customWidth="1"/>
    <col min="10735" max="10736" width="7.125" style="3088" customWidth="1"/>
    <col min="10737" max="10737" width="7.875" style="3088" customWidth="1"/>
    <col min="10738" max="10741" width="6.625" style="3088" customWidth="1"/>
    <col min="10742" max="10742" width="6.875" style="3088" customWidth="1"/>
    <col min="10743" max="10743" width="7.875" style="3088" customWidth="1"/>
    <col min="10744" max="10745" width="8.125" style="3088" customWidth="1"/>
    <col min="10746" max="10747" width="6.625" style="3088" customWidth="1"/>
    <col min="10748" max="10748" width="8.5" style="3088" customWidth="1"/>
    <col min="10749" max="10750" width="8.625" style="3088" customWidth="1"/>
    <col min="10751" max="10752" width="12.125" style="3088" customWidth="1"/>
    <col min="10753" max="10753" width="13" style="3088" customWidth="1"/>
    <col min="10754" max="10754" width="16.875" style="3088" customWidth="1"/>
    <col min="10755" max="10968" width="8.875" style="3088"/>
    <col min="10969" max="10970" width="7.625" style="3088" customWidth="1"/>
    <col min="10971" max="10971" width="9.125" style="3088" customWidth="1"/>
    <col min="10972" max="10975" width="8.125" style="3088" customWidth="1"/>
    <col min="10976" max="10977" width="9.5" style="3088" customWidth="1"/>
    <col min="10978" max="10978" width="8.125" style="3088" customWidth="1"/>
    <col min="10979" max="10979" width="6" style="3088" customWidth="1"/>
    <col min="10980" max="10980" width="7.625" style="3088" customWidth="1"/>
    <col min="10981" max="10981" width="7.125" style="3088" customWidth="1"/>
    <col min="10982" max="10982" width="6.875" style="3088" customWidth="1"/>
    <col min="10983" max="10983" width="7.125" style="3088" customWidth="1"/>
    <col min="10984" max="10988" width="6.125" style="3088" customWidth="1"/>
    <col min="10989" max="10989" width="7.125" style="3088" customWidth="1"/>
    <col min="10990" max="10990" width="6.625" style="3088" customWidth="1"/>
    <col min="10991" max="10992" width="7.125" style="3088" customWidth="1"/>
    <col min="10993" max="10993" width="7.875" style="3088" customWidth="1"/>
    <col min="10994" max="10997" width="6.625" style="3088" customWidth="1"/>
    <col min="10998" max="10998" width="6.875" style="3088" customWidth="1"/>
    <col min="10999" max="10999" width="7.875" style="3088" customWidth="1"/>
    <col min="11000" max="11001" width="8.125" style="3088" customWidth="1"/>
    <col min="11002" max="11003" width="6.625" style="3088" customWidth="1"/>
    <col min="11004" max="11004" width="8.5" style="3088" customWidth="1"/>
    <col min="11005" max="11006" width="8.625" style="3088" customWidth="1"/>
    <col min="11007" max="11008" width="12.125" style="3088" customWidth="1"/>
    <col min="11009" max="11009" width="13" style="3088" customWidth="1"/>
    <col min="11010" max="11010" width="16.875" style="3088" customWidth="1"/>
    <col min="11011" max="11224" width="8.875" style="3088"/>
    <col min="11225" max="11226" width="7.625" style="3088" customWidth="1"/>
    <col min="11227" max="11227" width="9.125" style="3088" customWidth="1"/>
    <col min="11228" max="11231" width="8.125" style="3088" customWidth="1"/>
    <col min="11232" max="11233" width="9.5" style="3088" customWidth="1"/>
    <col min="11234" max="11234" width="8.125" style="3088" customWidth="1"/>
    <col min="11235" max="11235" width="6" style="3088" customWidth="1"/>
    <col min="11236" max="11236" width="7.625" style="3088" customWidth="1"/>
    <col min="11237" max="11237" width="7.125" style="3088" customWidth="1"/>
    <col min="11238" max="11238" width="6.875" style="3088" customWidth="1"/>
    <col min="11239" max="11239" width="7.125" style="3088" customWidth="1"/>
    <col min="11240" max="11244" width="6.125" style="3088" customWidth="1"/>
    <col min="11245" max="11245" width="7.125" style="3088" customWidth="1"/>
    <col min="11246" max="11246" width="6.625" style="3088" customWidth="1"/>
    <col min="11247" max="11248" width="7.125" style="3088" customWidth="1"/>
    <col min="11249" max="11249" width="7.875" style="3088" customWidth="1"/>
    <col min="11250" max="11253" width="6.625" style="3088" customWidth="1"/>
    <col min="11254" max="11254" width="6.875" style="3088" customWidth="1"/>
    <col min="11255" max="11255" width="7.875" style="3088" customWidth="1"/>
    <col min="11256" max="11257" width="8.125" style="3088" customWidth="1"/>
    <col min="11258" max="11259" width="6.625" style="3088" customWidth="1"/>
    <col min="11260" max="11260" width="8.5" style="3088" customWidth="1"/>
    <col min="11261" max="11262" width="8.625" style="3088" customWidth="1"/>
    <col min="11263" max="11264" width="12.125" style="3088" customWidth="1"/>
    <col min="11265" max="11265" width="13" style="3088" customWidth="1"/>
    <col min="11266" max="11266" width="16.875" style="3088" customWidth="1"/>
    <col min="11267" max="11480" width="8.875" style="3088"/>
    <col min="11481" max="11482" width="7.625" style="3088" customWidth="1"/>
    <col min="11483" max="11483" width="9.125" style="3088" customWidth="1"/>
    <col min="11484" max="11487" width="8.125" style="3088" customWidth="1"/>
    <col min="11488" max="11489" width="9.5" style="3088" customWidth="1"/>
    <col min="11490" max="11490" width="8.125" style="3088" customWidth="1"/>
    <col min="11491" max="11491" width="6" style="3088" customWidth="1"/>
    <col min="11492" max="11492" width="7.625" style="3088" customWidth="1"/>
    <col min="11493" max="11493" width="7.125" style="3088" customWidth="1"/>
    <col min="11494" max="11494" width="6.875" style="3088" customWidth="1"/>
    <col min="11495" max="11495" width="7.125" style="3088" customWidth="1"/>
    <col min="11496" max="11500" width="6.125" style="3088" customWidth="1"/>
    <col min="11501" max="11501" width="7.125" style="3088" customWidth="1"/>
    <col min="11502" max="11502" width="6.625" style="3088" customWidth="1"/>
    <col min="11503" max="11504" width="7.125" style="3088" customWidth="1"/>
    <col min="11505" max="11505" width="7.875" style="3088" customWidth="1"/>
    <col min="11506" max="11509" width="6.625" style="3088" customWidth="1"/>
    <col min="11510" max="11510" width="6.875" style="3088" customWidth="1"/>
    <col min="11511" max="11511" width="7.875" style="3088" customWidth="1"/>
    <col min="11512" max="11513" width="8.125" style="3088" customWidth="1"/>
    <col min="11514" max="11515" width="6.625" style="3088" customWidth="1"/>
    <col min="11516" max="11516" width="8.5" style="3088" customWidth="1"/>
    <col min="11517" max="11518" width="8.625" style="3088" customWidth="1"/>
    <col min="11519" max="11520" width="12.125" style="3088" customWidth="1"/>
    <col min="11521" max="11521" width="13" style="3088" customWidth="1"/>
    <col min="11522" max="11522" width="16.875" style="3088" customWidth="1"/>
    <col min="11523" max="11736" width="8.875" style="3088"/>
    <col min="11737" max="11738" width="7.625" style="3088" customWidth="1"/>
    <col min="11739" max="11739" width="9.125" style="3088" customWidth="1"/>
    <col min="11740" max="11743" width="8.125" style="3088" customWidth="1"/>
    <col min="11744" max="11745" width="9.5" style="3088" customWidth="1"/>
    <col min="11746" max="11746" width="8.125" style="3088" customWidth="1"/>
    <col min="11747" max="11747" width="6" style="3088" customWidth="1"/>
    <col min="11748" max="11748" width="7.625" style="3088" customWidth="1"/>
    <col min="11749" max="11749" width="7.125" style="3088" customWidth="1"/>
    <col min="11750" max="11750" width="6.875" style="3088" customWidth="1"/>
    <col min="11751" max="11751" width="7.125" style="3088" customWidth="1"/>
    <col min="11752" max="11756" width="6.125" style="3088" customWidth="1"/>
    <col min="11757" max="11757" width="7.125" style="3088" customWidth="1"/>
    <col min="11758" max="11758" width="6.625" style="3088" customWidth="1"/>
    <col min="11759" max="11760" width="7.125" style="3088" customWidth="1"/>
    <col min="11761" max="11761" width="7.875" style="3088" customWidth="1"/>
    <col min="11762" max="11765" width="6.625" style="3088" customWidth="1"/>
    <col min="11766" max="11766" width="6.875" style="3088" customWidth="1"/>
    <col min="11767" max="11767" width="7.875" style="3088" customWidth="1"/>
    <col min="11768" max="11769" width="8.125" style="3088" customWidth="1"/>
    <col min="11770" max="11771" width="6.625" style="3088" customWidth="1"/>
    <col min="11772" max="11772" width="8.5" style="3088" customWidth="1"/>
    <col min="11773" max="11774" width="8.625" style="3088" customWidth="1"/>
    <col min="11775" max="11776" width="12.125" style="3088" customWidth="1"/>
    <col min="11777" max="11777" width="13" style="3088" customWidth="1"/>
    <col min="11778" max="11778" width="16.875" style="3088" customWidth="1"/>
    <col min="11779" max="11992" width="8.875" style="3088"/>
    <col min="11993" max="11994" width="7.625" style="3088" customWidth="1"/>
    <col min="11995" max="11995" width="9.125" style="3088" customWidth="1"/>
    <col min="11996" max="11999" width="8.125" style="3088" customWidth="1"/>
    <col min="12000" max="12001" width="9.5" style="3088" customWidth="1"/>
    <col min="12002" max="12002" width="8.125" style="3088" customWidth="1"/>
    <col min="12003" max="12003" width="6" style="3088" customWidth="1"/>
    <col min="12004" max="12004" width="7.625" style="3088" customWidth="1"/>
    <col min="12005" max="12005" width="7.125" style="3088" customWidth="1"/>
    <col min="12006" max="12006" width="6.875" style="3088" customWidth="1"/>
    <col min="12007" max="12007" width="7.125" style="3088" customWidth="1"/>
    <col min="12008" max="12012" width="6.125" style="3088" customWidth="1"/>
    <col min="12013" max="12013" width="7.125" style="3088" customWidth="1"/>
    <col min="12014" max="12014" width="6.625" style="3088" customWidth="1"/>
    <col min="12015" max="12016" width="7.125" style="3088" customWidth="1"/>
    <col min="12017" max="12017" width="7.875" style="3088" customWidth="1"/>
    <col min="12018" max="12021" width="6.625" style="3088" customWidth="1"/>
    <col min="12022" max="12022" width="6.875" style="3088" customWidth="1"/>
    <col min="12023" max="12023" width="7.875" style="3088" customWidth="1"/>
    <col min="12024" max="12025" width="8.125" style="3088" customWidth="1"/>
    <col min="12026" max="12027" width="6.625" style="3088" customWidth="1"/>
    <col min="12028" max="12028" width="8.5" style="3088" customWidth="1"/>
    <col min="12029" max="12030" width="8.625" style="3088" customWidth="1"/>
    <col min="12031" max="12032" width="12.125" style="3088" customWidth="1"/>
    <col min="12033" max="12033" width="13" style="3088" customWidth="1"/>
    <col min="12034" max="12034" width="16.875" style="3088" customWidth="1"/>
    <col min="12035" max="12248" width="8.875" style="3088"/>
    <col min="12249" max="12250" width="7.625" style="3088" customWidth="1"/>
    <col min="12251" max="12251" width="9.125" style="3088" customWidth="1"/>
    <col min="12252" max="12255" width="8.125" style="3088" customWidth="1"/>
    <col min="12256" max="12257" width="9.5" style="3088" customWidth="1"/>
    <col min="12258" max="12258" width="8.125" style="3088" customWidth="1"/>
    <col min="12259" max="12259" width="6" style="3088" customWidth="1"/>
    <col min="12260" max="12260" width="7.625" style="3088" customWidth="1"/>
    <col min="12261" max="12261" width="7.125" style="3088" customWidth="1"/>
    <col min="12262" max="12262" width="6.875" style="3088" customWidth="1"/>
    <col min="12263" max="12263" width="7.125" style="3088" customWidth="1"/>
    <col min="12264" max="12268" width="6.125" style="3088" customWidth="1"/>
    <col min="12269" max="12269" width="7.125" style="3088" customWidth="1"/>
    <col min="12270" max="12270" width="6.625" style="3088" customWidth="1"/>
    <col min="12271" max="12272" width="7.125" style="3088" customWidth="1"/>
    <col min="12273" max="12273" width="7.875" style="3088" customWidth="1"/>
    <col min="12274" max="12277" width="6.625" style="3088" customWidth="1"/>
    <col min="12278" max="12278" width="6.875" style="3088" customWidth="1"/>
    <col min="12279" max="12279" width="7.875" style="3088" customWidth="1"/>
    <col min="12280" max="12281" width="8.125" style="3088" customWidth="1"/>
    <col min="12282" max="12283" width="6.625" style="3088" customWidth="1"/>
    <col min="12284" max="12284" width="8.5" style="3088" customWidth="1"/>
    <col min="12285" max="12286" width="8.625" style="3088" customWidth="1"/>
    <col min="12287" max="12288" width="12.125" style="3088" customWidth="1"/>
    <col min="12289" max="12289" width="13" style="3088" customWidth="1"/>
    <col min="12290" max="12290" width="16.875" style="3088" customWidth="1"/>
    <col min="12291" max="12504" width="8.875" style="3088"/>
    <col min="12505" max="12506" width="7.625" style="3088" customWidth="1"/>
    <col min="12507" max="12507" width="9.125" style="3088" customWidth="1"/>
    <col min="12508" max="12511" width="8.125" style="3088" customWidth="1"/>
    <col min="12512" max="12513" width="9.5" style="3088" customWidth="1"/>
    <col min="12514" max="12514" width="8.125" style="3088" customWidth="1"/>
    <col min="12515" max="12515" width="6" style="3088" customWidth="1"/>
    <col min="12516" max="12516" width="7.625" style="3088" customWidth="1"/>
    <col min="12517" max="12517" width="7.125" style="3088" customWidth="1"/>
    <col min="12518" max="12518" width="6.875" style="3088" customWidth="1"/>
    <col min="12519" max="12519" width="7.125" style="3088" customWidth="1"/>
    <col min="12520" max="12524" width="6.125" style="3088" customWidth="1"/>
    <col min="12525" max="12525" width="7.125" style="3088" customWidth="1"/>
    <col min="12526" max="12526" width="6.625" style="3088" customWidth="1"/>
    <col min="12527" max="12528" width="7.125" style="3088" customWidth="1"/>
    <col min="12529" max="12529" width="7.875" style="3088" customWidth="1"/>
    <col min="12530" max="12533" width="6.625" style="3088" customWidth="1"/>
    <col min="12534" max="12534" width="6.875" style="3088" customWidth="1"/>
    <col min="12535" max="12535" width="7.875" style="3088" customWidth="1"/>
    <col min="12536" max="12537" width="8.125" style="3088" customWidth="1"/>
    <col min="12538" max="12539" width="6.625" style="3088" customWidth="1"/>
    <col min="12540" max="12540" width="8.5" style="3088" customWidth="1"/>
    <col min="12541" max="12542" width="8.625" style="3088" customWidth="1"/>
    <col min="12543" max="12544" width="12.125" style="3088" customWidth="1"/>
    <col min="12545" max="12545" width="13" style="3088" customWidth="1"/>
    <col min="12546" max="12546" width="16.875" style="3088" customWidth="1"/>
    <col min="12547" max="12760" width="8.875" style="3088"/>
    <col min="12761" max="12762" width="7.625" style="3088" customWidth="1"/>
    <col min="12763" max="12763" width="9.125" style="3088" customWidth="1"/>
    <col min="12764" max="12767" width="8.125" style="3088" customWidth="1"/>
    <col min="12768" max="12769" width="9.5" style="3088" customWidth="1"/>
    <col min="12770" max="12770" width="8.125" style="3088" customWidth="1"/>
    <col min="12771" max="12771" width="6" style="3088" customWidth="1"/>
    <col min="12772" max="12772" width="7.625" style="3088" customWidth="1"/>
    <col min="12773" max="12773" width="7.125" style="3088" customWidth="1"/>
    <col min="12774" max="12774" width="6.875" style="3088" customWidth="1"/>
    <col min="12775" max="12775" width="7.125" style="3088" customWidth="1"/>
    <col min="12776" max="12780" width="6.125" style="3088" customWidth="1"/>
    <col min="12781" max="12781" width="7.125" style="3088" customWidth="1"/>
    <col min="12782" max="12782" width="6.625" style="3088" customWidth="1"/>
    <col min="12783" max="12784" width="7.125" style="3088" customWidth="1"/>
    <col min="12785" max="12785" width="7.875" style="3088" customWidth="1"/>
    <col min="12786" max="12789" width="6.625" style="3088" customWidth="1"/>
    <col min="12790" max="12790" width="6.875" style="3088" customWidth="1"/>
    <col min="12791" max="12791" width="7.875" style="3088" customWidth="1"/>
    <col min="12792" max="12793" width="8.125" style="3088" customWidth="1"/>
    <col min="12794" max="12795" width="6.625" style="3088" customWidth="1"/>
    <col min="12796" max="12796" width="8.5" style="3088" customWidth="1"/>
    <col min="12797" max="12798" width="8.625" style="3088" customWidth="1"/>
    <col min="12799" max="12800" width="12.125" style="3088" customWidth="1"/>
    <col min="12801" max="12801" width="13" style="3088" customWidth="1"/>
    <col min="12802" max="12802" width="16.875" style="3088" customWidth="1"/>
    <col min="12803" max="13016" width="8.875" style="3088"/>
    <col min="13017" max="13018" width="7.625" style="3088" customWidth="1"/>
    <col min="13019" max="13019" width="9.125" style="3088" customWidth="1"/>
    <col min="13020" max="13023" width="8.125" style="3088" customWidth="1"/>
    <col min="13024" max="13025" width="9.5" style="3088" customWidth="1"/>
    <col min="13026" max="13026" width="8.125" style="3088" customWidth="1"/>
    <col min="13027" max="13027" width="6" style="3088" customWidth="1"/>
    <col min="13028" max="13028" width="7.625" style="3088" customWidth="1"/>
    <col min="13029" max="13029" width="7.125" style="3088" customWidth="1"/>
    <col min="13030" max="13030" width="6.875" style="3088" customWidth="1"/>
    <col min="13031" max="13031" width="7.125" style="3088" customWidth="1"/>
    <col min="13032" max="13036" width="6.125" style="3088" customWidth="1"/>
    <col min="13037" max="13037" width="7.125" style="3088" customWidth="1"/>
    <col min="13038" max="13038" width="6.625" style="3088" customWidth="1"/>
    <col min="13039" max="13040" width="7.125" style="3088" customWidth="1"/>
    <col min="13041" max="13041" width="7.875" style="3088" customWidth="1"/>
    <col min="13042" max="13045" width="6.625" style="3088" customWidth="1"/>
    <col min="13046" max="13046" width="6.875" style="3088" customWidth="1"/>
    <col min="13047" max="13047" width="7.875" style="3088" customWidth="1"/>
    <col min="13048" max="13049" width="8.125" style="3088" customWidth="1"/>
    <col min="13050" max="13051" width="6.625" style="3088" customWidth="1"/>
    <col min="13052" max="13052" width="8.5" style="3088" customWidth="1"/>
    <col min="13053" max="13054" width="8.625" style="3088" customWidth="1"/>
    <col min="13055" max="13056" width="12.125" style="3088" customWidth="1"/>
    <col min="13057" max="13057" width="13" style="3088" customWidth="1"/>
    <col min="13058" max="13058" width="16.875" style="3088" customWidth="1"/>
    <col min="13059" max="13272" width="8.875" style="3088"/>
    <col min="13273" max="13274" width="7.625" style="3088" customWidth="1"/>
    <col min="13275" max="13275" width="9.125" style="3088" customWidth="1"/>
    <col min="13276" max="13279" width="8.125" style="3088" customWidth="1"/>
    <col min="13280" max="13281" width="9.5" style="3088" customWidth="1"/>
    <col min="13282" max="13282" width="8.125" style="3088" customWidth="1"/>
    <col min="13283" max="13283" width="6" style="3088" customWidth="1"/>
    <col min="13284" max="13284" width="7.625" style="3088" customWidth="1"/>
    <col min="13285" max="13285" width="7.125" style="3088" customWidth="1"/>
    <col min="13286" max="13286" width="6.875" style="3088" customWidth="1"/>
    <col min="13287" max="13287" width="7.125" style="3088" customWidth="1"/>
    <col min="13288" max="13292" width="6.125" style="3088" customWidth="1"/>
    <col min="13293" max="13293" width="7.125" style="3088" customWidth="1"/>
    <col min="13294" max="13294" width="6.625" style="3088" customWidth="1"/>
    <col min="13295" max="13296" width="7.125" style="3088" customWidth="1"/>
    <col min="13297" max="13297" width="7.875" style="3088" customWidth="1"/>
    <col min="13298" max="13301" width="6.625" style="3088" customWidth="1"/>
    <col min="13302" max="13302" width="6.875" style="3088" customWidth="1"/>
    <col min="13303" max="13303" width="7.875" style="3088" customWidth="1"/>
    <col min="13304" max="13305" width="8.125" style="3088" customWidth="1"/>
    <col min="13306" max="13307" width="6.625" style="3088" customWidth="1"/>
    <col min="13308" max="13308" width="8.5" style="3088" customWidth="1"/>
    <col min="13309" max="13310" width="8.625" style="3088" customWidth="1"/>
    <col min="13311" max="13312" width="12.125" style="3088" customWidth="1"/>
    <col min="13313" max="13313" width="13" style="3088" customWidth="1"/>
    <col min="13314" max="13314" width="16.875" style="3088" customWidth="1"/>
    <col min="13315" max="13528" width="8.875" style="3088"/>
    <col min="13529" max="13530" width="7.625" style="3088" customWidth="1"/>
    <col min="13531" max="13531" width="9.125" style="3088" customWidth="1"/>
    <col min="13532" max="13535" width="8.125" style="3088" customWidth="1"/>
    <col min="13536" max="13537" width="9.5" style="3088" customWidth="1"/>
    <col min="13538" max="13538" width="8.125" style="3088" customWidth="1"/>
    <col min="13539" max="13539" width="6" style="3088" customWidth="1"/>
    <col min="13540" max="13540" width="7.625" style="3088" customWidth="1"/>
    <col min="13541" max="13541" width="7.125" style="3088" customWidth="1"/>
    <col min="13542" max="13542" width="6.875" style="3088" customWidth="1"/>
    <col min="13543" max="13543" width="7.125" style="3088" customWidth="1"/>
    <col min="13544" max="13548" width="6.125" style="3088" customWidth="1"/>
    <col min="13549" max="13549" width="7.125" style="3088" customWidth="1"/>
    <col min="13550" max="13550" width="6.625" style="3088" customWidth="1"/>
    <col min="13551" max="13552" width="7.125" style="3088" customWidth="1"/>
    <col min="13553" max="13553" width="7.875" style="3088" customWidth="1"/>
    <col min="13554" max="13557" width="6.625" style="3088" customWidth="1"/>
    <col min="13558" max="13558" width="6.875" style="3088" customWidth="1"/>
    <col min="13559" max="13559" width="7.875" style="3088" customWidth="1"/>
    <col min="13560" max="13561" width="8.125" style="3088" customWidth="1"/>
    <col min="13562" max="13563" width="6.625" style="3088" customWidth="1"/>
    <col min="13564" max="13564" width="8.5" style="3088" customWidth="1"/>
    <col min="13565" max="13566" width="8.625" style="3088" customWidth="1"/>
    <col min="13567" max="13568" width="12.125" style="3088" customWidth="1"/>
    <col min="13569" max="13569" width="13" style="3088" customWidth="1"/>
    <col min="13570" max="13570" width="16.875" style="3088" customWidth="1"/>
    <col min="13571" max="13784" width="8.875" style="3088"/>
    <col min="13785" max="13786" width="7.625" style="3088" customWidth="1"/>
    <col min="13787" max="13787" width="9.125" style="3088" customWidth="1"/>
    <col min="13788" max="13791" width="8.125" style="3088" customWidth="1"/>
    <col min="13792" max="13793" width="9.5" style="3088" customWidth="1"/>
    <col min="13794" max="13794" width="8.125" style="3088" customWidth="1"/>
    <col min="13795" max="13795" width="6" style="3088" customWidth="1"/>
    <col min="13796" max="13796" width="7.625" style="3088" customWidth="1"/>
    <col min="13797" max="13797" width="7.125" style="3088" customWidth="1"/>
    <col min="13798" max="13798" width="6.875" style="3088" customWidth="1"/>
    <col min="13799" max="13799" width="7.125" style="3088" customWidth="1"/>
    <col min="13800" max="13804" width="6.125" style="3088" customWidth="1"/>
    <col min="13805" max="13805" width="7.125" style="3088" customWidth="1"/>
    <col min="13806" max="13806" width="6.625" style="3088" customWidth="1"/>
    <col min="13807" max="13808" width="7.125" style="3088" customWidth="1"/>
    <col min="13809" max="13809" width="7.875" style="3088" customWidth="1"/>
    <col min="13810" max="13813" width="6.625" style="3088" customWidth="1"/>
    <col min="13814" max="13814" width="6.875" style="3088" customWidth="1"/>
    <col min="13815" max="13815" width="7.875" style="3088" customWidth="1"/>
    <col min="13816" max="13817" width="8.125" style="3088" customWidth="1"/>
    <col min="13818" max="13819" width="6.625" style="3088" customWidth="1"/>
    <col min="13820" max="13820" width="8.5" style="3088" customWidth="1"/>
    <col min="13821" max="13822" width="8.625" style="3088" customWidth="1"/>
    <col min="13823" max="13824" width="12.125" style="3088" customWidth="1"/>
    <col min="13825" max="13825" width="13" style="3088" customWidth="1"/>
    <col min="13826" max="13826" width="16.875" style="3088" customWidth="1"/>
    <col min="13827" max="14040" width="8.875" style="3088"/>
    <col min="14041" max="14042" width="7.625" style="3088" customWidth="1"/>
    <col min="14043" max="14043" width="9.125" style="3088" customWidth="1"/>
    <col min="14044" max="14047" width="8.125" style="3088" customWidth="1"/>
    <col min="14048" max="14049" width="9.5" style="3088" customWidth="1"/>
    <col min="14050" max="14050" width="8.125" style="3088" customWidth="1"/>
    <col min="14051" max="14051" width="6" style="3088" customWidth="1"/>
    <col min="14052" max="14052" width="7.625" style="3088" customWidth="1"/>
    <col min="14053" max="14053" width="7.125" style="3088" customWidth="1"/>
    <col min="14054" max="14054" width="6.875" style="3088" customWidth="1"/>
    <col min="14055" max="14055" width="7.125" style="3088" customWidth="1"/>
    <col min="14056" max="14060" width="6.125" style="3088" customWidth="1"/>
    <col min="14061" max="14061" width="7.125" style="3088" customWidth="1"/>
    <col min="14062" max="14062" width="6.625" style="3088" customWidth="1"/>
    <col min="14063" max="14064" width="7.125" style="3088" customWidth="1"/>
    <col min="14065" max="14065" width="7.875" style="3088" customWidth="1"/>
    <col min="14066" max="14069" width="6.625" style="3088" customWidth="1"/>
    <col min="14070" max="14070" width="6.875" style="3088" customWidth="1"/>
    <col min="14071" max="14071" width="7.875" style="3088" customWidth="1"/>
    <col min="14072" max="14073" width="8.125" style="3088" customWidth="1"/>
    <col min="14074" max="14075" width="6.625" style="3088" customWidth="1"/>
    <col min="14076" max="14076" width="8.5" style="3088" customWidth="1"/>
    <col min="14077" max="14078" width="8.625" style="3088" customWidth="1"/>
    <col min="14079" max="14080" width="12.125" style="3088" customWidth="1"/>
    <col min="14081" max="14081" width="13" style="3088" customWidth="1"/>
    <col min="14082" max="14082" width="16.875" style="3088" customWidth="1"/>
    <col min="14083" max="14296" width="8.875" style="3088"/>
    <col min="14297" max="14298" width="7.625" style="3088" customWidth="1"/>
    <col min="14299" max="14299" width="9.125" style="3088" customWidth="1"/>
    <col min="14300" max="14303" width="8.125" style="3088" customWidth="1"/>
    <col min="14304" max="14305" width="9.5" style="3088" customWidth="1"/>
    <col min="14306" max="14306" width="8.125" style="3088" customWidth="1"/>
    <col min="14307" max="14307" width="6" style="3088" customWidth="1"/>
    <col min="14308" max="14308" width="7.625" style="3088" customWidth="1"/>
    <col min="14309" max="14309" width="7.125" style="3088" customWidth="1"/>
    <col min="14310" max="14310" width="6.875" style="3088" customWidth="1"/>
    <col min="14311" max="14311" width="7.125" style="3088" customWidth="1"/>
    <col min="14312" max="14316" width="6.125" style="3088" customWidth="1"/>
    <col min="14317" max="14317" width="7.125" style="3088" customWidth="1"/>
    <col min="14318" max="14318" width="6.625" style="3088" customWidth="1"/>
    <col min="14319" max="14320" width="7.125" style="3088" customWidth="1"/>
    <col min="14321" max="14321" width="7.875" style="3088" customWidth="1"/>
    <col min="14322" max="14325" width="6.625" style="3088" customWidth="1"/>
    <col min="14326" max="14326" width="6.875" style="3088" customWidth="1"/>
    <col min="14327" max="14327" width="7.875" style="3088" customWidth="1"/>
    <col min="14328" max="14329" width="8.125" style="3088" customWidth="1"/>
    <col min="14330" max="14331" width="6.625" style="3088" customWidth="1"/>
    <col min="14332" max="14332" width="8.5" style="3088" customWidth="1"/>
    <col min="14333" max="14334" width="8.625" style="3088" customWidth="1"/>
    <col min="14335" max="14336" width="12.125" style="3088" customWidth="1"/>
    <col min="14337" max="14337" width="13" style="3088" customWidth="1"/>
    <col min="14338" max="14338" width="16.875" style="3088" customWidth="1"/>
    <col min="14339" max="14552" width="8.875" style="3088"/>
    <col min="14553" max="14554" width="7.625" style="3088" customWidth="1"/>
    <col min="14555" max="14555" width="9.125" style="3088" customWidth="1"/>
    <col min="14556" max="14559" width="8.125" style="3088" customWidth="1"/>
    <col min="14560" max="14561" width="9.5" style="3088" customWidth="1"/>
    <col min="14562" max="14562" width="8.125" style="3088" customWidth="1"/>
    <col min="14563" max="14563" width="6" style="3088" customWidth="1"/>
    <col min="14564" max="14564" width="7.625" style="3088" customWidth="1"/>
    <col min="14565" max="14565" width="7.125" style="3088" customWidth="1"/>
    <col min="14566" max="14566" width="6.875" style="3088" customWidth="1"/>
    <col min="14567" max="14567" width="7.125" style="3088" customWidth="1"/>
    <col min="14568" max="14572" width="6.125" style="3088" customWidth="1"/>
    <col min="14573" max="14573" width="7.125" style="3088" customWidth="1"/>
    <col min="14574" max="14574" width="6.625" style="3088" customWidth="1"/>
    <col min="14575" max="14576" width="7.125" style="3088" customWidth="1"/>
    <col min="14577" max="14577" width="7.875" style="3088" customWidth="1"/>
    <col min="14578" max="14581" width="6.625" style="3088" customWidth="1"/>
    <col min="14582" max="14582" width="6.875" style="3088" customWidth="1"/>
    <col min="14583" max="14583" width="7.875" style="3088" customWidth="1"/>
    <col min="14584" max="14585" width="8.125" style="3088" customWidth="1"/>
    <col min="14586" max="14587" width="6.625" style="3088" customWidth="1"/>
    <col min="14588" max="14588" width="8.5" style="3088" customWidth="1"/>
    <col min="14589" max="14590" width="8.625" style="3088" customWidth="1"/>
    <col min="14591" max="14592" width="12.125" style="3088" customWidth="1"/>
    <col min="14593" max="14593" width="13" style="3088" customWidth="1"/>
    <col min="14594" max="14594" width="16.875" style="3088" customWidth="1"/>
    <col min="14595" max="14808" width="8.875" style="3088"/>
    <col min="14809" max="14810" width="7.625" style="3088" customWidth="1"/>
    <col min="14811" max="14811" width="9.125" style="3088" customWidth="1"/>
    <col min="14812" max="14815" width="8.125" style="3088" customWidth="1"/>
    <col min="14816" max="14817" width="9.5" style="3088" customWidth="1"/>
    <col min="14818" max="14818" width="8.125" style="3088" customWidth="1"/>
    <col min="14819" max="14819" width="6" style="3088" customWidth="1"/>
    <col min="14820" max="14820" width="7.625" style="3088" customWidth="1"/>
    <col min="14821" max="14821" width="7.125" style="3088" customWidth="1"/>
    <col min="14822" max="14822" width="6.875" style="3088" customWidth="1"/>
    <col min="14823" max="14823" width="7.125" style="3088" customWidth="1"/>
    <col min="14824" max="14828" width="6.125" style="3088" customWidth="1"/>
    <col min="14829" max="14829" width="7.125" style="3088" customWidth="1"/>
    <col min="14830" max="14830" width="6.625" style="3088" customWidth="1"/>
    <col min="14831" max="14832" width="7.125" style="3088" customWidth="1"/>
    <col min="14833" max="14833" width="7.875" style="3088" customWidth="1"/>
    <col min="14834" max="14837" width="6.625" style="3088" customWidth="1"/>
    <col min="14838" max="14838" width="6.875" style="3088" customWidth="1"/>
    <col min="14839" max="14839" width="7.875" style="3088" customWidth="1"/>
    <col min="14840" max="14841" width="8.125" style="3088" customWidth="1"/>
    <col min="14842" max="14843" width="6.625" style="3088" customWidth="1"/>
    <col min="14844" max="14844" width="8.5" style="3088" customWidth="1"/>
    <col min="14845" max="14846" width="8.625" style="3088" customWidth="1"/>
    <col min="14847" max="14848" width="12.125" style="3088" customWidth="1"/>
    <col min="14849" max="14849" width="13" style="3088" customWidth="1"/>
    <col min="14850" max="14850" width="16.875" style="3088" customWidth="1"/>
    <col min="14851" max="15064" width="8.875" style="3088"/>
    <col min="15065" max="15066" width="7.625" style="3088" customWidth="1"/>
    <col min="15067" max="15067" width="9.125" style="3088" customWidth="1"/>
    <col min="15068" max="15071" width="8.125" style="3088" customWidth="1"/>
    <col min="15072" max="15073" width="9.5" style="3088" customWidth="1"/>
    <col min="15074" max="15074" width="8.125" style="3088" customWidth="1"/>
    <col min="15075" max="15075" width="6" style="3088" customWidth="1"/>
    <col min="15076" max="15076" width="7.625" style="3088" customWidth="1"/>
    <col min="15077" max="15077" width="7.125" style="3088" customWidth="1"/>
    <col min="15078" max="15078" width="6.875" style="3088" customWidth="1"/>
    <col min="15079" max="15079" width="7.125" style="3088" customWidth="1"/>
    <col min="15080" max="15084" width="6.125" style="3088" customWidth="1"/>
    <col min="15085" max="15085" width="7.125" style="3088" customWidth="1"/>
    <col min="15086" max="15086" width="6.625" style="3088" customWidth="1"/>
    <col min="15087" max="15088" width="7.125" style="3088" customWidth="1"/>
    <col min="15089" max="15089" width="7.875" style="3088" customWidth="1"/>
    <col min="15090" max="15093" width="6.625" style="3088" customWidth="1"/>
    <col min="15094" max="15094" width="6.875" style="3088" customWidth="1"/>
    <col min="15095" max="15095" width="7.875" style="3088" customWidth="1"/>
    <col min="15096" max="15097" width="8.125" style="3088" customWidth="1"/>
    <col min="15098" max="15099" width="6.625" style="3088" customWidth="1"/>
    <col min="15100" max="15100" width="8.5" style="3088" customWidth="1"/>
    <col min="15101" max="15102" width="8.625" style="3088" customWidth="1"/>
    <col min="15103" max="15104" width="12.125" style="3088" customWidth="1"/>
    <col min="15105" max="15105" width="13" style="3088" customWidth="1"/>
    <col min="15106" max="15106" width="16.875" style="3088" customWidth="1"/>
    <col min="15107" max="15320" width="8.875" style="3088"/>
    <col min="15321" max="15322" width="7.625" style="3088" customWidth="1"/>
    <col min="15323" max="15323" width="9.125" style="3088" customWidth="1"/>
    <col min="15324" max="15327" width="8.125" style="3088" customWidth="1"/>
    <col min="15328" max="15329" width="9.5" style="3088" customWidth="1"/>
    <col min="15330" max="15330" width="8.125" style="3088" customWidth="1"/>
    <col min="15331" max="15331" width="6" style="3088" customWidth="1"/>
    <col min="15332" max="15332" width="7.625" style="3088" customWidth="1"/>
    <col min="15333" max="15333" width="7.125" style="3088" customWidth="1"/>
    <col min="15334" max="15334" width="6.875" style="3088" customWidth="1"/>
    <col min="15335" max="15335" width="7.125" style="3088" customWidth="1"/>
    <col min="15336" max="15340" width="6.125" style="3088" customWidth="1"/>
    <col min="15341" max="15341" width="7.125" style="3088" customWidth="1"/>
    <col min="15342" max="15342" width="6.625" style="3088" customWidth="1"/>
    <col min="15343" max="15344" width="7.125" style="3088" customWidth="1"/>
    <col min="15345" max="15345" width="7.875" style="3088" customWidth="1"/>
    <col min="15346" max="15349" width="6.625" style="3088" customWidth="1"/>
    <col min="15350" max="15350" width="6.875" style="3088" customWidth="1"/>
    <col min="15351" max="15351" width="7.875" style="3088" customWidth="1"/>
    <col min="15352" max="15353" width="8.125" style="3088" customWidth="1"/>
    <col min="15354" max="15355" width="6.625" style="3088" customWidth="1"/>
    <col min="15356" max="15356" width="8.5" style="3088" customWidth="1"/>
    <col min="15357" max="15358" width="8.625" style="3088" customWidth="1"/>
    <col min="15359" max="15360" width="12.125" style="3088" customWidth="1"/>
    <col min="15361" max="15361" width="13" style="3088" customWidth="1"/>
    <col min="15362" max="15362" width="16.875" style="3088" customWidth="1"/>
    <col min="15363" max="15576" width="8.875" style="3088"/>
    <col min="15577" max="15578" width="7.625" style="3088" customWidth="1"/>
    <col min="15579" max="15579" width="9.125" style="3088" customWidth="1"/>
    <col min="15580" max="15583" width="8.125" style="3088" customWidth="1"/>
    <col min="15584" max="15585" width="9.5" style="3088" customWidth="1"/>
    <col min="15586" max="15586" width="8.125" style="3088" customWidth="1"/>
    <col min="15587" max="15587" width="6" style="3088" customWidth="1"/>
    <col min="15588" max="15588" width="7.625" style="3088" customWidth="1"/>
    <col min="15589" max="15589" width="7.125" style="3088" customWidth="1"/>
    <col min="15590" max="15590" width="6.875" style="3088" customWidth="1"/>
    <col min="15591" max="15591" width="7.125" style="3088" customWidth="1"/>
    <col min="15592" max="15596" width="6.125" style="3088" customWidth="1"/>
    <col min="15597" max="15597" width="7.125" style="3088" customWidth="1"/>
    <col min="15598" max="15598" width="6.625" style="3088" customWidth="1"/>
    <col min="15599" max="15600" width="7.125" style="3088" customWidth="1"/>
    <col min="15601" max="15601" width="7.875" style="3088" customWidth="1"/>
    <col min="15602" max="15605" width="6.625" style="3088" customWidth="1"/>
    <col min="15606" max="15606" width="6.875" style="3088" customWidth="1"/>
    <col min="15607" max="15607" width="7.875" style="3088" customWidth="1"/>
    <col min="15608" max="15609" width="8.125" style="3088" customWidth="1"/>
    <col min="15610" max="15611" width="6.625" style="3088" customWidth="1"/>
    <col min="15612" max="15612" width="8.5" style="3088" customWidth="1"/>
    <col min="15613" max="15614" width="8.625" style="3088" customWidth="1"/>
    <col min="15615" max="15616" width="12.125" style="3088" customWidth="1"/>
    <col min="15617" max="15617" width="13" style="3088" customWidth="1"/>
    <col min="15618" max="15618" width="16.875" style="3088" customWidth="1"/>
    <col min="15619" max="15832" width="8.875" style="3088"/>
    <col min="15833" max="15834" width="7.625" style="3088" customWidth="1"/>
    <col min="15835" max="15835" width="9.125" style="3088" customWidth="1"/>
    <col min="15836" max="15839" width="8.125" style="3088" customWidth="1"/>
    <col min="15840" max="15841" width="9.5" style="3088" customWidth="1"/>
    <col min="15842" max="15842" width="8.125" style="3088" customWidth="1"/>
    <col min="15843" max="15843" width="6" style="3088" customWidth="1"/>
    <col min="15844" max="15844" width="7.625" style="3088" customWidth="1"/>
    <col min="15845" max="15845" width="7.125" style="3088" customWidth="1"/>
    <col min="15846" max="15846" width="6.875" style="3088" customWidth="1"/>
    <col min="15847" max="15847" width="7.125" style="3088" customWidth="1"/>
    <col min="15848" max="15852" width="6.125" style="3088" customWidth="1"/>
    <col min="15853" max="15853" width="7.125" style="3088" customWidth="1"/>
    <col min="15854" max="15854" width="6.625" style="3088" customWidth="1"/>
    <col min="15855" max="15856" width="7.125" style="3088" customWidth="1"/>
    <col min="15857" max="15857" width="7.875" style="3088" customWidth="1"/>
    <col min="15858" max="15861" width="6.625" style="3088" customWidth="1"/>
    <col min="15862" max="15862" width="6.875" style="3088" customWidth="1"/>
    <col min="15863" max="15863" width="7.875" style="3088" customWidth="1"/>
    <col min="15864" max="15865" width="8.125" style="3088" customWidth="1"/>
    <col min="15866" max="15867" width="6.625" style="3088" customWidth="1"/>
    <col min="15868" max="15868" width="8.5" style="3088" customWidth="1"/>
    <col min="15869" max="15870" width="8.625" style="3088" customWidth="1"/>
    <col min="15871" max="15872" width="12.125" style="3088" customWidth="1"/>
    <col min="15873" max="15873" width="13" style="3088" customWidth="1"/>
    <col min="15874" max="15874" width="16.875" style="3088" customWidth="1"/>
    <col min="15875" max="16088" width="8.875" style="3088"/>
    <col min="16089" max="16090" width="7.625" style="3088" customWidth="1"/>
    <col min="16091" max="16091" width="9.125" style="3088" customWidth="1"/>
    <col min="16092" max="16095" width="8.125" style="3088" customWidth="1"/>
    <col min="16096" max="16097" width="9.5" style="3088" customWidth="1"/>
    <col min="16098" max="16098" width="8.125" style="3088" customWidth="1"/>
    <col min="16099" max="16099" width="6" style="3088" customWidth="1"/>
    <col min="16100" max="16100" width="7.625" style="3088" customWidth="1"/>
    <col min="16101" max="16101" width="7.125" style="3088" customWidth="1"/>
    <col min="16102" max="16102" width="6.875" style="3088" customWidth="1"/>
    <col min="16103" max="16103" width="7.125" style="3088" customWidth="1"/>
    <col min="16104" max="16108" width="6.125" style="3088" customWidth="1"/>
    <col min="16109" max="16109" width="7.125" style="3088" customWidth="1"/>
    <col min="16110" max="16110" width="6.625" style="3088" customWidth="1"/>
    <col min="16111" max="16112" width="7.125" style="3088" customWidth="1"/>
    <col min="16113" max="16113" width="7.875" style="3088" customWidth="1"/>
    <col min="16114" max="16117" width="6.625" style="3088" customWidth="1"/>
    <col min="16118" max="16118" width="6.875" style="3088" customWidth="1"/>
    <col min="16119" max="16119" width="7.875" style="3088" customWidth="1"/>
    <col min="16120" max="16121" width="8.125" style="3088" customWidth="1"/>
    <col min="16122" max="16123" width="6.625" style="3088" customWidth="1"/>
    <col min="16124" max="16124" width="8.5" style="3088" customWidth="1"/>
    <col min="16125" max="16126" width="8.625" style="3088" customWidth="1"/>
    <col min="16127" max="16128" width="12.125" style="3088" customWidth="1"/>
    <col min="16129" max="16129" width="13" style="3088" customWidth="1"/>
    <col min="16130" max="16130" width="16.875" style="3088" customWidth="1"/>
    <col min="16131" max="16384" width="8.875" style="3088"/>
  </cols>
  <sheetData>
    <row r="1" spans="1:13" ht="23.25" customHeight="1">
      <c r="A1" s="3744" t="s">
        <v>3431</v>
      </c>
      <c r="B1" s="3744"/>
      <c r="C1" s="3744"/>
      <c r="D1" s="3744"/>
      <c r="E1" s="3744"/>
      <c r="F1" s="3744"/>
      <c r="G1" s="3744"/>
      <c r="H1" s="3744"/>
      <c r="I1" s="3744"/>
    </row>
    <row r="2" spans="1:13" s="3092" customFormat="1" ht="36" customHeight="1">
      <c r="A2" s="3089" t="s">
        <v>3432</v>
      </c>
      <c r="B2" s="3089" t="s">
        <v>3433</v>
      </c>
      <c r="C2" s="3090" t="s">
        <v>3434</v>
      </c>
      <c r="D2" s="3090" t="s">
        <v>3253</v>
      </c>
      <c r="E2" s="3110" t="s">
        <v>3435</v>
      </c>
      <c r="F2" s="3091" t="s">
        <v>3436</v>
      </c>
      <c r="G2" s="3091" t="s">
        <v>3437</v>
      </c>
      <c r="H2" s="3091" t="s">
        <v>3438</v>
      </c>
      <c r="I2" s="3091" t="s">
        <v>3439</v>
      </c>
    </row>
    <row r="3" spans="1:13" ht="18" customHeight="1">
      <c r="A3" s="3743" t="s">
        <v>3440</v>
      </c>
      <c r="B3" s="3743" t="s">
        <v>3441</v>
      </c>
      <c r="C3" s="3093" t="s">
        <v>3442</v>
      </c>
      <c r="D3" s="3093">
        <v>101</v>
      </c>
      <c r="E3" s="3111">
        <v>46.37</v>
      </c>
      <c r="F3" s="3094">
        <v>41.23</v>
      </c>
      <c r="G3" s="3094">
        <v>5.14</v>
      </c>
      <c r="H3" s="3095">
        <f>F3/E3</f>
        <v>0.88915246926892388</v>
      </c>
      <c r="I3" s="3094" t="s">
        <v>3443</v>
      </c>
      <c r="K3" s="3084" t="s">
        <v>3338</v>
      </c>
      <c r="L3" s="3084" t="s">
        <v>3059</v>
      </c>
      <c r="M3" s="3084" t="s">
        <v>3083</v>
      </c>
    </row>
    <row r="4" spans="1:13" ht="18" customHeight="1">
      <c r="A4" s="3743"/>
      <c r="B4" s="3743"/>
      <c r="C4" s="3093" t="s">
        <v>3442</v>
      </c>
      <c r="D4" s="3093" t="s">
        <v>3444</v>
      </c>
      <c r="E4" s="3111">
        <v>41.19</v>
      </c>
      <c r="F4" s="3094">
        <v>36.619999999999997</v>
      </c>
      <c r="G4" s="3094">
        <v>4.57</v>
      </c>
      <c r="H4" s="3095">
        <f t="shared" ref="H4:H79" si="0">F4/E4</f>
        <v>0.88905074047098809</v>
      </c>
      <c r="I4" s="3094" t="s">
        <v>3443</v>
      </c>
      <c r="K4" s="3735" t="s">
        <v>3335</v>
      </c>
      <c r="L4" s="3087" t="s">
        <v>3339</v>
      </c>
      <c r="M4" s="3139">
        <f>E100+E121+E143+E179+E211+E236</f>
        <v>2865.71</v>
      </c>
    </row>
    <row r="5" spans="1:13" ht="18" customHeight="1">
      <c r="A5" s="3743"/>
      <c r="B5" s="3743"/>
      <c r="C5" s="3093" t="s">
        <v>3442</v>
      </c>
      <c r="D5" s="3093" t="s">
        <v>3445</v>
      </c>
      <c r="E5" s="3111">
        <v>29.63</v>
      </c>
      <c r="F5" s="3094">
        <v>26.34</v>
      </c>
      <c r="G5" s="3094">
        <v>3.29</v>
      </c>
      <c r="H5" s="3095">
        <f t="shared" si="0"/>
        <v>0.88896388795140058</v>
      </c>
      <c r="I5" s="3094" t="s">
        <v>3443</v>
      </c>
      <c r="K5" s="3735"/>
      <c r="L5" s="3087" t="s">
        <v>3340</v>
      </c>
      <c r="M5" s="3139">
        <f>E101+E122+E144+E180+E212+E237</f>
        <v>9563.91</v>
      </c>
    </row>
    <row r="6" spans="1:13" ht="18" customHeight="1">
      <c r="A6" s="3743"/>
      <c r="B6" s="3743"/>
      <c r="C6" s="3093" t="s">
        <v>3442</v>
      </c>
      <c r="D6" s="3093" t="s">
        <v>3446</v>
      </c>
      <c r="E6" s="3111">
        <v>32.25</v>
      </c>
      <c r="F6" s="3094">
        <v>28.67</v>
      </c>
      <c r="G6" s="3094">
        <v>3.58</v>
      </c>
      <c r="H6" s="3095">
        <f t="shared" si="0"/>
        <v>0.8889922480620156</v>
      </c>
      <c r="I6" s="3094" t="s">
        <v>3443</v>
      </c>
      <c r="K6" s="3735"/>
      <c r="L6" s="3087" t="s">
        <v>3341</v>
      </c>
      <c r="M6" s="3139">
        <f>E123+E145+E181+E238</f>
        <v>5868.5</v>
      </c>
    </row>
    <row r="7" spans="1:13" ht="18" customHeight="1">
      <c r="A7" s="3743"/>
      <c r="B7" s="3743"/>
      <c r="C7" s="3093" t="s">
        <v>3442</v>
      </c>
      <c r="D7" s="3093" t="s">
        <v>3447</v>
      </c>
      <c r="E7" s="3111">
        <v>28</v>
      </c>
      <c r="F7" s="3094">
        <v>24.89</v>
      </c>
      <c r="G7" s="3094">
        <v>3.11</v>
      </c>
      <c r="H7" s="3095">
        <f t="shared" si="0"/>
        <v>0.8889285714285714</v>
      </c>
      <c r="I7" s="3094" t="s">
        <v>3443</v>
      </c>
      <c r="K7" s="3735"/>
      <c r="L7" s="3087" t="s">
        <v>3342</v>
      </c>
      <c r="M7" s="3139">
        <f>E124+E146+E182+E239</f>
        <v>5443.0999999999995</v>
      </c>
    </row>
    <row r="8" spans="1:13" ht="18" customHeight="1">
      <c r="A8" s="3743"/>
      <c r="B8" s="3743"/>
      <c r="C8" s="3093" t="s">
        <v>3442</v>
      </c>
      <c r="D8" s="3093" t="s">
        <v>3448</v>
      </c>
      <c r="E8" s="3111">
        <v>18.579999999999998</v>
      </c>
      <c r="F8" s="3094">
        <v>16.52</v>
      </c>
      <c r="G8" s="3094">
        <v>2.06</v>
      </c>
      <c r="H8" s="3095">
        <f t="shared" si="0"/>
        <v>0.88912809472551135</v>
      </c>
      <c r="I8" s="3094" t="s">
        <v>3443</v>
      </c>
      <c r="K8" s="3735"/>
      <c r="L8" s="3087" t="s">
        <v>3343</v>
      </c>
      <c r="M8" s="3139">
        <f>E240</f>
        <v>1998.52</v>
      </c>
    </row>
    <row r="9" spans="1:13" ht="18" customHeight="1">
      <c r="A9" s="3117" t="s">
        <v>3081</v>
      </c>
      <c r="B9" s="3117"/>
      <c r="C9" s="3118" t="s">
        <v>3442</v>
      </c>
      <c r="D9" s="3118"/>
      <c r="E9" s="3142">
        <f>SUM(E3:E8)</f>
        <v>196.01999999999998</v>
      </c>
      <c r="F9" s="3119"/>
      <c r="G9" s="3119"/>
      <c r="H9" s="3120"/>
      <c r="I9" s="3119"/>
      <c r="K9" s="3084" t="s">
        <v>3346</v>
      </c>
      <c r="L9" s="3086"/>
      <c r="M9" s="3055">
        <f>SUM(M4:M8)</f>
        <v>25739.739999999998</v>
      </c>
    </row>
    <row r="10" spans="1:13" ht="18" customHeight="1">
      <c r="A10" s="3096"/>
      <c r="B10" s="3096"/>
      <c r="C10" s="3093"/>
      <c r="D10" s="3093"/>
      <c r="E10" s="3111"/>
      <c r="F10" s="3094"/>
      <c r="G10" s="3094"/>
      <c r="H10" s="3095"/>
      <c r="I10" s="3094"/>
      <c r="K10" s="3735" t="s">
        <v>3347</v>
      </c>
      <c r="L10" s="3087" t="s">
        <v>3339</v>
      </c>
      <c r="M10" s="3139">
        <f>E9+E19+E30+E41+E52+E61+E71+E92+E191+E82</f>
        <v>3147.81</v>
      </c>
    </row>
    <row r="11" spans="1:13" ht="18" customHeight="1">
      <c r="A11" s="3743" t="s">
        <v>3290</v>
      </c>
      <c r="B11" s="3743" t="s">
        <v>3449</v>
      </c>
      <c r="C11" s="3093" t="s">
        <v>3450</v>
      </c>
      <c r="D11" s="3093" t="s">
        <v>3451</v>
      </c>
      <c r="E11" s="3111">
        <v>76.400000000000006</v>
      </c>
      <c r="F11" s="3094">
        <v>71.34</v>
      </c>
      <c r="G11" s="3094">
        <v>5.0599999999999996</v>
      </c>
      <c r="H11" s="3095">
        <f t="shared" si="0"/>
        <v>0.93376963350785336</v>
      </c>
      <c r="I11" s="3094" t="s">
        <v>3443</v>
      </c>
      <c r="K11" s="3735"/>
      <c r="L11" s="3087" t="s">
        <v>3344</v>
      </c>
      <c r="M11" s="3139">
        <f>E20+E31+E42+E53+E72+E83</f>
        <v>1192.04</v>
      </c>
    </row>
    <row r="12" spans="1:13" ht="18" customHeight="1">
      <c r="A12" s="3743"/>
      <c r="B12" s="3743"/>
      <c r="C12" s="3093" t="s">
        <v>3450</v>
      </c>
      <c r="D12" s="3093" t="s">
        <v>3452</v>
      </c>
      <c r="E12" s="3111">
        <v>65.89</v>
      </c>
      <c r="F12" s="3094">
        <v>61.53</v>
      </c>
      <c r="G12" s="3094">
        <v>4.3600000000000003</v>
      </c>
      <c r="H12" s="3095">
        <f t="shared" si="0"/>
        <v>0.93382910912126271</v>
      </c>
      <c r="I12" s="3094" t="s">
        <v>3443</v>
      </c>
      <c r="K12" s="3084" t="s">
        <v>3346</v>
      </c>
      <c r="L12" s="3086"/>
      <c r="M12" s="3055">
        <f>M10+M11</f>
        <v>4339.8500000000004</v>
      </c>
    </row>
    <row r="13" spans="1:13" ht="18" customHeight="1">
      <c r="A13" s="3743"/>
      <c r="B13" s="3743"/>
      <c r="C13" s="3093" t="s">
        <v>3450</v>
      </c>
      <c r="D13" s="3093" t="s">
        <v>3453</v>
      </c>
      <c r="E13" s="3111">
        <v>44.23</v>
      </c>
      <c r="F13" s="3094">
        <v>41.3</v>
      </c>
      <c r="G13" s="3094">
        <v>2.93</v>
      </c>
      <c r="H13" s="3095">
        <f t="shared" si="0"/>
        <v>0.93375536965860273</v>
      </c>
      <c r="I13" s="3094" t="s">
        <v>3443</v>
      </c>
      <c r="K13" s="3735" t="s">
        <v>3348</v>
      </c>
      <c r="L13" s="3087" t="s">
        <v>3517</v>
      </c>
      <c r="M13" s="3087">
        <f>E148</f>
        <v>1175.9000000000001</v>
      </c>
    </row>
    <row r="14" spans="1:13" ht="18" customHeight="1">
      <c r="A14" s="3743"/>
      <c r="B14" s="3743"/>
      <c r="C14" s="3093" t="s">
        <v>3442</v>
      </c>
      <c r="D14" s="3093">
        <v>101</v>
      </c>
      <c r="E14" s="3111">
        <v>45.78</v>
      </c>
      <c r="F14" s="3094">
        <v>41.53</v>
      </c>
      <c r="G14" s="3094">
        <v>4.25</v>
      </c>
      <c r="H14" s="3095">
        <f t="shared" si="0"/>
        <v>0.90716470074268241</v>
      </c>
      <c r="I14" s="3094" t="s">
        <v>3443</v>
      </c>
      <c r="K14" s="3735"/>
      <c r="L14" s="3087" t="s">
        <v>3341</v>
      </c>
      <c r="M14" s="3087">
        <f>E149</f>
        <v>2065.16</v>
      </c>
    </row>
    <row r="15" spans="1:13" ht="18" customHeight="1">
      <c r="A15" s="3743"/>
      <c r="B15" s="3743"/>
      <c r="C15" s="3093" t="s">
        <v>3442</v>
      </c>
      <c r="D15" s="3093" t="s">
        <v>3444</v>
      </c>
      <c r="E15" s="3111">
        <v>68.84</v>
      </c>
      <c r="F15" s="3094">
        <v>62.45</v>
      </c>
      <c r="G15" s="3094">
        <v>6.39</v>
      </c>
      <c r="H15" s="3095">
        <f t="shared" si="0"/>
        <v>0.90717606042998256</v>
      </c>
      <c r="I15" s="3094" t="s">
        <v>3443</v>
      </c>
      <c r="K15" s="3735"/>
      <c r="L15" s="3087" t="s">
        <v>3342</v>
      </c>
      <c r="M15" s="3087">
        <f>E150</f>
        <v>3363.01</v>
      </c>
    </row>
    <row r="16" spans="1:13" ht="18" customHeight="1">
      <c r="A16" s="3743"/>
      <c r="B16" s="3743"/>
      <c r="C16" s="3093" t="s">
        <v>3442</v>
      </c>
      <c r="D16" s="3093" t="s">
        <v>3445</v>
      </c>
      <c r="E16" s="3111">
        <v>31.77</v>
      </c>
      <c r="F16" s="3094">
        <v>28.82</v>
      </c>
      <c r="G16" s="3094">
        <v>2.95</v>
      </c>
      <c r="H16" s="3095">
        <f t="shared" si="0"/>
        <v>0.90714510544538873</v>
      </c>
      <c r="I16" s="3094" t="s">
        <v>3443</v>
      </c>
      <c r="K16" s="3084" t="s">
        <v>3346</v>
      </c>
      <c r="L16" s="3086"/>
      <c r="M16" s="3055">
        <f>SUM(M13:M15)</f>
        <v>6604.07</v>
      </c>
    </row>
    <row r="17" spans="1:13" ht="18" customHeight="1">
      <c r="A17" s="3743"/>
      <c r="B17" s="3743"/>
      <c r="C17" s="3093" t="s">
        <v>3442</v>
      </c>
      <c r="D17" s="3093" t="s">
        <v>3446</v>
      </c>
      <c r="E17" s="3111">
        <v>68.84</v>
      </c>
      <c r="F17" s="3094">
        <v>62.45</v>
      </c>
      <c r="G17" s="3094">
        <v>6.39</v>
      </c>
      <c r="H17" s="3095">
        <f t="shared" si="0"/>
        <v>0.90717606042998256</v>
      </c>
      <c r="I17" s="3094" t="s">
        <v>3443</v>
      </c>
      <c r="K17" s="3735" t="s">
        <v>3349</v>
      </c>
      <c r="L17" s="3087" t="s">
        <v>3344</v>
      </c>
      <c r="M17" s="3139">
        <f>E250</f>
        <v>28970.46</v>
      </c>
    </row>
    <row r="18" spans="1:13" ht="18" customHeight="1">
      <c r="A18" s="3743"/>
      <c r="B18" s="3743"/>
      <c r="C18" s="3093" t="s">
        <v>3442</v>
      </c>
      <c r="D18" s="3093" t="s">
        <v>3447</v>
      </c>
      <c r="E18" s="3111">
        <v>45.78</v>
      </c>
      <c r="F18" s="3094">
        <v>41.53</v>
      </c>
      <c r="G18" s="3094">
        <v>4.25</v>
      </c>
      <c r="H18" s="3095">
        <f t="shared" si="0"/>
        <v>0.90716470074268241</v>
      </c>
      <c r="I18" s="3094" t="s">
        <v>3443</v>
      </c>
      <c r="K18" s="3735"/>
      <c r="L18" s="3087" t="s">
        <v>3345</v>
      </c>
      <c r="M18" s="3139">
        <f>E251</f>
        <v>30651.379999999997</v>
      </c>
    </row>
    <row r="19" spans="1:13" ht="18" customHeight="1">
      <c r="A19" s="3117" t="s">
        <v>3081</v>
      </c>
      <c r="B19" s="3117"/>
      <c r="C19" s="3118" t="s">
        <v>3442</v>
      </c>
      <c r="D19" s="3118"/>
      <c r="E19" s="3142">
        <f>SUM(E14:E18)</f>
        <v>261.01</v>
      </c>
      <c r="F19" s="3119"/>
      <c r="G19" s="3119"/>
      <c r="H19" s="3120"/>
      <c r="I19" s="3119"/>
      <c r="K19" s="3084" t="s">
        <v>3346</v>
      </c>
      <c r="L19" s="3086"/>
      <c r="M19" s="3055">
        <f>M17+M18</f>
        <v>59621.84</v>
      </c>
    </row>
    <row r="20" spans="1:13" ht="18" customHeight="1">
      <c r="A20" s="3117"/>
      <c r="B20" s="3117"/>
      <c r="C20" s="3118" t="s">
        <v>3450</v>
      </c>
      <c r="D20" s="3118"/>
      <c r="E20" s="3142">
        <f>E11+E12+E13</f>
        <v>186.52</v>
      </c>
      <c r="F20" s="3119"/>
      <c r="G20" s="3119"/>
      <c r="H20" s="3120"/>
      <c r="I20" s="3119"/>
      <c r="K20" s="3084" t="s">
        <v>3081</v>
      </c>
      <c r="L20" s="3086"/>
      <c r="M20" s="3055">
        <f>M9+M12+M16+M19</f>
        <v>96305.5</v>
      </c>
    </row>
    <row r="21" spans="1:13" ht="18" customHeight="1">
      <c r="A21" s="3096"/>
      <c r="B21" s="3096"/>
      <c r="C21" s="3093"/>
      <c r="D21" s="3093"/>
      <c r="E21" s="3112"/>
      <c r="F21" s="3097"/>
      <c r="G21" s="3097"/>
      <c r="H21" s="3095"/>
      <c r="I21" s="3094"/>
      <c r="K21" s="3018"/>
      <c r="L21" s="3018"/>
      <c r="M21" s="3018"/>
    </row>
    <row r="22" spans="1:13" ht="18" customHeight="1">
      <c r="A22" s="3743" t="s">
        <v>3287</v>
      </c>
      <c r="B22" s="3743" t="s">
        <v>3288</v>
      </c>
      <c r="C22" s="3093" t="s">
        <v>3450</v>
      </c>
      <c r="D22" s="3098" t="s">
        <v>3454</v>
      </c>
      <c r="E22" s="3113">
        <v>78.17</v>
      </c>
      <c r="F22" s="3100">
        <v>71.34</v>
      </c>
      <c r="G22" s="3099">
        <v>6.83</v>
      </c>
      <c r="H22" s="3095">
        <f t="shared" si="0"/>
        <v>0.9126263272355124</v>
      </c>
      <c r="I22" s="3094" t="s">
        <v>3443</v>
      </c>
    </row>
    <row r="23" spans="1:13" ht="18" customHeight="1">
      <c r="A23" s="3743"/>
      <c r="B23" s="3743"/>
      <c r="C23" s="3093" t="s">
        <v>3450</v>
      </c>
      <c r="D23" s="3098" t="s">
        <v>3455</v>
      </c>
      <c r="E23" s="3113">
        <v>67.42</v>
      </c>
      <c r="F23" s="3100">
        <v>61.53</v>
      </c>
      <c r="G23" s="3099">
        <v>5.89</v>
      </c>
      <c r="H23" s="3095">
        <f t="shared" si="0"/>
        <v>0.91263719964402257</v>
      </c>
      <c r="I23" s="3094" t="s">
        <v>3443</v>
      </c>
    </row>
    <row r="24" spans="1:13" ht="18" customHeight="1">
      <c r="A24" s="3743"/>
      <c r="B24" s="3743"/>
      <c r="C24" s="3093" t="s">
        <v>3450</v>
      </c>
      <c r="D24" s="3098" t="s">
        <v>3456</v>
      </c>
      <c r="E24" s="3113">
        <v>45.25</v>
      </c>
      <c r="F24" s="3100">
        <v>41.3</v>
      </c>
      <c r="G24" s="3099">
        <v>3.95</v>
      </c>
      <c r="H24" s="3095">
        <f t="shared" si="0"/>
        <v>0.9127071823204419</v>
      </c>
      <c r="I24" s="3094" t="s">
        <v>3443</v>
      </c>
    </row>
    <row r="25" spans="1:13" ht="18" customHeight="1">
      <c r="A25" s="3743"/>
      <c r="B25" s="3743"/>
      <c r="C25" s="3093" t="s">
        <v>3442</v>
      </c>
      <c r="D25" s="3099">
        <v>101</v>
      </c>
      <c r="E25" s="3113">
        <v>45.78</v>
      </c>
      <c r="F25" s="3100">
        <v>41.53</v>
      </c>
      <c r="G25" s="3099">
        <v>4.25</v>
      </c>
      <c r="H25" s="3095">
        <f t="shared" si="0"/>
        <v>0.90716470074268241</v>
      </c>
      <c r="I25" s="3094" t="s">
        <v>3443</v>
      </c>
    </row>
    <row r="26" spans="1:13" ht="18" customHeight="1">
      <c r="A26" s="3743"/>
      <c r="B26" s="3743"/>
      <c r="C26" s="3093" t="s">
        <v>3442</v>
      </c>
      <c r="D26" s="3099">
        <v>102</v>
      </c>
      <c r="E26" s="3113">
        <v>68.84</v>
      </c>
      <c r="F26" s="3100">
        <v>62.45</v>
      </c>
      <c r="G26" s="3099">
        <v>6.39</v>
      </c>
      <c r="H26" s="3095">
        <f t="shared" si="0"/>
        <v>0.90717606042998256</v>
      </c>
      <c r="I26" s="3094" t="s">
        <v>3443</v>
      </c>
    </row>
    <row r="27" spans="1:13" ht="18" customHeight="1">
      <c r="A27" s="3743"/>
      <c r="B27" s="3743"/>
      <c r="C27" s="3093" t="s">
        <v>3442</v>
      </c>
      <c r="D27" s="3099">
        <v>103</v>
      </c>
      <c r="E27" s="3113">
        <v>31.77</v>
      </c>
      <c r="F27" s="3100">
        <v>28.82</v>
      </c>
      <c r="G27" s="3099">
        <v>2.95</v>
      </c>
      <c r="H27" s="3095">
        <f t="shared" si="0"/>
        <v>0.90714510544538873</v>
      </c>
      <c r="I27" s="3094" t="s">
        <v>3443</v>
      </c>
    </row>
    <row r="28" spans="1:13" ht="18" customHeight="1">
      <c r="A28" s="3743"/>
      <c r="B28" s="3743"/>
      <c r="C28" s="3093" t="s">
        <v>3442</v>
      </c>
      <c r="D28" s="3099">
        <v>104</v>
      </c>
      <c r="E28" s="3113">
        <v>68.84</v>
      </c>
      <c r="F28" s="3100">
        <v>62.45</v>
      </c>
      <c r="G28" s="3099">
        <v>6.39</v>
      </c>
      <c r="H28" s="3095">
        <f t="shared" si="0"/>
        <v>0.90717606042998256</v>
      </c>
      <c r="I28" s="3094" t="s">
        <v>3443</v>
      </c>
    </row>
    <row r="29" spans="1:13" ht="18" customHeight="1">
      <c r="A29" s="3743"/>
      <c r="B29" s="3743"/>
      <c r="C29" s="3093" t="s">
        <v>3442</v>
      </c>
      <c r="D29" s="3099">
        <v>105</v>
      </c>
      <c r="E29" s="3113">
        <v>45.78</v>
      </c>
      <c r="F29" s="3100">
        <v>41.53</v>
      </c>
      <c r="G29" s="3099">
        <v>4.25</v>
      </c>
      <c r="H29" s="3095">
        <f t="shared" si="0"/>
        <v>0.90716470074268241</v>
      </c>
      <c r="I29" s="3094" t="s">
        <v>3443</v>
      </c>
    </row>
    <row r="30" spans="1:13" ht="18" customHeight="1">
      <c r="A30" s="3117" t="s">
        <v>3081</v>
      </c>
      <c r="B30" s="3117"/>
      <c r="C30" s="3118" t="s">
        <v>3442</v>
      </c>
      <c r="D30" s="3118"/>
      <c r="E30" s="3142">
        <f>SUM(E25:E29)</f>
        <v>261.01</v>
      </c>
      <c r="F30" s="3119"/>
      <c r="G30" s="3119"/>
      <c r="H30" s="3120"/>
      <c r="I30" s="3119"/>
    </row>
    <row r="31" spans="1:13" ht="18" customHeight="1">
      <c r="A31" s="3117"/>
      <c r="B31" s="3117"/>
      <c r="C31" s="3118" t="s">
        <v>3450</v>
      </c>
      <c r="D31" s="3118"/>
      <c r="E31" s="3142">
        <f>E22+E23+E24</f>
        <v>190.84</v>
      </c>
      <c r="F31" s="3119"/>
      <c r="G31" s="3119"/>
      <c r="H31" s="3120"/>
      <c r="I31" s="3119"/>
    </row>
    <row r="32" spans="1:13" ht="18" customHeight="1">
      <c r="A32" s="3096"/>
      <c r="B32" s="3096"/>
      <c r="C32" s="3093"/>
      <c r="D32" s="3093"/>
      <c r="E32" s="3111"/>
      <c r="F32" s="3094"/>
      <c r="G32" s="3094"/>
      <c r="H32" s="3095"/>
      <c r="I32" s="3094"/>
    </row>
    <row r="33" spans="1:9" ht="18" customHeight="1">
      <c r="A33" s="3743" t="s">
        <v>3283</v>
      </c>
      <c r="B33" s="3743" t="s">
        <v>3457</v>
      </c>
      <c r="C33" s="3093" t="s">
        <v>3450</v>
      </c>
      <c r="D33" s="3098" t="s">
        <v>3454</v>
      </c>
      <c r="E33" s="3113">
        <v>42.96</v>
      </c>
      <c r="F33" s="3100">
        <v>24.65</v>
      </c>
      <c r="G33" s="3099">
        <v>18.309999999999999</v>
      </c>
      <c r="H33" s="3095">
        <f t="shared" si="0"/>
        <v>0.57378957169459954</v>
      </c>
      <c r="I33" s="3094" t="s">
        <v>3443</v>
      </c>
    </row>
    <row r="34" spans="1:9" ht="18" customHeight="1">
      <c r="A34" s="3743"/>
      <c r="B34" s="3743"/>
      <c r="C34" s="3093" t="s">
        <v>3450</v>
      </c>
      <c r="D34" s="3098" t="s">
        <v>3458</v>
      </c>
      <c r="E34" s="3113">
        <v>49.03</v>
      </c>
      <c r="F34" s="3100">
        <v>28.13</v>
      </c>
      <c r="G34" s="3099">
        <v>20.9</v>
      </c>
      <c r="H34" s="3095">
        <f t="shared" si="0"/>
        <v>0.5737303691617377</v>
      </c>
      <c r="I34" s="3094" t="s">
        <v>3443</v>
      </c>
    </row>
    <row r="35" spans="1:9" ht="18" customHeight="1">
      <c r="A35" s="3743"/>
      <c r="B35" s="3743"/>
      <c r="C35" s="3093" t="s">
        <v>3450</v>
      </c>
      <c r="D35" s="3098" t="s">
        <v>3459</v>
      </c>
      <c r="E35" s="3113">
        <v>49.03</v>
      </c>
      <c r="F35" s="3100">
        <v>28.13</v>
      </c>
      <c r="G35" s="3099">
        <v>20.9</v>
      </c>
      <c r="H35" s="3095">
        <f t="shared" si="0"/>
        <v>0.5737303691617377</v>
      </c>
      <c r="I35" s="3094" t="s">
        <v>3443</v>
      </c>
    </row>
    <row r="36" spans="1:9" ht="18" customHeight="1">
      <c r="A36" s="3743"/>
      <c r="B36" s="3743"/>
      <c r="C36" s="3093" t="s">
        <v>3450</v>
      </c>
      <c r="D36" s="3098" t="s">
        <v>3455</v>
      </c>
      <c r="E36" s="3113">
        <v>45.26</v>
      </c>
      <c r="F36" s="3100">
        <v>25.97</v>
      </c>
      <c r="G36" s="3099">
        <v>19.29</v>
      </c>
      <c r="H36" s="3095">
        <f t="shared" si="0"/>
        <v>0.57379584622182944</v>
      </c>
      <c r="I36" s="3094" t="s">
        <v>3443</v>
      </c>
    </row>
    <row r="37" spans="1:9" ht="18" customHeight="1">
      <c r="A37" s="3743"/>
      <c r="B37" s="3743"/>
      <c r="C37" s="3093" t="s">
        <v>3450</v>
      </c>
      <c r="D37" s="3098" t="s">
        <v>3456</v>
      </c>
      <c r="E37" s="3113">
        <v>90.91</v>
      </c>
      <c r="F37" s="3100">
        <v>52.16</v>
      </c>
      <c r="G37" s="3099">
        <v>38.75</v>
      </c>
      <c r="H37" s="3095">
        <f t="shared" si="0"/>
        <v>0.57375426245737537</v>
      </c>
      <c r="I37" s="3094" t="s">
        <v>3443</v>
      </c>
    </row>
    <row r="38" spans="1:9" ht="18" customHeight="1">
      <c r="A38" s="3743"/>
      <c r="B38" s="3743"/>
      <c r="C38" s="3093" t="s">
        <v>3442</v>
      </c>
      <c r="D38" s="3098" t="s">
        <v>3460</v>
      </c>
      <c r="E38" s="3113">
        <v>81.97</v>
      </c>
      <c r="F38" s="3100">
        <v>74.25</v>
      </c>
      <c r="G38" s="3099">
        <v>7.72</v>
      </c>
      <c r="H38" s="3095">
        <f t="shared" si="0"/>
        <v>0.90581920214712697</v>
      </c>
      <c r="I38" s="3094" t="s">
        <v>3443</v>
      </c>
    </row>
    <row r="39" spans="1:9" ht="18" customHeight="1">
      <c r="A39" s="3743"/>
      <c r="B39" s="3743"/>
      <c r="C39" s="3093" t="s">
        <v>3442</v>
      </c>
      <c r="D39" s="3098" t="s">
        <v>3461</v>
      </c>
      <c r="E39" s="3113">
        <v>31.3</v>
      </c>
      <c r="F39" s="3100">
        <v>28.35</v>
      </c>
      <c r="G39" s="3099">
        <v>2.95</v>
      </c>
      <c r="H39" s="3095">
        <f t="shared" si="0"/>
        <v>0.90575079872204478</v>
      </c>
      <c r="I39" s="3094" t="s">
        <v>3443</v>
      </c>
    </row>
    <row r="40" spans="1:9" ht="18" customHeight="1">
      <c r="A40" s="3743"/>
      <c r="B40" s="3743"/>
      <c r="C40" s="3093" t="s">
        <v>3442</v>
      </c>
      <c r="D40" s="3098" t="s">
        <v>3462</v>
      </c>
      <c r="E40" s="3113">
        <v>84.05</v>
      </c>
      <c r="F40" s="3100">
        <v>76.14</v>
      </c>
      <c r="G40" s="3099">
        <v>7.91</v>
      </c>
      <c r="H40" s="3095">
        <f t="shared" si="0"/>
        <v>0.90588935157644268</v>
      </c>
      <c r="I40" s="3094" t="s">
        <v>3443</v>
      </c>
    </row>
    <row r="41" spans="1:9" ht="18" customHeight="1">
      <c r="A41" s="3117" t="s">
        <v>3081</v>
      </c>
      <c r="B41" s="3117"/>
      <c r="C41" s="3118" t="s">
        <v>3442</v>
      </c>
      <c r="D41" s="3118"/>
      <c r="E41" s="3142">
        <f>E33+E34+E35+E36+E37</f>
        <v>277.19</v>
      </c>
      <c r="F41" s="3119"/>
      <c r="G41" s="3119"/>
      <c r="H41" s="3120"/>
      <c r="I41" s="3119"/>
    </row>
    <row r="42" spans="1:9" ht="18" customHeight="1">
      <c r="A42" s="3117"/>
      <c r="B42" s="3117"/>
      <c r="C42" s="3118" t="s">
        <v>3450</v>
      </c>
      <c r="D42" s="3118"/>
      <c r="E42" s="3142">
        <f>E38+E39+E40</f>
        <v>197.32</v>
      </c>
      <c r="F42" s="3119"/>
      <c r="G42" s="3119"/>
      <c r="H42" s="3120"/>
      <c r="I42" s="3119"/>
    </row>
    <row r="43" spans="1:9" ht="18" customHeight="1">
      <c r="A43" s="3096"/>
      <c r="B43" s="3096"/>
      <c r="C43" s="3093"/>
      <c r="D43" s="3093"/>
      <c r="E43" s="3111"/>
      <c r="F43" s="3094"/>
      <c r="G43" s="3094"/>
      <c r="H43" s="3095"/>
      <c r="I43" s="3094"/>
    </row>
    <row r="44" spans="1:9" ht="18" customHeight="1">
      <c r="A44" s="3743" t="s">
        <v>3280</v>
      </c>
      <c r="B44" s="3743" t="s">
        <v>3281</v>
      </c>
      <c r="C44" s="3093" t="s">
        <v>3450</v>
      </c>
      <c r="D44" s="3098" t="s">
        <v>3454</v>
      </c>
      <c r="E44" s="3113">
        <v>44.54</v>
      </c>
      <c r="F44" s="3100">
        <v>41.3</v>
      </c>
      <c r="G44" s="3099">
        <v>3.24</v>
      </c>
      <c r="H44" s="3095">
        <f t="shared" si="0"/>
        <v>0.92725639874270316</v>
      </c>
      <c r="I44" s="3094" t="s">
        <v>3443</v>
      </c>
    </row>
    <row r="45" spans="1:9" ht="18" customHeight="1">
      <c r="A45" s="3743"/>
      <c r="B45" s="3743"/>
      <c r="C45" s="3093" t="s">
        <v>3450</v>
      </c>
      <c r="D45" s="3098" t="s">
        <v>3458</v>
      </c>
      <c r="E45" s="3113">
        <v>66.31</v>
      </c>
      <c r="F45" s="3100">
        <v>61.49</v>
      </c>
      <c r="G45" s="3099">
        <v>4.82</v>
      </c>
      <c r="H45" s="3095">
        <f t="shared" si="0"/>
        <v>0.92731111446237369</v>
      </c>
      <c r="I45" s="3094" t="s">
        <v>3443</v>
      </c>
    </row>
    <row r="46" spans="1:9" ht="18" customHeight="1">
      <c r="A46" s="3743"/>
      <c r="B46" s="3743"/>
      <c r="C46" s="3093" t="s">
        <v>3450</v>
      </c>
      <c r="D46" s="3098" t="s">
        <v>3456</v>
      </c>
      <c r="E46" s="3113">
        <v>76.89</v>
      </c>
      <c r="F46" s="3100">
        <v>71.3</v>
      </c>
      <c r="G46" s="3099">
        <v>5.59</v>
      </c>
      <c r="H46" s="3095">
        <f t="shared" si="0"/>
        <v>0.92729873845753674</v>
      </c>
      <c r="I46" s="3094" t="s">
        <v>3443</v>
      </c>
    </row>
    <row r="47" spans="1:9" ht="18" customHeight="1">
      <c r="A47" s="3743"/>
      <c r="B47" s="3743"/>
      <c r="C47" s="3093" t="s">
        <v>3442</v>
      </c>
      <c r="D47" s="3098" t="s">
        <v>3460</v>
      </c>
      <c r="E47" s="3113">
        <v>45.95</v>
      </c>
      <c r="F47" s="3100">
        <v>41.72</v>
      </c>
      <c r="G47" s="3099">
        <v>4.2300000000000004</v>
      </c>
      <c r="H47" s="3095">
        <f t="shared" si="0"/>
        <v>0.90794341675734491</v>
      </c>
      <c r="I47" s="3094" t="s">
        <v>3443</v>
      </c>
    </row>
    <row r="48" spans="1:9" ht="18" customHeight="1">
      <c r="A48" s="3743"/>
      <c r="B48" s="3743"/>
      <c r="C48" s="3093" t="s">
        <v>3442</v>
      </c>
      <c r="D48" s="3098" t="s">
        <v>3461</v>
      </c>
      <c r="E48" s="3113">
        <v>68.989999999999995</v>
      </c>
      <c r="F48" s="3100">
        <v>62.64</v>
      </c>
      <c r="G48" s="3099">
        <v>6.35</v>
      </c>
      <c r="H48" s="3095">
        <f t="shared" si="0"/>
        <v>0.90795767502536606</v>
      </c>
      <c r="I48" s="3094" t="s">
        <v>3443</v>
      </c>
    </row>
    <row r="49" spans="1:9" ht="18" customHeight="1">
      <c r="A49" s="3743"/>
      <c r="B49" s="3743"/>
      <c r="C49" s="3093" t="s">
        <v>3442</v>
      </c>
      <c r="D49" s="3098" t="s">
        <v>3462</v>
      </c>
      <c r="E49" s="3113">
        <v>31.91</v>
      </c>
      <c r="F49" s="3100">
        <v>28.97</v>
      </c>
      <c r="G49" s="3099">
        <v>2.94</v>
      </c>
      <c r="H49" s="3095">
        <f t="shared" si="0"/>
        <v>0.90786587276715758</v>
      </c>
      <c r="I49" s="3094" t="s">
        <v>3443</v>
      </c>
    </row>
    <row r="50" spans="1:9" ht="18" customHeight="1">
      <c r="A50" s="3743"/>
      <c r="B50" s="3743"/>
      <c r="C50" s="3093" t="s">
        <v>3442</v>
      </c>
      <c r="D50" s="3098" t="s">
        <v>3463</v>
      </c>
      <c r="E50" s="3113">
        <v>68.989999999999995</v>
      </c>
      <c r="F50" s="3100">
        <v>62.64</v>
      </c>
      <c r="G50" s="3099">
        <v>6.35</v>
      </c>
      <c r="H50" s="3095">
        <f t="shared" si="0"/>
        <v>0.90795767502536606</v>
      </c>
      <c r="I50" s="3094" t="s">
        <v>3443</v>
      </c>
    </row>
    <row r="51" spans="1:9" ht="18" customHeight="1">
      <c r="A51" s="3743"/>
      <c r="B51" s="3743"/>
      <c r="C51" s="3093" t="s">
        <v>3442</v>
      </c>
      <c r="D51" s="3098" t="s">
        <v>3464</v>
      </c>
      <c r="E51" s="3113">
        <v>45.95</v>
      </c>
      <c r="F51" s="3100">
        <v>41.72</v>
      </c>
      <c r="G51" s="3099">
        <v>4.2300000000000004</v>
      </c>
      <c r="H51" s="3095">
        <f t="shared" si="0"/>
        <v>0.90794341675734491</v>
      </c>
      <c r="I51" s="3094" t="s">
        <v>3443</v>
      </c>
    </row>
    <row r="52" spans="1:9" ht="18" customHeight="1">
      <c r="A52" s="3121" t="s">
        <v>37</v>
      </c>
      <c r="B52" s="3122"/>
      <c r="C52" s="3123" t="s">
        <v>3512</v>
      </c>
      <c r="D52" s="3123"/>
      <c r="E52" s="3140">
        <f>SUM(E47:E51)</f>
        <v>261.78999999999996</v>
      </c>
      <c r="F52" s="3124"/>
      <c r="G52" s="3124"/>
      <c r="H52" s="3125"/>
      <c r="I52" s="3124"/>
    </row>
    <row r="53" spans="1:9" ht="18" customHeight="1">
      <c r="A53" s="3126"/>
      <c r="B53" s="3127"/>
      <c r="C53" s="3128" t="s">
        <v>3513</v>
      </c>
      <c r="D53" s="3128"/>
      <c r="E53" s="3141">
        <f>E44+E45+E46</f>
        <v>187.74</v>
      </c>
      <c r="F53" s="3129"/>
      <c r="G53" s="3129"/>
      <c r="H53" s="3130"/>
      <c r="I53" s="3129"/>
    </row>
    <row r="54" spans="1:9" ht="18" customHeight="1">
      <c r="A54" s="3096"/>
      <c r="B54" s="3096"/>
      <c r="C54" s="3093"/>
      <c r="D54" s="3093"/>
      <c r="E54" s="3111"/>
      <c r="F54" s="3094"/>
      <c r="G54" s="3094"/>
      <c r="H54" s="3095"/>
      <c r="I54" s="3094"/>
    </row>
    <row r="55" spans="1:9" ht="18" customHeight="1">
      <c r="A55" s="3743" t="s">
        <v>3465</v>
      </c>
      <c r="B55" s="3743" t="s">
        <v>3466</v>
      </c>
      <c r="C55" s="3093" t="s">
        <v>3442</v>
      </c>
      <c r="D55" s="3098" t="s">
        <v>3460</v>
      </c>
      <c r="E55" s="3113">
        <v>18.260000000000002</v>
      </c>
      <c r="F55" s="3100">
        <v>16.22</v>
      </c>
      <c r="G55" s="3099">
        <v>2.04</v>
      </c>
      <c r="H55" s="3095">
        <f t="shared" si="0"/>
        <v>0.88828039430449057</v>
      </c>
      <c r="I55" s="3094" t="s">
        <v>3443</v>
      </c>
    </row>
    <row r="56" spans="1:9" ht="18" customHeight="1">
      <c r="A56" s="3743"/>
      <c r="B56" s="3743"/>
      <c r="C56" s="3093" t="s">
        <v>3442</v>
      </c>
      <c r="D56" s="3098" t="s">
        <v>3461</v>
      </c>
      <c r="E56" s="3113">
        <v>28.13</v>
      </c>
      <c r="F56" s="3100">
        <v>24.99</v>
      </c>
      <c r="G56" s="3099">
        <v>3.14</v>
      </c>
      <c r="H56" s="3095">
        <f t="shared" si="0"/>
        <v>0.88837539992890147</v>
      </c>
      <c r="I56" s="3094" t="s">
        <v>3443</v>
      </c>
    </row>
    <row r="57" spans="1:9" ht="18" customHeight="1">
      <c r="A57" s="3743"/>
      <c r="B57" s="3743"/>
      <c r="C57" s="3093" t="s">
        <v>3442</v>
      </c>
      <c r="D57" s="3098" t="s">
        <v>3462</v>
      </c>
      <c r="E57" s="3113">
        <v>32.31</v>
      </c>
      <c r="F57" s="3100">
        <v>28.71</v>
      </c>
      <c r="G57" s="3099">
        <v>3.6</v>
      </c>
      <c r="H57" s="3095">
        <f t="shared" si="0"/>
        <v>0.88857938718662954</v>
      </c>
      <c r="I57" s="3094" t="s">
        <v>3443</v>
      </c>
    </row>
    <row r="58" spans="1:9" ht="18" customHeight="1">
      <c r="A58" s="3743"/>
      <c r="B58" s="3743"/>
      <c r="C58" s="3093" t="s">
        <v>3442</v>
      </c>
      <c r="D58" s="3098" t="s">
        <v>3463</v>
      </c>
      <c r="E58" s="3113">
        <v>29.65</v>
      </c>
      <c r="F58" s="3100">
        <v>26.34</v>
      </c>
      <c r="G58" s="3099">
        <v>3.31</v>
      </c>
      <c r="H58" s="3095">
        <f t="shared" si="0"/>
        <v>0.88836424957841487</v>
      </c>
      <c r="I58" s="3094" t="s">
        <v>3443</v>
      </c>
    </row>
    <row r="59" spans="1:9" ht="18" customHeight="1">
      <c r="A59" s="3743"/>
      <c r="B59" s="3743"/>
      <c r="C59" s="3093" t="s">
        <v>3442</v>
      </c>
      <c r="D59" s="3098" t="s">
        <v>3464</v>
      </c>
      <c r="E59" s="3113">
        <v>41.24</v>
      </c>
      <c r="F59" s="3100">
        <v>36.64</v>
      </c>
      <c r="G59" s="3099">
        <v>4.5999999999999996</v>
      </c>
      <c r="H59" s="3095">
        <f t="shared" si="0"/>
        <v>0.8884578079534432</v>
      </c>
      <c r="I59" s="3094" t="s">
        <v>3443</v>
      </c>
    </row>
    <row r="60" spans="1:9" ht="18" customHeight="1">
      <c r="A60" s="3743"/>
      <c r="B60" s="3743"/>
      <c r="C60" s="3093" t="s">
        <v>3442</v>
      </c>
      <c r="D60" s="3098" t="s">
        <v>3467</v>
      </c>
      <c r="E60" s="3113">
        <v>46.87</v>
      </c>
      <c r="F60" s="3100">
        <v>41.64</v>
      </c>
      <c r="G60" s="3099">
        <v>5.23</v>
      </c>
      <c r="H60" s="3095">
        <f t="shared" si="0"/>
        <v>0.88841476424151911</v>
      </c>
      <c r="I60" s="3094" t="s">
        <v>3443</v>
      </c>
    </row>
    <row r="61" spans="1:9" ht="18" customHeight="1">
      <c r="A61" s="3121" t="s">
        <v>37</v>
      </c>
      <c r="B61" s="3122"/>
      <c r="C61" s="3123" t="s">
        <v>3512</v>
      </c>
      <c r="D61" s="3123"/>
      <c r="E61" s="3140">
        <f>SUM(E55:E60)</f>
        <v>196.46</v>
      </c>
      <c r="F61" s="3124"/>
      <c r="G61" s="3124"/>
      <c r="H61" s="3125"/>
      <c r="I61" s="3124"/>
    </row>
    <row r="62" spans="1:9" ht="18" customHeight="1">
      <c r="A62" s="3096"/>
      <c r="B62" s="3096"/>
      <c r="C62" s="3093"/>
      <c r="D62" s="3093"/>
      <c r="E62" s="3111"/>
      <c r="F62" s="3094"/>
      <c r="G62" s="3094"/>
      <c r="H62" s="3095"/>
      <c r="I62" s="3094"/>
    </row>
    <row r="63" spans="1:9" ht="18" customHeight="1">
      <c r="A63" s="3743" t="s">
        <v>3277</v>
      </c>
      <c r="B63" s="3743" t="s">
        <v>3468</v>
      </c>
      <c r="C63" s="3093" t="s">
        <v>3450</v>
      </c>
      <c r="D63" s="3098" t="s">
        <v>3454</v>
      </c>
      <c r="E63" s="3113">
        <v>45.38</v>
      </c>
      <c r="F63" s="3100">
        <v>41.28</v>
      </c>
      <c r="G63" s="3099">
        <v>4.0999999999999996</v>
      </c>
      <c r="H63" s="3095">
        <f t="shared" si="0"/>
        <v>0.90965182899955921</v>
      </c>
      <c r="I63" s="3094" t="s">
        <v>3443</v>
      </c>
    </row>
    <row r="64" spans="1:9" ht="18" customHeight="1">
      <c r="A64" s="3743"/>
      <c r="B64" s="3743"/>
      <c r="C64" s="3093" t="s">
        <v>3450</v>
      </c>
      <c r="D64" s="3098" t="s">
        <v>3458</v>
      </c>
      <c r="E64" s="3113">
        <v>67.63</v>
      </c>
      <c r="F64" s="3100">
        <v>61.51</v>
      </c>
      <c r="G64" s="3099">
        <v>6.12</v>
      </c>
      <c r="H64" s="3095">
        <f t="shared" si="0"/>
        <v>0.90950761496377353</v>
      </c>
      <c r="I64" s="3094" t="s">
        <v>3443</v>
      </c>
    </row>
    <row r="65" spans="1:10" ht="18" customHeight="1">
      <c r="A65" s="3743"/>
      <c r="B65" s="3743"/>
      <c r="C65" s="3093" t="s">
        <v>3450</v>
      </c>
      <c r="D65" s="3098" t="s">
        <v>3469</v>
      </c>
      <c r="E65" s="3113">
        <v>63.45</v>
      </c>
      <c r="F65" s="3100">
        <v>57.71</v>
      </c>
      <c r="G65" s="3101">
        <v>5.74</v>
      </c>
      <c r="H65" s="3095">
        <f t="shared" si="0"/>
        <v>0.90953506698187547</v>
      </c>
      <c r="I65" s="3094" t="s">
        <v>3443</v>
      </c>
    </row>
    <row r="66" spans="1:10" ht="18" customHeight="1">
      <c r="A66" s="3743"/>
      <c r="B66" s="3743"/>
      <c r="C66" s="3093" t="s">
        <v>3450</v>
      </c>
      <c r="D66" s="3098" t="s">
        <v>3455</v>
      </c>
      <c r="E66" s="3113">
        <v>68.45</v>
      </c>
      <c r="F66" s="3100">
        <v>62.26</v>
      </c>
      <c r="G66" s="3099">
        <v>6.19</v>
      </c>
      <c r="H66" s="3095">
        <f t="shared" si="0"/>
        <v>0.9095690284879473</v>
      </c>
      <c r="I66" s="3094" t="s">
        <v>3443</v>
      </c>
    </row>
    <row r="67" spans="1:10" ht="18" customHeight="1">
      <c r="A67" s="3743"/>
      <c r="B67" s="3743"/>
      <c r="C67" s="3093" t="s">
        <v>3442</v>
      </c>
      <c r="D67" s="3098" t="s">
        <v>3460</v>
      </c>
      <c r="E67" s="3113">
        <v>51.47</v>
      </c>
      <c r="F67" s="3100">
        <v>46.64</v>
      </c>
      <c r="G67" s="3099">
        <v>4.83</v>
      </c>
      <c r="H67" s="3095">
        <f t="shared" si="0"/>
        <v>0.90615892753060034</v>
      </c>
      <c r="I67" s="3094" t="s">
        <v>3443</v>
      </c>
    </row>
    <row r="68" spans="1:10" ht="18" customHeight="1">
      <c r="A68" s="3743"/>
      <c r="B68" s="3743"/>
      <c r="C68" s="3093" t="s">
        <v>3442</v>
      </c>
      <c r="D68" s="3098" t="s">
        <v>3461</v>
      </c>
      <c r="E68" s="3113">
        <v>68.25</v>
      </c>
      <c r="F68" s="3100">
        <v>61.89</v>
      </c>
      <c r="G68" s="3099">
        <v>6.36</v>
      </c>
      <c r="H68" s="3095">
        <f t="shared" si="0"/>
        <v>0.90681318681318679</v>
      </c>
      <c r="I68" s="3094" t="s">
        <v>3443</v>
      </c>
    </row>
    <row r="69" spans="1:10" ht="18" customHeight="1">
      <c r="A69" s="3743"/>
      <c r="B69" s="3743"/>
      <c r="C69" s="3093" t="s">
        <v>3442</v>
      </c>
      <c r="D69" s="3098" t="s">
        <v>3462</v>
      </c>
      <c r="E69" s="3113">
        <v>46.83</v>
      </c>
      <c r="F69" s="3100">
        <v>42.47</v>
      </c>
      <c r="G69" s="3099">
        <v>4.3600000000000003</v>
      </c>
      <c r="H69" s="3095">
        <f t="shared" si="0"/>
        <v>0.90689728806320735</v>
      </c>
      <c r="I69" s="3094" t="s">
        <v>3443</v>
      </c>
    </row>
    <row r="70" spans="1:10" ht="18" customHeight="1">
      <c r="A70" s="3743"/>
      <c r="B70" s="3743"/>
      <c r="C70" s="3093" t="s">
        <v>3442</v>
      </c>
      <c r="D70" s="3098" t="s">
        <v>3470</v>
      </c>
      <c r="E70" s="3111">
        <v>63.71</v>
      </c>
      <c r="F70" s="3094">
        <v>57.95</v>
      </c>
      <c r="G70" s="3094">
        <v>5.76</v>
      </c>
      <c r="H70" s="3095">
        <f t="shared" si="0"/>
        <v>0.90959033118819654</v>
      </c>
      <c r="I70" s="3094" t="s">
        <v>3443</v>
      </c>
    </row>
    <row r="71" spans="1:10" ht="18" customHeight="1">
      <c r="A71" s="3121" t="s">
        <v>37</v>
      </c>
      <c r="B71" s="3122"/>
      <c r="C71" s="3123" t="s">
        <v>3512</v>
      </c>
      <c r="D71" s="3123"/>
      <c r="E71" s="3140">
        <f>SUM(E67:E70)</f>
        <v>230.26000000000002</v>
      </c>
      <c r="F71" s="3124"/>
      <c r="G71" s="3124"/>
      <c r="H71" s="3125"/>
      <c r="I71" s="3124"/>
    </row>
    <row r="72" spans="1:10" ht="18" customHeight="1">
      <c r="A72" s="3126"/>
      <c r="B72" s="3127"/>
      <c r="C72" s="3128" t="s">
        <v>3513</v>
      </c>
      <c r="D72" s="3128"/>
      <c r="E72" s="3141">
        <f>E63+E64+E65+E66</f>
        <v>244.90999999999997</v>
      </c>
      <c r="F72" s="3129"/>
      <c r="G72" s="3129"/>
      <c r="H72" s="3130"/>
      <c r="I72" s="3129"/>
    </row>
    <row r="73" spans="1:10" ht="18" customHeight="1">
      <c r="A73" s="3096"/>
      <c r="B73" s="3096"/>
      <c r="C73" s="3093"/>
      <c r="D73" s="3093"/>
      <c r="E73" s="3111"/>
      <c r="F73" s="3094"/>
      <c r="G73" s="3094"/>
      <c r="H73" s="3095"/>
      <c r="I73" s="3094"/>
    </row>
    <row r="74" spans="1:10" ht="18" customHeight="1">
      <c r="A74" s="3743" t="s">
        <v>3273</v>
      </c>
      <c r="B74" s="3743" t="s">
        <v>3274</v>
      </c>
      <c r="C74" s="3093" t="s">
        <v>3450</v>
      </c>
      <c r="D74" s="3098" t="s">
        <v>3454</v>
      </c>
      <c r="E74" s="3113">
        <v>37.880000000000003</v>
      </c>
      <c r="F74" s="3100">
        <v>34.26</v>
      </c>
      <c r="G74" s="3099">
        <v>3.62</v>
      </c>
      <c r="H74" s="3095">
        <f t="shared" si="0"/>
        <v>0.9044350580781414</v>
      </c>
      <c r="I74" s="3094" t="s">
        <v>3443</v>
      </c>
      <c r="J74" s="3109"/>
    </row>
    <row r="75" spans="1:10" ht="18" customHeight="1">
      <c r="A75" s="3743"/>
      <c r="B75" s="3743"/>
      <c r="C75" s="3093" t="s">
        <v>3450</v>
      </c>
      <c r="D75" s="3098" t="s">
        <v>3458</v>
      </c>
      <c r="E75" s="3113">
        <v>67.989999999999995</v>
      </c>
      <c r="F75" s="3100">
        <v>61.49</v>
      </c>
      <c r="G75" s="3099">
        <v>6.5</v>
      </c>
      <c r="H75" s="3095">
        <f t="shared" si="0"/>
        <v>0.90439770554493315</v>
      </c>
      <c r="I75" s="3094" t="s">
        <v>3443</v>
      </c>
      <c r="J75" s="3109"/>
    </row>
    <row r="76" spans="1:10" ht="18" customHeight="1">
      <c r="A76" s="3743"/>
      <c r="B76" s="3743"/>
      <c r="C76" s="3093" t="s">
        <v>3450</v>
      </c>
      <c r="D76" s="3098" t="s">
        <v>3456</v>
      </c>
      <c r="E76" s="3113">
        <v>78.84</v>
      </c>
      <c r="F76" s="3100">
        <v>71.3</v>
      </c>
      <c r="G76" s="3099">
        <v>7.54</v>
      </c>
      <c r="H76" s="3095">
        <f t="shared" si="0"/>
        <v>0.90436326737696593</v>
      </c>
      <c r="I76" s="3094" t="s">
        <v>3443</v>
      </c>
    </row>
    <row r="77" spans="1:10" ht="18" customHeight="1">
      <c r="A77" s="3743"/>
      <c r="B77" s="3743"/>
      <c r="C77" s="3093" t="s">
        <v>3442</v>
      </c>
      <c r="D77" s="3098" t="s">
        <v>3460</v>
      </c>
      <c r="E77" s="3113">
        <v>45.95</v>
      </c>
      <c r="F77" s="3100">
        <v>41.72</v>
      </c>
      <c r="G77" s="3099">
        <v>4.2300000000000004</v>
      </c>
      <c r="H77" s="3095">
        <f t="shared" si="0"/>
        <v>0.90794341675734491</v>
      </c>
      <c r="I77" s="3094" t="s">
        <v>3443</v>
      </c>
    </row>
    <row r="78" spans="1:10" ht="18" customHeight="1">
      <c r="A78" s="3743"/>
      <c r="B78" s="3743"/>
      <c r="C78" s="3093" t="s">
        <v>3442</v>
      </c>
      <c r="D78" s="3098" t="s">
        <v>3461</v>
      </c>
      <c r="E78" s="3113">
        <v>68.989999999999995</v>
      </c>
      <c r="F78" s="3100">
        <v>62.64</v>
      </c>
      <c r="G78" s="3099">
        <v>6.35</v>
      </c>
      <c r="H78" s="3095">
        <f t="shared" si="0"/>
        <v>0.90795767502536606</v>
      </c>
      <c r="I78" s="3094" t="s">
        <v>3443</v>
      </c>
    </row>
    <row r="79" spans="1:10" ht="18" customHeight="1">
      <c r="A79" s="3743"/>
      <c r="B79" s="3743"/>
      <c r="C79" s="3093" t="s">
        <v>3442</v>
      </c>
      <c r="D79" s="3098" t="s">
        <v>3462</v>
      </c>
      <c r="E79" s="3113">
        <v>31.91</v>
      </c>
      <c r="F79" s="3100">
        <v>28.97</v>
      </c>
      <c r="G79" s="3099">
        <v>2.94</v>
      </c>
      <c r="H79" s="3095">
        <f t="shared" si="0"/>
        <v>0.90786587276715758</v>
      </c>
      <c r="I79" s="3094" t="s">
        <v>3443</v>
      </c>
    </row>
    <row r="80" spans="1:10" ht="18" customHeight="1">
      <c r="A80" s="3743"/>
      <c r="B80" s="3743"/>
      <c r="C80" s="3093" t="s">
        <v>3442</v>
      </c>
      <c r="D80" s="3098" t="s">
        <v>3463</v>
      </c>
      <c r="E80" s="3113">
        <v>68.989999999999995</v>
      </c>
      <c r="F80" s="3100">
        <v>62.64</v>
      </c>
      <c r="G80" s="3099">
        <v>6.35</v>
      </c>
      <c r="H80" s="3095">
        <f t="shared" ref="H80:H160" si="1">F80/E80</f>
        <v>0.90795767502536606</v>
      </c>
      <c r="I80" s="3094" t="s">
        <v>3443</v>
      </c>
    </row>
    <row r="81" spans="1:9" ht="18" customHeight="1">
      <c r="A81" s="3743"/>
      <c r="B81" s="3743"/>
      <c r="C81" s="3093" t="s">
        <v>3442</v>
      </c>
      <c r="D81" s="3098" t="s">
        <v>3464</v>
      </c>
      <c r="E81" s="3113">
        <v>45.95</v>
      </c>
      <c r="F81" s="3100">
        <v>41.72</v>
      </c>
      <c r="G81" s="3099">
        <v>4.2300000000000004</v>
      </c>
      <c r="H81" s="3095">
        <f t="shared" si="1"/>
        <v>0.90794341675734491</v>
      </c>
      <c r="I81" s="3094" t="s">
        <v>3443</v>
      </c>
    </row>
    <row r="82" spans="1:9" ht="18" customHeight="1">
      <c r="A82" s="3121" t="s">
        <v>37</v>
      </c>
      <c r="B82" s="3122"/>
      <c r="C82" s="3123" t="s">
        <v>3512</v>
      </c>
      <c r="D82" s="3123"/>
      <c r="E82" s="3140">
        <f>SUM(E77:E81)</f>
        <v>261.78999999999996</v>
      </c>
      <c r="F82" s="3124"/>
      <c r="G82" s="3124"/>
      <c r="H82" s="3125"/>
      <c r="I82" s="3124"/>
    </row>
    <row r="83" spans="1:9" ht="18" customHeight="1">
      <c r="A83" s="3126"/>
      <c r="B83" s="3127"/>
      <c r="C83" s="3128" t="s">
        <v>3513</v>
      </c>
      <c r="D83" s="3128"/>
      <c r="E83" s="3141">
        <f>E74+E75+E76</f>
        <v>184.71</v>
      </c>
      <c r="F83" s="3129"/>
      <c r="G83" s="3129"/>
      <c r="H83" s="3130"/>
      <c r="I83" s="3129"/>
    </row>
    <row r="84" spans="1:9" ht="18" customHeight="1">
      <c r="A84" s="3096"/>
      <c r="B84" s="3096"/>
      <c r="C84" s="3093"/>
      <c r="D84" s="3093"/>
      <c r="E84" s="3111"/>
      <c r="F84" s="3094"/>
      <c r="G84" s="3094"/>
      <c r="H84" s="3095"/>
      <c r="I84" s="3094"/>
    </row>
    <row r="85" spans="1:9" ht="18" customHeight="1">
      <c r="A85" s="3743" t="s">
        <v>3295</v>
      </c>
      <c r="B85" s="3743" t="s">
        <v>3471</v>
      </c>
      <c r="C85" s="3093" t="s">
        <v>3442</v>
      </c>
      <c r="D85" s="3099">
        <v>101</v>
      </c>
      <c r="E85" s="3113">
        <v>152.96</v>
      </c>
      <c r="F85" s="3100">
        <v>139.56</v>
      </c>
      <c r="G85" s="3099">
        <v>13.4</v>
      </c>
      <c r="H85" s="3095">
        <f t="shared" si="1"/>
        <v>0.91239539748953968</v>
      </c>
      <c r="I85" s="3094" t="s">
        <v>3443</v>
      </c>
    </row>
    <row r="86" spans="1:9" ht="18" customHeight="1">
      <c r="A86" s="3743"/>
      <c r="B86" s="3743"/>
      <c r="C86" s="3093" t="s">
        <v>3442</v>
      </c>
      <c r="D86" s="3099">
        <v>102</v>
      </c>
      <c r="E86" s="3113">
        <v>93.09</v>
      </c>
      <c r="F86" s="3100">
        <v>84.93</v>
      </c>
      <c r="G86" s="3099">
        <v>8.16</v>
      </c>
      <c r="H86" s="3095">
        <f t="shared" si="1"/>
        <v>0.91234289397357404</v>
      </c>
      <c r="I86" s="3094" t="s">
        <v>3443</v>
      </c>
    </row>
    <row r="87" spans="1:9" ht="18" customHeight="1">
      <c r="A87" s="3743"/>
      <c r="B87" s="3743"/>
      <c r="C87" s="3093" t="s">
        <v>3442</v>
      </c>
      <c r="D87" s="3099">
        <v>103</v>
      </c>
      <c r="E87" s="3113">
        <v>93.09</v>
      </c>
      <c r="F87" s="3100">
        <v>84.93</v>
      </c>
      <c r="G87" s="3099">
        <v>8.16</v>
      </c>
      <c r="H87" s="3095">
        <f t="shared" si="1"/>
        <v>0.91234289397357404</v>
      </c>
      <c r="I87" s="3094" t="s">
        <v>3443</v>
      </c>
    </row>
    <row r="88" spans="1:9" ht="18" customHeight="1">
      <c r="A88" s="3743"/>
      <c r="B88" s="3743"/>
      <c r="C88" s="3093" t="s">
        <v>3442</v>
      </c>
      <c r="D88" s="3099">
        <v>104</v>
      </c>
      <c r="E88" s="3113">
        <v>31.03</v>
      </c>
      <c r="F88" s="3100">
        <v>28.31</v>
      </c>
      <c r="G88" s="3099">
        <v>2.72</v>
      </c>
      <c r="H88" s="3095">
        <f t="shared" si="1"/>
        <v>0.91234289397357393</v>
      </c>
      <c r="I88" s="3094" t="s">
        <v>3443</v>
      </c>
    </row>
    <row r="89" spans="1:9" ht="18" customHeight="1">
      <c r="A89" s="3743"/>
      <c r="B89" s="3743"/>
      <c r="C89" s="3093" t="s">
        <v>3442</v>
      </c>
      <c r="D89" s="3099">
        <v>105</v>
      </c>
      <c r="E89" s="3113">
        <v>31.03</v>
      </c>
      <c r="F89" s="3100">
        <v>28.31</v>
      </c>
      <c r="G89" s="3099">
        <v>2.72</v>
      </c>
      <c r="H89" s="3095">
        <f t="shared" si="1"/>
        <v>0.91234289397357393</v>
      </c>
      <c r="I89" s="3094" t="s">
        <v>3443</v>
      </c>
    </row>
    <row r="90" spans="1:9" ht="18" customHeight="1">
      <c r="A90" s="3743"/>
      <c r="B90" s="3743"/>
      <c r="C90" s="3093" t="s">
        <v>3442</v>
      </c>
      <c r="D90" s="3099">
        <v>106</v>
      </c>
      <c r="E90" s="3113">
        <v>158.32</v>
      </c>
      <c r="F90" s="3100">
        <v>144.44999999999999</v>
      </c>
      <c r="G90" s="3099">
        <v>13.87</v>
      </c>
      <c r="H90" s="3095">
        <f t="shared" si="1"/>
        <v>0.91239262253663467</v>
      </c>
      <c r="I90" s="3094" t="s">
        <v>3443</v>
      </c>
    </row>
    <row r="91" spans="1:9" ht="18" customHeight="1">
      <c r="A91" s="3743"/>
      <c r="B91" s="3743"/>
      <c r="C91" s="3093" t="s">
        <v>3442</v>
      </c>
      <c r="D91" s="3099">
        <v>107</v>
      </c>
      <c r="E91" s="3113">
        <v>41.43</v>
      </c>
      <c r="F91" s="3100">
        <v>37.799999999999997</v>
      </c>
      <c r="G91" s="3099">
        <v>3.63</v>
      </c>
      <c r="H91" s="3095">
        <f t="shared" si="1"/>
        <v>0.91238233164373639</v>
      </c>
      <c r="I91" s="3094" t="s">
        <v>3443</v>
      </c>
    </row>
    <row r="92" spans="1:9" ht="18" customHeight="1">
      <c r="A92" s="3121" t="s">
        <v>37</v>
      </c>
      <c r="B92" s="3122"/>
      <c r="C92" s="3123" t="s">
        <v>3512</v>
      </c>
      <c r="D92" s="3123"/>
      <c r="E92" s="3140">
        <f>SUM(E85:E91)</f>
        <v>600.94999999999993</v>
      </c>
      <c r="F92" s="3124"/>
      <c r="G92" s="3124"/>
      <c r="H92" s="3125"/>
      <c r="I92" s="3124"/>
    </row>
    <row r="93" spans="1:9" ht="18" customHeight="1">
      <c r="A93" s="3096"/>
      <c r="B93" s="3096"/>
      <c r="C93" s="3093"/>
      <c r="D93" s="3093"/>
      <c r="E93" s="3111"/>
      <c r="F93" s="3094"/>
      <c r="G93" s="3094"/>
      <c r="H93" s="3095"/>
      <c r="I93" s="3094"/>
    </row>
    <row r="94" spans="1:9" ht="18" customHeight="1">
      <c r="A94" s="3743" t="s">
        <v>3472</v>
      </c>
      <c r="B94" s="3743" t="s">
        <v>3473</v>
      </c>
      <c r="C94" s="3093" t="s">
        <v>3442</v>
      </c>
      <c r="D94" s="3099">
        <v>101</v>
      </c>
      <c r="E94" s="3113">
        <v>28</v>
      </c>
      <c r="F94" s="3100">
        <v>22.22</v>
      </c>
      <c r="G94" s="3099">
        <v>5.78</v>
      </c>
      <c r="H94" s="3095">
        <f t="shared" si="1"/>
        <v>0.79357142857142848</v>
      </c>
      <c r="I94" s="3094" t="s">
        <v>3443</v>
      </c>
    </row>
    <row r="95" spans="1:9" ht="18" customHeight="1">
      <c r="A95" s="3743"/>
      <c r="B95" s="3743"/>
      <c r="C95" s="3093" t="s">
        <v>3442</v>
      </c>
      <c r="D95" s="3099">
        <v>102</v>
      </c>
      <c r="E95" s="3113">
        <v>27.52</v>
      </c>
      <c r="F95" s="3100">
        <v>21.84</v>
      </c>
      <c r="G95" s="3099">
        <v>5.68</v>
      </c>
      <c r="H95" s="3095">
        <f t="shared" si="1"/>
        <v>0.79360465116279066</v>
      </c>
      <c r="I95" s="3094" t="s">
        <v>3443</v>
      </c>
    </row>
    <row r="96" spans="1:9" ht="18" customHeight="1">
      <c r="A96" s="3743"/>
      <c r="B96" s="3743"/>
      <c r="C96" s="3093" t="s">
        <v>3474</v>
      </c>
      <c r="D96" s="3099">
        <v>201</v>
      </c>
      <c r="E96" s="3113">
        <v>1038.92</v>
      </c>
      <c r="F96" s="3100">
        <v>703.02</v>
      </c>
      <c r="G96" s="3099">
        <v>335.9</v>
      </c>
      <c r="H96" s="3095">
        <f t="shared" si="1"/>
        <v>0.67668347899742032</v>
      </c>
      <c r="I96" s="3094" t="s">
        <v>3443</v>
      </c>
    </row>
    <row r="97" spans="1:9" ht="18" customHeight="1">
      <c r="A97" s="3743"/>
      <c r="B97" s="3096"/>
      <c r="C97" s="3093"/>
      <c r="D97" s="3099"/>
      <c r="E97" s="3113"/>
      <c r="F97" s="3100"/>
      <c r="G97" s="3099"/>
      <c r="H97" s="3095"/>
      <c r="I97" s="3094"/>
    </row>
    <row r="98" spans="1:9" ht="18" customHeight="1">
      <c r="A98" s="3743"/>
      <c r="B98" s="3743" t="s">
        <v>3286</v>
      </c>
      <c r="C98" s="3093" t="s">
        <v>3442</v>
      </c>
      <c r="D98" s="3098" t="s">
        <v>3460</v>
      </c>
      <c r="E98" s="3113">
        <v>5.31</v>
      </c>
      <c r="F98" s="3100">
        <v>4.3099999999999996</v>
      </c>
      <c r="G98" s="3099">
        <v>1</v>
      </c>
      <c r="H98" s="3095">
        <f t="shared" si="1"/>
        <v>0.81167608286252357</v>
      </c>
      <c r="I98" s="3094" t="s">
        <v>3443</v>
      </c>
    </row>
    <row r="99" spans="1:9" ht="18" customHeight="1">
      <c r="A99" s="3743"/>
      <c r="B99" s="3743"/>
      <c r="C99" s="3093" t="s">
        <v>3474</v>
      </c>
      <c r="D99" s="3098" t="s">
        <v>3475</v>
      </c>
      <c r="E99" s="3113">
        <v>839.49</v>
      </c>
      <c r="F99" s="3100">
        <v>609.34</v>
      </c>
      <c r="G99" s="3099">
        <v>230.15</v>
      </c>
      <c r="H99" s="3095">
        <f t="shared" si="1"/>
        <v>0.7258454537874186</v>
      </c>
      <c r="I99" s="3094" t="s">
        <v>3443</v>
      </c>
    </row>
    <row r="100" spans="1:9" ht="18" customHeight="1">
      <c r="A100" s="3121" t="s">
        <v>37</v>
      </c>
      <c r="B100" s="3131"/>
      <c r="C100" s="3132" t="s">
        <v>3512</v>
      </c>
      <c r="D100" s="3123"/>
      <c r="E100" s="3140">
        <f>E94+E95+E98</f>
        <v>60.83</v>
      </c>
      <c r="F100" s="3124"/>
      <c r="G100" s="3124"/>
      <c r="H100" s="3125"/>
      <c r="I100" s="3124"/>
    </row>
    <row r="101" spans="1:9" ht="18" customHeight="1">
      <c r="A101" s="3126"/>
      <c r="B101" s="3133"/>
      <c r="C101" s="3118" t="s">
        <v>3474</v>
      </c>
      <c r="D101" s="3128"/>
      <c r="E101" s="3129">
        <f>E96+E99</f>
        <v>1878.41</v>
      </c>
      <c r="F101" s="3129"/>
      <c r="G101" s="3129"/>
      <c r="H101" s="3130"/>
      <c r="I101" s="3129"/>
    </row>
    <row r="102" spans="1:9" ht="18" customHeight="1">
      <c r="A102" s="3097"/>
      <c r="B102" s="3096"/>
      <c r="C102" s="3093"/>
      <c r="D102" s="3093"/>
      <c r="E102" s="3111"/>
      <c r="F102" s="3094"/>
      <c r="G102" s="3094"/>
      <c r="H102" s="3095"/>
      <c r="I102" s="3094"/>
    </row>
    <row r="103" spans="1:9" ht="18" customHeight="1">
      <c r="A103" s="3743" t="s">
        <v>3476</v>
      </c>
      <c r="B103" s="3743" t="s">
        <v>3282</v>
      </c>
      <c r="C103" s="3093" t="s">
        <v>3442</v>
      </c>
      <c r="D103" s="3098" t="s">
        <v>3460</v>
      </c>
      <c r="E103" s="3113">
        <v>109.36</v>
      </c>
      <c r="F103" s="3100">
        <v>81.760000000000005</v>
      </c>
      <c r="G103" s="3099">
        <v>27.6</v>
      </c>
      <c r="H103" s="3095">
        <f t="shared" si="1"/>
        <v>0.74762253108997812</v>
      </c>
      <c r="I103" s="3094" t="s">
        <v>3443</v>
      </c>
    </row>
    <row r="104" spans="1:9" ht="18" customHeight="1">
      <c r="A104" s="3743"/>
      <c r="B104" s="3743"/>
      <c r="C104" s="3093" t="s">
        <v>3442</v>
      </c>
      <c r="D104" s="3098" t="s">
        <v>3462</v>
      </c>
      <c r="E104" s="3113">
        <v>48.49</v>
      </c>
      <c r="F104" s="3100">
        <v>36.25</v>
      </c>
      <c r="G104" s="3099">
        <v>12.24</v>
      </c>
      <c r="H104" s="3095">
        <f t="shared" si="1"/>
        <v>0.74757681996287895</v>
      </c>
      <c r="I104" s="3094" t="s">
        <v>3443</v>
      </c>
    </row>
    <row r="105" spans="1:9" ht="18" customHeight="1">
      <c r="A105" s="3743"/>
      <c r="B105" s="3743"/>
      <c r="C105" s="3093" t="s">
        <v>3474</v>
      </c>
      <c r="D105" s="3098" t="s">
        <v>3475</v>
      </c>
      <c r="E105" s="3113">
        <v>284.56</v>
      </c>
      <c r="F105" s="3100">
        <v>158.36000000000001</v>
      </c>
      <c r="G105" s="3099">
        <v>126.2</v>
      </c>
      <c r="H105" s="3095">
        <f t="shared" si="1"/>
        <v>0.55650829350576336</v>
      </c>
      <c r="I105" s="3094" t="s">
        <v>3443</v>
      </c>
    </row>
    <row r="106" spans="1:9" ht="18" customHeight="1">
      <c r="A106" s="3743"/>
      <c r="B106" s="3743"/>
      <c r="C106" s="3093" t="s">
        <v>3477</v>
      </c>
      <c r="D106" s="3098" t="s">
        <v>3478</v>
      </c>
      <c r="E106" s="3113">
        <v>289.57</v>
      </c>
      <c r="F106" s="3100">
        <v>161.15</v>
      </c>
      <c r="G106" s="3099">
        <v>128.41999999999999</v>
      </c>
      <c r="H106" s="3095">
        <f t="shared" si="1"/>
        <v>0.55651483233760402</v>
      </c>
      <c r="I106" s="3094" t="s">
        <v>3443</v>
      </c>
    </row>
    <row r="107" spans="1:9" ht="18" customHeight="1">
      <c r="A107" s="3743"/>
      <c r="B107" s="3743"/>
      <c r="C107" s="3093" t="s">
        <v>3479</v>
      </c>
      <c r="D107" s="3098" t="s">
        <v>3480</v>
      </c>
      <c r="E107" s="3113">
        <v>288.62</v>
      </c>
      <c r="F107" s="3100">
        <v>160.62</v>
      </c>
      <c r="G107" s="3099">
        <v>128</v>
      </c>
      <c r="H107" s="3095">
        <f t="shared" si="1"/>
        <v>0.55651029034716926</v>
      </c>
      <c r="I107" s="3094" t="s">
        <v>3443</v>
      </c>
    </row>
    <row r="108" spans="1:9" ht="18" customHeight="1">
      <c r="A108" s="3743"/>
      <c r="B108" s="3096"/>
      <c r="C108" s="3093"/>
      <c r="D108" s="3097"/>
      <c r="E108" s="3112"/>
      <c r="F108" s="3097"/>
      <c r="G108" s="3097"/>
      <c r="H108" s="3095"/>
      <c r="I108" s="3094"/>
    </row>
    <row r="109" spans="1:9" ht="18" customHeight="1">
      <c r="A109" s="3743"/>
      <c r="B109" s="3743" t="s">
        <v>3279</v>
      </c>
      <c r="C109" s="3093" t="s">
        <v>3442</v>
      </c>
      <c r="D109" s="3098" t="s">
        <v>3460</v>
      </c>
      <c r="E109" s="3113">
        <v>103.15</v>
      </c>
      <c r="F109" s="3100">
        <v>82.02</v>
      </c>
      <c r="G109" s="3099">
        <v>21.13</v>
      </c>
      <c r="H109" s="3095">
        <f t="shared" si="1"/>
        <v>0.79515269025690738</v>
      </c>
      <c r="I109" s="3094" t="s">
        <v>3443</v>
      </c>
    </row>
    <row r="110" spans="1:9" ht="18" customHeight="1">
      <c r="A110" s="3743"/>
      <c r="B110" s="3743"/>
      <c r="C110" s="3093" t="s">
        <v>3442</v>
      </c>
      <c r="D110" s="3098" t="s">
        <v>3462</v>
      </c>
      <c r="E110" s="3113">
        <v>38.21</v>
      </c>
      <c r="F110" s="3100">
        <v>30.38</v>
      </c>
      <c r="G110" s="3099">
        <v>7.83</v>
      </c>
      <c r="H110" s="3095">
        <f t="shared" si="1"/>
        <v>0.79507982203611616</v>
      </c>
      <c r="I110" s="3094" t="s">
        <v>3443</v>
      </c>
    </row>
    <row r="111" spans="1:9" ht="18" customHeight="1">
      <c r="A111" s="3743"/>
      <c r="B111" s="3743"/>
      <c r="C111" s="3093" t="s">
        <v>3442</v>
      </c>
      <c r="D111" s="3098" t="s">
        <v>3463</v>
      </c>
      <c r="E111" s="3113">
        <v>45.04</v>
      </c>
      <c r="F111" s="3100">
        <v>35.81</v>
      </c>
      <c r="G111" s="3099">
        <v>9.23</v>
      </c>
      <c r="H111" s="3095">
        <f t="shared" si="1"/>
        <v>0.79507104795737127</v>
      </c>
      <c r="I111" s="3094" t="s">
        <v>3443</v>
      </c>
    </row>
    <row r="112" spans="1:9" ht="18" customHeight="1">
      <c r="A112" s="3743"/>
      <c r="B112" s="3743"/>
      <c r="C112" s="3093" t="s">
        <v>3474</v>
      </c>
      <c r="D112" s="3098" t="s">
        <v>3475</v>
      </c>
      <c r="E112" s="3113">
        <v>380.65</v>
      </c>
      <c r="F112" s="3100">
        <v>229.29</v>
      </c>
      <c r="G112" s="3099">
        <v>151.36000000000001</v>
      </c>
      <c r="H112" s="3095">
        <f t="shared" si="1"/>
        <v>0.60236437672402476</v>
      </c>
      <c r="I112" s="3094" t="s">
        <v>3443</v>
      </c>
    </row>
    <row r="113" spans="1:9" ht="18" customHeight="1">
      <c r="A113" s="3743"/>
      <c r="B113" s="3743"/>
      <c r="C113" s="3093" t="s">
        <v>3477</v>
      </c>
      <c r="D113" s="3098" t="s">
        <v>3478</v>
      </c>
      <c r="E113" s="3113">
        <v>364.65</v>
      </c>
      <c r="F113" s="3100">
        <v>219.65</v>
      </c>
      <c r="G113" s="3099">
        <v>145</v>
      </c>
      <c r="H113" s="3095">
        <f t="shared" si="1"/>
        <v>0.60235842588783772</v>
      </c>
      <c r="I113" s="3094" t="s">
        <v>3443</v>
      </c>
    </row>
    <row r="114" spans="1:9" ht="18" customHeight="1">
      <c r="A114" s="3743"/>
      <c r="B114" s="3743"/>
      <c r="C114" s="3093" t="s">
        <v>3479</v>
      </c>
      <c r="D114" s="3098" t="s">
        <v>3480</v>
      </c>
      <c r="E114" s="3113">
        <v>323.95999999999998</v>
      </c>
      <c r="F114" s="3100">
        <v>195.14</v>
      </c>
      <c r="G114" s="3099">
        <v>128.82</v>
      </c>
      <c r="H114" s="3095">
        <f t="shared" si="1"/>
        <v>0.60235831584146193</v>
      </c>
      <c r="I114" s="3094" t="s">
        <v>3443</v>
      </c>
    </row>
    <row r="115" spans="1:9" ht="18" customHeight="1">
      <c r="A115" s="3743"/>
      <c r="B115" s="3096"/>
      <c r="C115" s="3093"/>
      <c r="D115" s="3098"/>
      <c r="E115" s="3114"/>
      <c r="F115" s="3102"/>
      <c r="G115" s="3102"/>
      <c r="H115" s="3095"/>
      <c r="I115" s="3094"/>
    </row>
    <row r="116" spans="1:9" ht="18" customHeight="1">
      <c r="A116" s="3743"/>
      <c r="B116" s="3743" t="s">
        <v>3276</v>
      </c>
      <c r="C116" s="3093" t="s">
        <v>3442</v>
      </c>
      <c r="D116" s="3098" t="s">
        <v>3460</v>
      </c>
      <c r="E116" s="3113">
        <v>77</v>
      </c>
      <c r="F116" s="3100">
        <v>64.02</v>
      </c>
      <c r="G116" s="3099">
        <v>12.98</v>
      </c>
      <c r="H116" s="3095">
        <f t="shared" si="1"/>
        <v>0.83142857142857141</v>
      </c>
      <c r="I116" s="3094" t="s">
        <v>3443</v>
      </c>
    </row>
    <row r="117" spans="1:9" ht="18" customHeight="1">
      <c r="A117" s="3743"/>
      <c r="B117" s="3743"/>
      <c r="C117" s="3093" t="s">
        <v>3442</v>
      </c>
      <c r="D117" s="3098" t="s">
        <v>3461</v>
      </c>
      <c r="E117" s="3113">
        <v>65.319999999999993</v>
      </c>
      <c r="F117" s="3100">
        <v>54.31</v>
      </c>
      <c r="G117" s="3099">
        <v>11.01</v>
      </c>
      <c r="H117" s="3095">
        <f t="shared" si="1"/>
        <v>0.83144519289650964</v>
      </c>
      <c r="I117" s="3094" t="s">
        <v>3443</v>
      </c>
    </row>
    <row r="118" spans="1:9" ht="18" customHeight="1">
      <c r="A118" s="3743"/>
      <c r="B118" s="3743"/>
      <c r="C118" s="3093" t="s">
        <v>3474</v>
      </c>
      <c r="D118" s="3098" t="s">
        <v>3475</v>
      </c>
      <c r="E118" s="3113">
        <v>456.71</v>
      </c>
      <c r="F118" s="3100">
        <v>279.13</v>
      </c>
      <c r="G118" s="3099">
        <v>177.58</v>
      </c>
      <c r="H118" s="3095">
        <f t="shared" si="1"/>
        <v>0.61117558187909182</v>
      </c>
      <c r="I118" s="3094" t="s">
        <v>3443</v>
      </c>
    </row>
    <row r="119" spans="1:9" ht="18" customHeight="1">
      <c r="A119" s="3743"/>
      <c r="B119" s="3743"/>
      <c r="C119" s="3093" t="s">
        <v>3477</v>
      </c>
      <c r="D119" s="3098" t="s">
        <v>3478</v>
      </c>
      <c r="E119" s="3113">
        <v>445.43</v>
      </c>
      <c r="F119" s="3100">
        <v>272.24</v>
      </c>
      <c r="G119" s="3099">
        <v>173.19</v>
      </c>
      <c r="H119" s="3095">
        <f t="shared" si="1"/>
        <v>0.6111846979323351</v>
      </c>
      <c r="I119" s="3094" t="s">
        <v>3443</v>
      </c>
    </row>
    <row r="120" spans="1:9" ht="18" customHeight="1">
      <c r="A120" s="3743"/>
      <c r="B120" s="3743"/>
      <c r="C120" s="3093" t="s">
        <v>3479</v>
      </c>
      <c r="D120" s="3098" t="s">
        <v>3480</v>
      </c>
      <c r="E120" s="3113">
        <v>401.14</v>
      </c>
      <c r="F120" s="3100">
        <v>245.17</v>
      </c>
      <c r="G120" s="3099">
        <v>155.97</v>
      </c>
      <c r="H120" s="3095">
        <f t="shared" si="1"/>
        <v>0.61118312808495789</v>
      </c>
      <c r="I120" s="3094" t="s">
        <v>3443</v>
      </c>
    </row>
    <row r="121" spans="1:9" ht="18" customHeight="1">
      <c r="A121" s="3121" t="s">
        <v>37</v>
      </c>
      <c r="B121" s="3131"/>
      <c r="C121" s="3132" t="s">
        <v>3512</v>
      </c>
      <c r="D121" s="3123"/>
      <c r="E121" s="3140">
        <f>E103+E104+E109+E110+E111+E116+E117</f>
        <v>486.57</v>
      </c>
      <c r="F121" s="3124"/>
      <c r="G121" s="3124"/>
      <c r="H121" s="3125"/>
      <c r="I121" s="3124"/>
    </row>
    <row r="122" spans="1:9" ht="18" customHeight="1">
      <c r="A122" s="3126"/>
      <c r="B122" s="3133"/>
      <c r="C122" s="3118" t="s">
        <v>3474</v>
      </c>
      <c r="D122" s="3128"/>
      <c r="E122" s="3129">
        <f>E105+E112+E118</f>
        <v>1121.92</v>
      </c>
      <c r="F122" s="3129"/>
      <c r="G122" s="3129"/>
      <c r="H122" s="3130"/>
      <c r="I122" s="3129"/>
    </row>
    <row r="123" spans="1:9" ht="18" customHeight="1">
      <c r="A123" s="3121"/>
      <c r="B123" s="3131"/>
      <c r="C123" s="3132" t="s">
        <v>3514</v>
      </c>
      <c r="D123" s="3123"/>
      <c r="E123" s="3124">
        <f>E106+E113+E119</f>
        <v>1099.6500000000001</v>
      </c>
      <c r="F123" s="3124"/>
      <c r="G123" s="3124"/>
      <c r="H123" s="3125"/>
      <c r="I123" s="3124"/>
    </row>
    <row r="124" spans="1:9" ht="18" customHeight="1">
      <c r="A124" s="3126"/>
      <c r="B124" s="3133"/>
      <c r="C124" s="3118" t="s">
        <v>3515</v>
      </c>
      <c r="D124" s="3128"/>
      <c r="E124" s="3129">
        <f>E107+E114+E120</f>
        <v>1013.7199999999999</v>
      </c>
      <c r="F124" s="3129"/>
      <c r="G124" s="3129"/>
      <c r="H124" s="3130"/>
      <c r="I124" s="3129"/>
    </row>
    <row r="125" spans="1:9" ht="18" customHeight="1">
      <c r="A125" s="3134"/>
      <c r="B125" s="3135"/>
      <c r="C125" s="3093"/>
      <c r="D125" s="3136"/>
      <c r="E125" s="3137"/>
      <c r="F125" s="3137"/>
      <c r="G125" s="3137"/>
      <c r="H125" s="3138"/>
      <c r="I125" s="3137"/>
    </row>
    <row r="126" spans="1:9" ht="18" customHeight="1">
      <c r="A126" s="3743" t="s">
        <v>3481</v>
      </c>
      <c r="B126" s="3743" t="s">
        <v>3482</v>
      </c>
      <c r="C126" s="3093" t="s">
        <v>3442</v>
      </c>
      <c r="D126" s="3098" t="s">
        <v>3460</v>
      </c>
      <c r="E126" s="3113">
        <v>22.08</v>
      </c>
      <c r="F126" s="3100">
        <v>16.739999999999998</v>
      </c>
      <c r="G126" s="3099">
        <v>5.34</v>
      </c>
      <c r="H126" s="3095">
        <f t="shared" si="1"/>
        <v>0.75815217391304346</v>
      </c>
      <c r="I126" s="3094" t="s">
        <v>3443</v>
      </c>
    </row>
    <row r="127" spans="1:9" ht="18" customHeight="1">
      <c r="A127" s="3743"/>
      <c r="B127" s="3743"/>
      <c r="C127" s="3093" t="s">
        <v>3442</v>
      </c>
      <c r="D127" s="3098" t="s">
        <v>3461</v>
      </c>
      <c r="E127" s="3113">
        <v>128.94999999999999</v>
      </c>
      <c r="F127" s="3100">
        <v>97.78</v>
      </c>
      <c r="G127" s="3099">
        <v>31.17</v>
      </c>
      <c r="H127" s="3095">
        <f t="shared" si="1"/>
        <v>0.75827840248158207</v>
      </c>
      <c r="I127" s="3094" t="s">
        <v>3443</v>
      </c>
    </row>
    <row r="128" spans="1:9" ht="18" customHeight="1">
      <c r="A128" s="3743"/>
      <c r="B128" s="3743"/>
      <c r="C128" s="3093" t="s">
        <v>3442</v>
      </c>
      <c r="D128" s="3098" t="s">
        <v>3463</v>
      </c>
      <c r="E128" s="3113">
        <v>135.4</v>
      </c>
      <c r="F128" s="3100">
        <v>102.67</v>
      </c>
      <c r="G128" s="3099">
        <v>32.729999999999997</v>
      </c>
      <c r="H128" s="3095">
        <f t="shared" si="1"/>
        <v>0.75827178729689804</v>
      </c>
      <c r="I128" s="3094" t="s">
        <v>3443</v>
      </c>
    </row>
    <row r="129" spans="1:9" ht="18" customHeight="1">
      <c r="A129" s="3743"/>
      <c r="B129" s="3743"/>
      <c r="C129" s="3093" t="s">
        <v>3442</v>
      </c>
      <c r="D129" s="3098" t="s">
        <v>3464</v>
      </c>
      <c r="E129" s="3113">
        <v>61.94</v>
      </c>
      <c r="F129" s="3100">
        <v>46.97</v>
      </c>
      <c r="G129" s="3099">
        <v>14.97</v>
      </c>
      <c r="H129" s="3095">
        <f t="shared" si="1"/>
        <v>0.75831449790119476</v>
      </c>
      <c r="I129" s="3094" t="s">
        <v>3443</v>
      </c>
    </row>
    <row r="130" spans="1:9" ht="18" customHeight="1">
      <c r="A130" s="3743"/>
      <c r="B130" s="3743"/>
      <c r="C130" s="3093" t="s">
        <v>3474</v>
      </c>
      <c r="D130" s="3098" t="s">
        <v>3475</v>
      </c>
      <c r="E130" s="3113">
        <v>478.18</v>
      </c>
      <c r="F130" s="3100">
        <v>272.94</v>
      </c>
      <c r="G130" s="3099">
        <v>205.24</v>
      </c>
      <c r="H130" s="3095">
        <f t="shared" si="1"/>
        <v>0.57078924254464847</v>
      </c>
      <c r="I130" s="3094" t="s">
        <v>3443</v>
      </c>
    </row>
    <row r="131" spans="1:9" ht="18" customHeight="1">
      <c r="A131" s="3743"/>
      <c r="B131" s="3743"/>
      <c r="C131" s="3093" t="s">
        <v>3477</v>
      </c>
      <c r="D131" s="3098" t="s">
        <v>3478</v>
      </c>
      <c r="E131" s="3113">
        <v>478.6</v>
      </c>
      <c r="F131" s="3100">
        <v>273.18</v>
      </c>
      <c r="G131" s="3099">
        <v>205.42</v>
      </c>
      <c r="H131" s="3095">
        <f t="shared" si="1"/>
        <v>0.57078980359381526</v>
      </c>
      <c r="I131" s="3094" t="s">
        <v>3443</v>
      </c>
    </row>
    <row r="132" spans="1:9" ht="18" customHeight="1">
      <c r="A132" s="3743"/>
      <c r="B132" s="3743"/>
      <c r="C132" s="3093" t="s">
        <v>3479</v>
      </c>
      <c r="D132" s="3098" t="s">
        <v>3480</v>
      </c>
      <c r="E132" s="3113">
        <v>478.52</v>
      </c>
      <c r="F132" s="3100">
        <v>273.13</v>
      </c>
      <c r="G132" s="3099">
        <v>205.39</v>
      </c>
      <c r="H132" s="3095">
        <f t="shared" si="1"/>
        <v>0.57078074061690209</v>
      </c>
      <c r="I132" s="3094" t="s">
        <v>3443</v>
      </c>
    </row>
    <row r="133" spans="1:9" ht="18" customHeight="1">
      <c r="A133" s="3743"/>
      <c r="B133" s="3097"/>
      <c r="C133" s="3093"/>
      <c r="D133" s="3098"/>
      <c r="E133" s="3114"/>
      <c r="F133" s="3102"/>
      <c r="G133" s="3102"/>
      <c r="H133" s="3095"/>
      <c r="I133" s="3094"/>
    </row>
    <row r="134" spans="1:9" ht="18" customHeight="1">
      <c r="A134" s="3743"/>
      <c r="B134" s="3743" t="s">
        <v>3483</v>
      </c>
      <c r="C134" s="3093" t="s">
        <v>3442</v>
      </c>
      <c r="D134" s="3098" t="s">
        <v>3461</v>
      </c>
      <c r="E134" s="3113">
        <v>62.98</v>
      </c>
      <c r="F134" s="3100">
        <v>50.23</v>
      </c>
      <c r="G134" s="3099">
        <v>12.75</v>
      </c>
      <c r="H134" s="3095">
        <f t="shared" si="1"/>
        <v>0.79755477929501428</v>
      </c>
      <c r="I134" s="3094" t="s">
        <v>3443</v>
      </c>
    </row>
    <row r="135" spans="1:9" ht="18" customHeight="1">
      <c r="A135" s="3743"/>
      <c r="B135" s="3743"/>
      <c r="C135" s="3093" t="s">
        <v>3442</v>
      </c>
      <c r="D135" s="3098" t="s">
        <v>3463</v>
      </c>
      <c r="E135" s="3113">
        <v>44.73</v>
      </c>
      <c r="F135" s="3100">
        <v>35.67</v>
      </c>
      <c r="G135" s="3099">
        <v>9.06</v>
      </c>
      <c r="H135" s="3095">
        <f t="shared" si="1"/>
        <v>0.79745137491616369</v>
      </c>
      <c r="I135" s="3094" t="s">
        <v>3443</v>
      </c>
    </row>
    <row r="136" spans="1:9" ht="18" customHeight="1">
      <c r="A136" s="3743"/>
      <c r="B136" s="3743"/>
      <c r="C136" s="3093" t="s">
        <v>3442</v>
      </c>
      <c r="D136" s="3098" t="s">
        <v>3464</v>
      </c>
      <c r="E136" s="3113">
        <v>63.12</v>
      </c>
      <c r="F136" s="3100">
        <v>50.34</v>
      </c>
      <c r="G136" s="3099">
        <v>12.78</v>
      </c>
      <c r="H136" s="3095">
        <f t="shared" si="1"/>
        <v>0.79752851711026629</v>
      </c>
      <c r="I136" s="3094" t="s">
        <v>3443</v>
      </c>
    </row>
    <row r="137" spans="1:9" ht="18" customHeight="1">
      <c r="A137" s="3743"/>
      <c r="B137" s="3743"/>
      <c r="C137" s="3093" t="s">
        <v>3442</v>
      </c>
      <c r="D137" s="3098" t="s">
        <v>3467</v>
      </c>
      <c r="E137" s="3113">
        <v>64.400000000000006</v>
      </c>
      <c r="F137" s="3100">
        <v>51.36</v>
      </c>
      <c r="G137" s="3099">
        <v>13.04</v>
      </c>
      <c r="H137" s="3095">
        <f t="shared" si="1"/>
        <v>0.79751552795031044</v>
      </c>
      <c r="I137" s="3094" t="s">
        <v>3443</v>
      </c>
    </row>
    <row r="138" spans="1:9" ht="18" customHeight="1">
      <c r="A138" s="3743"/>
      <c r="B138" s="3743"/>
      <c r="C138" s="3093" t="s">
        <v>3442</v>
      </c>
      <c r="D138" s="3098" t="s">
        <v>3484</v>
      </c>
      <c r="E138" s="3113">
        <v>15.85</v>
      </c>
      <c r="F138" s="3100">
        <v>12.64</v>
      </c>
      <c r="G138" s="3099">
        <v>3.21</v>
      </c>
      <c r="H138" s="3095">
        <f t="shared" si="1"/>
        <v>0.79747634069400641</v>
      </c>
      <c r="I138" s="3094" t="s">
        <v>3443</v>
      </c>
    </row>
    <row r="139" spans="1:9" ht="18" customHeight="1">
      <c r="A139" s="3743"/>
      <c r="B139" s="3743"/>
      <c r="C139" s="3093" t="s">
        <v>3442</v>
      </c>
      <c r="D139" s="3098" t="s">
        <v>3485</v>
      </c>
      <c r="E139" s="3113">
        <v>57.2</v>
      </c>
      <c r="F139" s="3100">
        <v>45.62</v>
      </c>
      <c r="G139" s="3099">
        <v>11.58</v>
      </c>
      <c r="H139" s="3095">
        <f t="shared" si="1"/>
        <v>0.79755244755244747</v>
      </c>
      <c r="I139" s="3094" t="s">
        <v>3443</v>
      </c>
    </row>
    <row r="140" spans="1:9" ht="18" customHeight="1">
      <c r="A140" s="3743"/>
      <c r="B140" s="3743"/>
      <c r="C140" s="3093" t="s">
        <v>3474</v>
      </c>
      <c r="D140" s="3098" t="s">
        <v>3475</v>
      </c>
      <c r="E140" s="3113">
        <v>748.67</v>
      </c>
      <c r="F140" s="3100">
        <v>502.77</v>
      </c>
      <c r="G140" s="3099">
        <v>245.9</v>
      </c>
      <c r="H140" s="3095">
        <f t="shared" si="1"/>
        <v>0.67155088356685855</v>
      </c>
      <c r="I140" s="3094" t="s">
        <v>3443</v>
      </c>
    </row>
    <row r="141" spans="1:9" ht="18" customHeight="1">
      <c r="A141" s="3743"/>
      <c r="B141" s="3743"/>
      <c r="C141" s="3093" t="s">
        <v>3477</v>
      </c>
      <c r="D141" s="3098" t="s">
        <v>3478</v>
      </c>
      <c r="E141" s="3113">
        <v>765.57</v>
      </c>
      <c r="F141" s="3100">
        <v>514.12</v>
      </c>
      <c r="G141" s="3099">
        <v>251.45</v>
      </c>
      <c r="H141" s="3095">
        <f t="shared" si="1"/>
        <v>0.67155191556617944</v>
      </c>
      <c r="I141" s="3094" t="s">
        <v>3443</v>
      </c>
    </row>
    <row r="142" spans="1:9" ht="18" customHeight="1">
      <c r="A142" s="3743"/>
      <c r="B142" s="3743"/>
      <c r="C142" s="3093" t="s">
        <v>3479</v>
      </c>
      <c r="D142" s="3098" t="s">
        <v>3480</v>
      </c>
      <c r="E142" s="3113">
        <v>680.75</v>
      </c>
      <c r="F142" s="3100">
        <v>457.16</v>
      </c>
      <c r="G142" s="3099">
        <v>223.59</v>
      </c>
      <c r="H142" s="3095">
        <f t="shared" si="1"/>
        <v>0.67155343371281684</v>
      </c>
      <c r="I142" s="3094" t="s">
        <v>3443</v>
      </c>
    </row>
    <row r="143" spans="1:9" ht="18" customHeight="1">
      <c r="A143" s="3121" t="s">
        <v>37</v>
      </c>
      <c r="B143" s="3131"/>
      <c r="C143" s="3132" t="s">
        <v>3512</v>
      </c>
      <c r="D143" s="3123"/>
      <c r="E143" s="3140">
        <f>E126+E127+E128+E129+E134+E135+E136+E137+E138+E139</f>
        <v>656.65</v>
      </c>
      <c r="F143" s="3124"/>
      <c r="G143" s="3124"/>
      <c r="H143" s="3125"/>
      <c r="I143" s="3124"/>
    </row>
    <row r="144" spans="1:9" ht="18" customHeight="1">
      <c r="A144" s="3126"/>
      <c r="B144" s="3133"/>
      <c r="C144" s="3118" t="s">
        <v>3474</v>
      </c>
      <c r="D144" s="3128"/>
      <c r="E144" s="3129">
        <f>E130+E140</f>
        <v>1226.8499999999999</v>
      </c>
      <c r="F144" s="3129"/>
      <c r="G144" s="3129"/>
      <c r="H144" s="3130"/>
      <c r="I144" s="3129"/>
    </row>
    <row r="145" spans="1:12" ht="18" customHeight="1">
      <c r="A145" s="3121"/>
      <c r="B145" s="3131"/>
      <c r="C145" s="3132" t="s">
        <v>3514</v>
      </c>
      <c r="D145" s="3123"/>
      <c r="E145" s="3124">
        <f>E131+E141</f>
        <v>1244.17</v>
      </c>
      <c r="F145" s="3124"/>
      <c r="G145" s="3124"/>
      <c r="H145" s="3125"/>
      <c r="I145" s="3124"/>
    </row>
    <row r="146" spans="1:12" ht="18" customHeight="1">
      <c r="A146" s="3126"/>
      <c r="B146" s="3133"/>
      <c r="C146" s="3118" t="s">
        <v>3515</v>
      </c>
      <c r="D146" s="3128"/>
      <c r="E146" s="3129">
        <f>E132+E142</f>
        <v>1159.27</v>
      </c>
      <c r="F146" s="3129"/>
      <c r="G146" s="3129"/>
      <c r="H146" s="3130"/>
      <c r="I146" s="3129"/>
    </row>
    <row r="147" spans="1:12" ht="18" customHeight="1">
      <c r="A147" s="3096"/>
      <c r="B147" s="3096"/>
      <c r="C147" s="3093"/>
      <c r="D147" s="3097"/>
      <c r="E147" s="3112"/>
      <c r="F147" s="3097"/>
      <c r="G147" s="3097"/>
      <c r="H147" s="3095"/>
      <c r="I147" s="3094"/>
    </row>
    <row r="148" spans="1:12" ht="18" customHeight="1">
      <c r="A148" s="3743" t="s">
        <v>3486</v>
      </c>
      <c r="B148" s="3743" t="s">
        <v>3487</v>
      </c>
      <c r="C148" s="3093" t="s">
        <v>3474</v>
      </c>
      <c r="D148" s="3098" t="s">
        <v>3475</v>
      </c>
      <c r="E148" s="3113">
        <v>1175.9000000000001</v>
      </c>
      <c r="F148" s="3100">
        <v>897.79</v>
      </c>
      <c r="G148" s="3099">
        <v>278.11</v>
      </c>
      <c r="H148" s="3095">
        <f t="shared" si="1"/>
        <v>0.76349179351985708</v>
      </c>
      <c r="I148" s="3103" t="s">
        <v>27</v>
      </c>
    </row>
    <row r="149" spans="1:12" ht="18" customHeight="1">
      <c r="A149" s="3743"/>
      <c r="B149" s="3743"/>
      <c r="C149" s="3093" t="s">
        <v>3477</v>
      </c>
      <c r="D149" s="3098" t="s">
        <v>3478</v>
      </c>
      <c r="E149" s="3113">
        <v>2065.16</v>
      </c>
      <c r="F149" s="3100">
        <v>1576.73</v>
      </c>
      <c r="G149" s="3099">
        <v>488.43</v>
      </c>
      <c r="H149" s="3095">
        <f t="shared" si="1"/>
        <v>0.76349048015650123</v>
      </c>
      <c r="I149" s="3103" t="s">
        <v>27</v>
      </c>
      <c r="L149" s="3140">
        <f>E151</f>
        <v>1175.9000000000001</v>
      </c>
    </row>
    <row r="150" spans="1:12" ht="18" customHeight="1">
      <c r="A150" s="3743"/>
      <c r="B150" s="3743"/>
      <c r="C150" s="3093" t="s">
        <v>3479</v>
      </c>
      <c r="D150" s="3098" t="s">
        <v>3480</v>
      </c>
      <c r="E150" s="3113">
        <v>3363.01</v>
      </c>
      <c r="F150" s="3100">
        <v>2567.63</v>
      </c>
      <c r="G150" s="3099">
        <v>795.38</v>
      </c>
      <c r="H150" s="3095">
        <f t="shared" si="1"/>
        <v>0.76349163398265241</v>
      </c>
      <c r="I150" s="3103" t="s">
        <v>27</v>
      </c>
      <c r="L150" s="3140">
        <f t="shared" ref="L150:L151" si="2">E152</f>
        <v>2065.16</v>
      </c>
    </row>
    <row r="151" spans="1:12" ht="18" customHeight="1">
      <c r="A151" s="3121" t="s">
        <v>37</v>
      </c>
      <c r="B151" s="3131"/>
      <c r="C151" s="3118" t="s">
        <v>3474</v>
      </c>
      <c r="D151" s="3123"/>
      <c r="E151" s="3140">
        <f>E148</f>
        <v>1175.9000000000001</v>
      </c>
      <c r="F151" s="3124"/>
      <c r="G151" s="3124"/>
      <c r="H151" s="3125"/>
      <c r="I151" s="3124"/>
      <c r="L151" s="3140">
        <f t="shared" si="2"/>
        <v>3363.01</v>
      </c>
    </row>
    <row r="152" spans="1:12" ht="18" customHeight="1">
      <c r="A152" s="3126"/>
      <c r="B152" s="3133"/>
      <c r="C152" s="3132" t="s">
        <v>3514</v>
      </c>
      <c r="D152" s="3128"/>
      <c r="E152" s="3141">
        <f>E149</f>
        <v>2065.16</v>
      </c>
      <c r="F152" s="3129"/>
      <c r="G152" s="3129"/>
      <c r="H152" s="3130"/>
      <c r="I152" s="3129"/>
      <c r="L152" s="3108">
        <f>SUM(L149:L151)</f>
        <v>6604.07</v>
      </c>
    </row>
    <row r="153" spans="1:12" ht="18" customHeight="1">
      <c r="A153" s="3121"/>
      <c r="B153" s="3131"/>
      <c r="C153" s="3118" t="s">
        <v>3515</v>
      </c>
      <c r="D153" s="3123"/>
      <c r="E153" s="3140">
        <f>E150</f>
        <v>3363.01</v>
      </c>
      <c r="F153" s="3124"/>
      <c r="G153" s="3124"/>
      <c r="H153" s="3125"/>
      <c r="I153" s="3124"/>
    </row>
    <row r="154" spans="1:12" ht="18" customHeight="1">
      <c r="A154" s="3096"/>
      <c r="B154" s="3096"/>
      <c r="C154" s="3093"/>
      <c r="D154" s="3098"/>
      <c r="E154" s="3113"/>
      <c r="F154" s="3100"/>
      <c r="G154" s="3099"/>
      <c r="H154" s="3095"/>
      <c r="I154" s="3103"/>
    </row>
    <row r="155" spans="1:12" ht="18" customHeight="1">
      <c r="A155" s="3096"/>
      <c r="B155" s="3096"/>
      <c r="C155" s="3093"/>
      <c r="D155" s="3093"/>
      <c r="E155" s="3111"/>
      <c r="F155" s="3094"/>
      <c r="G155" s="3094"/>
      <c r="H155" s="3095"/>
      <c r="I155" s="3094"/>
    </row>
    <row r="156" spans="1:12" ht="18" customHeight="1">
      <c r="A156" s="3743" t="s">
        <v>3488</v>
      </c>
      <c r="B156" s="3743" t="s">
        <v>3489</v>
      </c>
      <c r="C156" s="3093" t="s">
        <v>3442</v>
      </c>
      <c r="D156" s="3098" t="s">
        <v>3460</v>
      </c>
      <c r="E156" s="3113">
        <v>8.8800000000000008</v>
      </c>
      <c r="F156" s="3100">
        <v>6.53</v>
      </c>
      <c r="G156" s="3099">
        <v>2.35</v>
      </c>
      <c r="H156" s="3095">
        <f t="shared" si="1"/>
        <v>0.73536036036036034</v>
      </c>
      <c r="I156" s="3103" t="s">
        <v>1372</v>
      </c>
    </row>
    <row r="157" spans="1:12" ht="18" customHeight="1">
      <c r="A157" s="3743"/>
      <c r="B157" s="3743"/>
      <c r="C157" s="3093" t="s">
        <v>3442</v>
      </c>
      <c r="D157" s="3098" t="s">
        <v>3461</v>
      </c>
      <c r="E157" s="3113">
        <v>46.33</v>
      </c>
      <c r="F157" s="3100">
        <v>34.049999999999997</v>
      </c>
      <c r="G157" s="3099">
        <v>12.28</v>
      </c>
      <c r="H157" s="3095">
        <f t="shared" si="1"/>
        <v>0.73494496006906973</v>
      </c>
      <c r="I157" s="3103" t="s">
        <v>1372</v>
      </c>
    </row>
    <row r="158" spans="1:12" ht="18" customHeight="1">
      <c r="A158" s="3743"/>
      <c r="B158" s="3743"/>
      <c r="C158" s="3093" t="s">
        <v>3442</v>
      </c>
      <c r="D158" s="3098" t="s">
        <v>3463</v>
      </c>
      <c r="E158" s="3113">
        <v>46.64</v>
      </c>
      <c r="F158" s="3100">
        <v>34.28</v>
      </c>
      <c r="G158" s="3099">
        <v>12.36</v>
      </c>
      <c r="H158" s="3095">
        <f t="shared" si="1"/>
        <v>0.73499142367066894</v>
      </c>
      <c r="I158" s="3103" t="s">
        <v>1372</v>
      </c>
    </row>
    <row r="159" spans="1:12" ht="18" customHeight="1">
      <c r="A159" s="3743"/>
      <c r="B159" s="3743"/>
      <c r="C159" s="3093" t="s">
        <v>3442</v>
      </c>
      <c r="D159" s="3098" t="s">
        <v>3464</v>
      </c>
      <c r="E159" s="3113">
        <v>61.66</v>
      </c>
      <c r="F159" s="3100">
        <v>45.32</v>
      </c>
      <c r="G159" s="3099">
        <v>16.34</v>
      </c>
      <c r="H159" s="3095">
        <f t="shared" si="1"/>
        <v>0.73499837820304903</v>
      </c>
      <c r="I159" s="3103" t="s">
        <v>1372</v>
      </c>
    </row>
    <row r="160" spans="1:12" ht="18" customHeight="1">
      <c r="A160" s="3743"/>
      <c r="B160" s="3743"/>
      <c r="C160" s="3093" t="s">
        <v>3474</v>
      </c>
      <c r="D160" s="3098" t="s">
        <v>3475</v>
      </c>
      <c r="E160" s="3113">
        <v>523.98</v>
      </c>
      <c r="F160" s="3100">
        <v>295.88</v>
      </c>
      <c r="G160" s="3099">
        <v>228.1</v>
      </c>
      <c r="H160" s="3095">
        <f t="shared" si="1"/>
        <v>0.56467804114660858</v>
      </c>
      <c r="I160" s="3103" t="s">
        <v>1372</v>
      </c>
    </row>
    <row r="161" spans="1:9" ht="18" customHeight="1">
      <c r="A161" s="3743"/>
      <c r="B161" s="3743"/>
      <c r="C161" s="3093" t="s">
        <v>3477</v>
      </c>
      <c r="D161" s="3098" t="s">
        <v>3478</v>
      </c>
      <c r="E161" s="3113">
        <v>523.36</v>
      </c>
      <c r="F161" s="3100">
        <v>295.52999999999997</v>
      </c>
      <c r="G161" s="3099">
        <v>227.83</v>
      </c>
      <c r="H161" s="3095">
        <f t="shared" ref="H161:H231" si="3">F161/E161</f>
        <v>0.56467823295628239</v>
      </c>
      <c r="I161" s="3103" t="s">
        <v>1372</v>
      </c>
    </row>
    <row r="162" spans="1:9" ht="18" customHeight="1">
      <c r="A162" s="3743"/>
      <c r="B162" s="3743"/>
      <c r="C162" s="3093" t="s">
        <v>3479</v>
      </c>
      <c r="D162" s="3098" t="s">
        <v>3480</v>
      </c>
      <c r="E162" s="3113">
        <v>465.77</v>
      </c>
      <c r="F162" s="3100">
        <v>263.01</v>
      </c>
      <c r="G162" s="3099">
        <v>202.76</v>
      </c>
      <c r="H162" s="3095">
        <f t="shared" si="3"/>
        <v>0.56467784528844711</v>
      </c>
      <c r="I162" s="3103" t="s">
        <v>1372</v>
      </c>
    </row>
    <row r="163" spans="1:9" ht="18" customHeight="1">
      <c r="A163" s="3743"/>
      <c r="B163" s="3096"/>
      <c r="C163" s="3093"/>
      <c r="D163" s="3093"/>
      <c r="E163" s="3111"/>
      <c r="F163" s="3094"/>
      <c r="G163" s="3094"/>
      <c r="H163" s="3095"/>
      <c r="I163" s="3094"/>
    </row>
    <row r="164" spans="1:9" ht="18" customHeight="1">
      <c r="A164" s="3743"/>
      <c r="B164" s="3743" t="s">
        <v>3490</v>
      </c>
      <c r="C164" s="3093" t="s">
        <v>3442</v>
      </c>
      <c r="D164" s="3099">
        <v>107</v>
      </c>
      <c r="E164" s="3113">
        <v>63.63</v>
      </c>
      <c r="F164" s="3100">
        <v>49.85</v>
      </c>
      <c r="G164" s="3099">
        <v>13.78</v>
      </c>
      <c r="H164" s="3095">
        <f t="shared" si="3"/>
        <v>0.78343548640578342</v>
      </c>
      <c r="I164" s="3103" t="s">
        <v>1372</v>
      </c>
    </row>
    <row r="165" spans="1:9" ht="18" customHeight="1">
      <c r="A165" s="3743"/>
      <c r="B165" s="3743"/>
      <c r="C165" s="3093" t="s">
        <v>3442</v>
      </c>
      <c r="D165" s="3099">
        <v>108</v>
      </c>
      <c r="E165" s="3113">
        <v>8.3000000000000007</v>
      </c>
      <c r="F165" s="3100">
        <v>6.5</v>
      </c>
      <c r="G165" s="3099">
        <v>1.8</v>
      </c>
      <c r="H165" s="3095">
        <f t="shared" si="3"/>
        <v>0.7831325301204819</v>
      </c>
      <c r="I165" s="3103" t="s">
        <v>1372</v>
      </c>
    </row>
    <row r="166" spans="1:9" ht="18" customHeight="1">
      <c r="A166" s="3743"/>
      <c r="B166" s="3743"/>
      <c r="C166" s="3093" t="s">
        <v>3442</v>
      </c>
      <c r="D166" s="3099">
        <v>109</v>
      </c>
      <c r="E166" s="3113">
        <v>22.91</v>
      </c>
      <c r="F166" s="3100">
        <v>17.95</v>
      </c>
      <c r="G166" s="3099">
        <v>4.96</v>
      </c>
      <c r="H166" s="3095">
        <f t="shared" si="3"/>
        <v>0.78350065473592312</v>
      </c>
      <c r="I166" s="3103" t="s">
        <v>1372</v>
      </c>
    </row>
    <row r="167" spans="1:9" ht="18" customHeight="1">
      <c r="A167" s="3743"/>
      <c r="B167" s="3743"/>
      <c r="C167" s="3093" t="s">
        <v>3442</v>
      </c>
      <c r="D167" s="3099">
        <v>110</v>
      </c>
      <c r="E167" s="3113">
        <v>16.07</v>
      </c>
      <c r="F167" s="3100">
        <v>12.59</v>
      </c>
      <c r="G167" s="3099">
        <v>3.48</v>
      </c>
      <c r="H167" s="3095">
        <f t="shared" si="3"/>
        <v>0.78344741754822644</v>
      </c>
      <c r="I167" s="3103" t="s">
        <v>1372</v>
      </c>
    </row>
    <row r="168" spans="1:9" ht="18" customHeight="1">
      <c r="A168" s="3743"/>
      <c r="B168" s="3743"/>
      <c r="C168" s="3093" t="s">
        <v>3474</v>
      </c>
      <c r="D168" s="3099">
        <v>202</v>
      </c>
      <c r="E168" s="3113">
        <v>354.56</v>
      </c>
      <c r="F168" s="3100">
        <v>215.91</v>
      </c>
      <c r="G168" s="3099">
        <v>138.65</v>
      </c>
      <c r="H168" s="3095">
        <f t="shared" si="3"/>
        <v>0.60895194043321299</v>
      </c>
      <c r="I168" s="3103" t="s">
        <v>1372</v>
      </c>
    </row>
    <row r="169" spans="1:9" ht="18" customHeight="1">
      <c r="A169" s="3743"/>
      <c r="B169" s="3743"/>
      <c r="C169" s="3093" t="s">
        <v>3477</v>
      </c>
      <c r="D169" s="3099">
        <v>302</v>
      </c>
      <c r="E169" s="3113">
        <v>385.18</v>
      </c>
      <c r="F169" s="3100">
        <v>234.56</v>
      </c>
      <c r="G169" s="3099">
        <v>150.62</v>
      </c>
      <c r="H169" s="3095">
        <f t="shared" si="3"/>
        <v>0.60896204371981932</v>
      </c>
      <c r="I169" s="3103" t="s">
        <v>1372</v>
      </c>
    </row>
    <row r="170" spans="1:9" ht="18" customHeight="1">
      <c r="A170" s="3743"/>
      <c r="B170" s="3743"/>
      <c r="C170" s="3093" t="s">
        <v>3479</v>
      </c>
      <c r="D170" s="3099">
        <v>402</v>
      </c>
      <c r="E170" s="3113">
        <v>354.56</v>
      </c>
      <c r="F170" s="3100">
        <v>215.91</v>
      </c>
      <c r="G170" s="3099">
        <v>138.65</v>
      </c>
      <c r="H170" s="3095">
        <f t="shared" si="3"/>
        <v>0.60895194043321299</v>
      </c>
      <c r="I170" s="3103" t="s">
        <v>1372</v>
      </c>
    </row>
    <row r="171" spans="1:9" ht="18" customHeight="1">
      <c r="A171" s="3743"/>
      <c r="B171" s="3096"/>
      <c r="C171" s="3093"/>
      <c r="D171" s="3093"/>
      <c r="E171" s="3111"/>
      <c r="F171" s="3094"/>
      <c r="G171" s="3094"/>
      <c r="H171" s="3095"/>
      <c r="I171" s="3094"/>
    </row>
    <row r="172" spans="1:9" ht="18" customHeight="1">
      <c r="A172" s="3743"/>
      <c r="B172" s="3743" t="s">
        <v>3491</v>
      </c>
      <c r="C172" s="3093" t="s">
        <v>3442</v>
      </c>
      <c r="D172" s="3099">
        <v>112</v>
      </c>
      <c r="E172" s="3113">
        <v>49.13</v>
      </c>
      <c r="F172" s="3100">
        <v>36.94</v>
      </c>
      <c r="G172" s="3099">
        <v>12.19</v>
      </c>
      <c r="H172" s="3095">
        <f t="shared" si="3"/>
        <v>0.75188276002442489</v>
      </c>
      <c r="I172" s="3103" t="s">
        <v>1372</v>
      </c>
    </row>
    <row r="173" spans="1:9" ht="18" customHeight="1">
      <c r="A173" s="3743"/>
      <c r="B173" s="3743"/>
      <c r="C173" s="3093" t="s">
        <v>3442</v>
      </c>
      <c r="D173" s="3099">
        <v>113</v>
      </c>
      <c r="E173" s="3113">
        <v>126.59</v>
      </c>
      <c r="F173" s="3100">
        <v>95.19</v>
      </c>
      <c r="G173" s="3099">
        <v>31.4</v>
      </c>
      <c r="H173" s="3095">
        <f t="shared" si="3"/>
        <v>0.75195513073702502</v>
      </c>
      <c r="I173" s="3103" t="s">
        <v>1372</v>
      </c>
    </row>
    <row r="174" spans="1:9" ht="18" customHeight="1">
      <c r="A174" s="3743"/>
      <c r="B174" s="3743"/>
      <c r="C174" s="3093" t="s">
        <v>3442</v>
      </c>
      <c r="D174" s="3099">
        <v>114</v>
      </c>
      <c r="E174" s="3113">
        <v>8.56</v>
      </c>
      <c r="F174" s="3100">
        <v>6.44</v>
      </c>
      <c r="G174" s="3099">
        <v>2.12</v>
      </c>
      <c r="H174" s="3095">
        <f t="shared" si="3"/>
        <v>0.75233644859813087</v>
      </c>
      <c r="I174" s="3103" t="s">
        <v>1372</v>
      </c>
    </row>
    <row r="175" spans="1:9" ht="18" customHeight="1">
      <c r="A175" s="3743"/>
      <c r="B175" s="3743"/>
      <c r="C175" s="3093" t="s">
        <v>3442</v>
      </c>
      <c r="D175" s="3099">
        <v>115</v>
      </c>
      <c r="E175" s="3113">
        <v>28.54</v>
      </c>
      <c r="F175" s="3100">
        <v>21.46</v>
      </c>
      <c r="G175" s="3099">
        <v>7.08</v>
      </c>
      <c r="H175" s="3095">
        <f t="shared" si="3"/>
        <v>0.75192711983181504</v>
      </c>
      <c r="I175" s="3103" t="s">
        <v>1372</v>
      </c>
    </row>
    <row r="176" spans="1:9" ht="18" customHeight="1">
      <c r="A176" s="3743"/>
      <c r="B176" s="3743"/>
      <c r="C176" s="3093" t="s">
        <v>3474</v>
      </c>
      <c r="D176" s="3099">
        <v>203</v>
      </c>
      <c r="E176" s="3113">
        <v>485.92</v>
      </c>
      <c r="F176" s="3100">
        <v>288.64</v>
      </c>
      <c r="G176" s="3099">
        <v>197.28</v>
      </c>
      <c r="H176" s="3095">
        <f t="shared" si="3"/>
        <v>0.59400724399078031</v>
      </c>
      <c r="I176" s="3103" t="s">
        <v>1372</v>
      </c>
    </row>
    <row r="177" spans="1:9" ht="18" customHeight="1">
      <c r="A177" s="3743"/>
      <c r="B177" s="3743"/>
      <c r="C177" s="3093" t="s">
        <v>3477</v>
      </c>
      <c r="D177" s="3099">
        <v>303</v>
      </c>
      <c r="E177" s="3113">
        <v>500.94</v>
      </c>
      <c r="F177" s="3100">
        <v>297.56</v>
      </c>
      <c r="G177" s="3099">
        <v>203.38</v>
      </c>
      <c r="H177" s="3095">
        <f t="shared" si="3"/>
        <v>0.59400327384517104</v>
      </c>
      <c r="I177" s="3103" t="s">
        <v>1372</v>
      </c>
    </row>
    <row r="178" spans="1:9" ht="18" customHeight="1">
      <c r="A178" s="3743"/>
      <c r="B178" s="3743"/>
      <c r="C178" s="3093" t="s">
        <v>3479</v>
      </c>
      <c r="D178" s="3099">
        <v>403</v>
      </c>
      <c r="E178" s="3113">
        <v>444.85</v>
      </c>
      <c r="F178" s="3100">
        <v>264.24</v>
      </c>
      <c r="G178" s="3099">
        <v>180.61</v>
      </c>
      <c r="H178" s="3095">
        <f t="shared" si="3"/>
        <v>0.59399797684612787</v>
      </c>
      <c r="I178" s="3103" t="s">
        <v>1372</v>
      </c>
    </row>
    <row r="179" spans="1:9" ht="18" customHeight="1">
      <c r="A179" s="3121" t="s">
        <v>37</v>
      </c>
      <c r="B179" s="3131"/>
      <c r="C179" s="3132" t="s">
        <v>3512</v>
      </c>
      <c r="D179" s="3123"/>
      <c r="E179" s="3140">
        <f>E156+E157+E158+E159+E164+E165+E166+E167+E172+E173+E174+E175</f>
        <v>487.24</v>
      </c>
      <c r="F179" s="3124"/>
      <c r="G179" s="3124"/>
      <c r="H179" s="3125"/>
      <c r="I179" s="3124"/>
    </row>
    <row r="180" spans="1:9" ht="18" customHeight="1">
      <c r="A180" s="3126"/>
      <c r="B180" s="3133"/>
      <c r="C180" s="3118" t="s">
        <v>3474</v>
      </c>
      <c r="D180" s="3128"/>
      <c r="E180" s="3129">
        <f>E160+E168+E176</f>
        <v>1364.46</v>
      </c>
      <c r="F180" s="3129"/>
      <c r="G180" s="3129"/>
      <c r="H180" s="3130"/>
      <c r="I180" s="3129"/>
    </row>
    <row r="181" spans="1:9" ht="18" customHeight="1">
      <c r="A181" s="3121"/>
      <c r="B181" s="3131"/>
      <c r="C181" s="3132" t="s">
        <v>3514</v>
      </c>
      <c r="D181" s="3123"/>
      <c r="E181" s="3124">
        <f>E161+E169+E177</f>
        <v>1409.48</v>
      </c>
      <c r="F181" s="3124"/>
      <c r="G181" s="3124"/>
      <c r="H181" s="3125"/>
      <c r="I181" s="3124"/>
    </row>
    <row r="182" spans="1:9" ht="18" customHeight="1">
      <c r="A182" s="3126"/>
      <c r="B182" s="3133"/>
      <c r="C182" s="3118" t="s">
        <v>3515</v>
      </c>
      <c r="D182" s="3128"/>
      <c r="E182" s="3129">
        <f>E162+E170+E178</f>
        <v>1265.1799999999998</v>
      </c>
      <c r="F182" s="3129"/>
      <c r="G182" s="3129"/>
      <c r="H182" s="3130"/>
      <c r="I182" s="3129"/>
    </row>
    <row r="183" spans="1:9" ht="18" customHeight="1">
      <c r="A183" s="3096"/>
      <c r="B183" s="3096"/>
      <c r="C183" s="3093"/>
      <c r="D183" s="3093"/>
      <c r="E183" s="3111"/>
      <c r="F183" s="3094"/>
      <c r="G183" s="3094"/>
      <c r="H183" s="3095"/>
      <c r="I183" s="3094"/>
    </row>
    <row r="184" spans="1:9" ht="18" customHeight="1">
      <c r="A184" s="3743" t="s">
        <v>3492</v>
      </c>
      <c r="B184" s="3743" t="s">
        <v>3493</v>
      </c>
      <c r="C184" s="3093" t="s">
        <v>3442</v>
      </c>
      <c r="D184" s="3098" t="s">
        <v>3460</v>
      </c>
      <c r="E184" s="3113">
        <v>41.43</v>
      </c>
      <c r="F184" s="3100">
        <v>37.799999999999997</v>
      </c>
      <c r="G184" s="3099">
        <v>3.63</v>
      </c>
      <c r="H184" s="3095">
        <f t="shared" si="3"/>
        <v>0.91238233164373639</v>
      </c>
      <c r="I184" s="3103" t="s">
        <v>1372</v>
      </c>
    </row>
    <row r="185" spans="1:9" ht="18" customHeight="1">
      <c r="A185" s="3743"/>
      <c r="B185" s="3743"/>
      <c r="C185" s="3093" t="s">
        <v>3442</v>
      </c>
      <c r="D185" s="3098" t="s">
        <v>3461</v>
      </c>
      <c r="E185" s="3113">
        <v>158.52000000000001</v>
      </c>
      <c r="F185" s="3100">
        <v>144.63</v>
      </c>
      <c r="G185" s="3099">
        <v>13.89</v>
      </c>
      <c r="H185" s="3095">
        <f t="shared" si="3"/>
        <v>0.91237698713096127</v>
      </c>
      <c r="I185" s="3103" t="s">
        <v>1372</v>
      </c>
    </row>
    <row r="186" spans="1:9" ht="18" customHeight="1">
      <c r="A186" s="3743"/>
      <c r="B186" s="3743"/>
      <c r="C186" s="3093" t="s">
        <v>3442</v>
      </c>
      <c r="D186" s="3098" t="s">
        <v>3462</v>
      </c>
      <c r="E186" s="3113">
        <v>31.03</v>
      </c>
      <c r="F186" s="3100">
        <v>28.31</v>
      </c>
      <c r="G186" s="3099">
        <v>2.72</v>
      </c>
      <c r="H186" s="3095">
        <f t="shared" si="3"/>
        <v>0.91234289397357393</v>
      </c>
      <c r="I186" s="3103" t="s">
        <v>1372</v>
      </c>
    </row>
    <row r="187" spans="1:9" ht="18" customHeight="1">
      <c r="A187" s="3743"/>
      <c r="B187" s="3743"/>
      <c r="C187" s="3093" t="s">
        <v>3442</v>
      </c>
      <c r="D187" s="3098" t="s">
        <v>3463</v>
      </c>
      <c r="E187" s="3113">
        <v>93.08</v>
      </c>
      <c r="F187" s="3100">
        <v>84.93</v>
      </c>
      <c r="G187" s="3099">
        <v>8.15</v>
      </c>
      <c r="H187" s="3095">
        <f t="shared" si="3"/>
        <v>0.91244091104426306</v>
      </c>
      <c r="I187" s="3103" t="s">
        <v>1372</v>
      </c>
    </row>
    <row r="188" spans="1:9" ht="18" customHeight="1">
      <c r="A188" s="3743"/>
      <c r="B188" s="3743"/>
      <c r="C188" s="3093" t="s">
        <v>3442</v>
      </c>
      <c r="D188" s="3098" t="s">
        <v>3464</v>
      </c>
      <c r="E188" s="3113">
        <v>93.08</v>
      </c>
      <c r="F188" s="3100">
        <v>84.93</v>
      </c>
      <c r="G188" s="3099">
        <v>8.15</v>
      </c>
      <c r="H188" s="3095">
        <f t="shared" si="3"/>
        <v>0.91244091104426306</v>
      </c>
      <c r="I188" s="3103" t="s">
        <v>1372</v>
      </c>
    </row>
    <row r="189" spans="1:9" ht="18" customHeight="1">
      <c r="A189" s="3743"/>
      <c r="B189" s="3743"/>
      <c r="C189" s="3093" t="s">
        <v>3442</v>
      </c>
      <c r="D189" s="3098" t="s">
        <v>3467</v>
      </c>
      <c r="E189" s="3113">
        <v>31.03</v>
      </c>
      <c r="F189" s="3100">
        <v>28.31</v>
      </c>
      <c r="G189" s="3099">
        <v>2.72</v>
      </c>
      <c r="H189" s="3095">
        <f t="shared" si="3"/>
        <v>0.91234289397357393</v>
      </c>
      <c r="I189" s="3103" t="s">
        <v>1372</v>
      </c>
    </row>
    <row r="190" spans="1:9" ht="18" customHeight="1">
      <c r="A190" s="3743"/>
      <c r="B190" s="3743"/>
      <c r="C190" s="3093" t="s">
        <v>3442</v>
      </c>
      <c r="D190" s="3098" t="s">
        <v>3484</v>
      </c>
      <c r="E190" s="3113">
        <v>153.16</v>
      </c>
      <c r="F190" s="3100">
        <v>139.74</v>
      </c>
      <c r="G190" s="3099">
        <v>13.42</v>
      </c>
      <c r="H190" s="3095">
        <f t="shared" si="3"/>
        <v>0.91237921128231925</v>
      </c>
      <c r="I190" s="3103" t="s">
        <v>1372</v>
      </c>
    </row>
    <row r="191" spans="1:9" ht="18" customHeight="1">
      <c r="A191" s="3121" t="s">
        <v>37</v>
      </c>
      <c r="B191" s="3131"/>
      <c r="C191" s="3132" t="s">
        <v>3512</v>
      </c>
      <c r="D191" s="3123"/>
      <c r="E191" s="3140">
        <f>SUM(E184:E190)</f>
        <v>601.32999999999993</v>
      </c>
      <c r="F191" s="3124"/>
      <c r="G191" s="3124"/>
      <c r="H191" s="3125"/>
      <c r="I191" s="3124"/>
    </row>
    <row r="192" spans="1:9" ht="18" customHeight="1">
      <c r="A192" s="3096"/>
      <c r="B192" s="3096"/>
      <c r="C192" s="3093"/>
      <c r="D192" s="3093"/>
      <c r="E192" s="3111"/>
      <c r="F192" s="3094"/>
      <c r="G192" s="3094"/>
      <c r="H192" s="3095"/>
      <c r="I192" s="3094"/>
    </row>
    <row r="193" spans="1:9" ht="18" customHeight="1">
      <c r="A193" s="3743" t="s">
        <v>3494</v>
      </c>
      <c r="B193" s="3743" t="s">
        <v>3495</v>
      </c>
      <c r="C193" s="3093" t="s">
        <v>3442</v>
      </c>
      <c r="D193" s="3099">
        <v>101</v>
      </c>
      <c r="E193" s="3113">
        <v>17.66</v>
      </c>
      <c r="F193" s="3100">
        <v>14.97</v>
      </c>
      <c r="G193" s="3099">
        <v>2.69</v>
      </c>
      <c r="H193" s="3095">
        <f t="shared" si="3"/>
        <v>0.84767836919592299</v>
      </c>
      <c r="I193" s="3103" t="s">
        <v>1372</v>
      </c>
    </row>
    <row r="194" spans="1:9" ht="18" customHeight="1">
      <c r="A194" s="3743"/>
      <c r="B194" s="3743"/>
      <c r="C194" s="3093" t="s">
        <v>3442</v>
      </c>
      <c r="D194" s="3099">
        <v>103</v>
      </c>
      <c r="E194" s="3113">
        <v>152.38</v>
      </c>
      <c r="F194" s="3100">
        <v>129.18</v>
      </c>
      <c r="G194" s="3099">
        <v>23.2</v>
      </c>
      <c r="H194" s="3095">
        <f t="shared" si="3"/>
        <v>0.84774904843155274</v>
      </c>
      <c r="I194" s="3103" t="s">
        <v>1372</v>
      </c>
    </row>
    <row r="195" spans="1:9" ht="18" customHeight="1">
      <c r="A195" s="3743"/>
      <c r="B195" s="3743"/>
      <c r="C195" s="3093" t="s">
        <v>3442</v>
      </c>
      <c r="D195" s="3099">
        <v>106</v>
      </c>
      <c r="E195" s="3113">
        <v>16.29</v>
      </c>
      <c r="F195" s="3100">
        <v>13.81</v>
      </c>
      <c r="G195" s="3099">
        <v>2.48</v>
      </c>
      <c r="H195" s="3095">
        <f t="shared" si="3"/>
        <v>0.84775936157151632</v>
      </c>
      <c r="I195" s="3103" t="s">
        <v>1372</v>
      </c>
    </row>
    <row r="196" spans="1:9" ht="18" customHeight="1">
      <c r="A196" s="3743"/>
      <c r="B196" s="3743"/>
      <c r="C196" s="3093" t="s">
        <v>3442</v>
      </c>
      <c r="D196" s="3099">
        <v>107</v>
      </c>
      <c r="E196" s="3113">
        <v>34.81</v>
      </c>
      <c r="F196" s="3100">
        <v>29.51</v>
      </c>
      <c r="G196" s="3099">
        <v>5.3</v>
      </c>
      <c r="H196" s="3095">
        <f t="shared" si="3"/>
        <v>0.84774490089054866</v>
      </c>
      <c r="I196" s="3103" t="s">
        <v>1372</v>
      </c>
    </row>
    <row r="197" spans="1:9" ht="18" customHeight="1">
      <c r="A197" s="3743"/>
      <c r="B197" s="3743"/>
      <c r="C197" s="3093" t="s">
        <v>3442</v>
      </c>
      <c r="D197" s="3099">
        <v>108</v>
      </c>
      <c r="E197" s="3113">
        <v>43.95</v>
      </c>
      <c r="F197" s="3100">
        <v>37.26</v>
      </c>
      <c r="G197" s="3099">
        <v>6.69</v>
      </c>
      <c r="H197" s="3095">
        <f t="shared" si="3"/>
        <v>0.84778156996587017</v>
      </c>
      <c r="I197" s="3103" t="s">
        <v>1372</v>
      </c>
    </row>
    <row r="198" spans="1:9" ht="18" customHeight="1">
      <c r="A198" s="3743"/>
      <c r="B198" s="3743"/>
      <c r="C198" s="3093" t="s">
        <v>3442</v>
      </c>
      <c r="D198" s="3099">
        <v>109</v>
      </c>
      <c r="E198" s="3113">
        <v>10.89</v>
      </c>
      <c r="F198" s="3100">
        <v>9.23</v>
      </c>
      <c r="G198" s="3099">
        <v>1.66</v>
      </c>
      <c r="H198" s="3095">
        <f t="shared" si="3"/>
        <v>0.84756657483930209</v>
      </c>
      <c r="I198" s="3103" t="s">
        <v>1372</v>
      </c>
    </row>
    <row r="199" spans="1:9" ht="18" customHeight="1">
      <c r="A199" s="3743"/>
      <c r="B199" s="3743"/>
      <c r="C199" s="3093" t="s">
        <v>3442</v>
      </c>
      <c r="D199" s="3099">
        <v>110</v>
      </c>
      <c r="E199" s="3113">
        <v>54.63</v>
      </c>
      <c r="F199" s="3100">
        <v>46.31</v>
      </c>
      <c r="G199" s="3099">
        <v>8.32</v>
      </c>
      <c r="H199" s="3095">
        <f t="shared" si="3"/>
        <v>0.84770272743913599</v>
      </c>
      <c r="I199" s="3103" t="s">
        <v>1372</v>
      </c>
    </row>
    <row r="200" spans="1:9" ht="18" customHeight="1">
      <c r="A200" s="3743"/>
      <c r="B200" s="3743"/>
      <c r="C200" s="3093" t="s">
        <v>3442</v>
      </c>
      <c r="D200" s="3099">
        <v>111</v>
      </c>
      <c r="E200" s="3113">
        <v>39.67</v>
      </c>
      <c r="F200" s="3100">
        <v>33.630000000000003</v>
      </c>
      <c r="G200" s="3099">
        <v>6.04</v>
      </c>
      <c r="H200" s="3095">
        <f t="shared" si="3"/>
        <v>0.84774388706831361</v>
      </c>
      <c r="I200" s="3103" t="s">
        <v>1372</v>
      </c>
    </row>
    <row r="201" spans="1:9" ht="18" customHeight="1">
      <c r="A201" s="3743"/>
      <c r="B201" s="3743"/>
      <c r="C201" s="3093" t="s">
        <v>3442</v>
      </c>
      <c r="D201" s="3099">
        <v>112</v>
      </c>
      <c r="E201" s="3113">
        <v>33.9</v>
      </c>
      <c r="F201" s="3100">
        <v>28.74</v>
      </c>
      <c r="G201" s="3099">
        <v>5.16</v>
      </c>
      <c r="H201" s="3095">
        <f t="shared" si="3"/>
        <v>0.84778761061946906</v>
      </c>
      <c r="I201" s="3103" t="s">
        <v>1372</v>
      </c>
    </row>
    <row r="202" spans="1:9" ht="18" customHeight="1">
      <c r="A202" s="3743"/>
      <c r="B202" s="3743"/>
      <c r="C202" s="3093" t="s">
        <v>3442</v>
      </c>
      <c r="D202" s="3099">
        <v>113</v>
      </c>
      <c r="E202" s="3113">
        <v>10.86</v>
      </c>
      <c r="F202" s="3100">
        <v>9.2100000000000009</v>
      </c>
      <c r="G202" s="3099">
        <v>1.65</v>
      </c>
      <c r="H202" s="3095">
        <f t="shared" si="3"/>
        <v>0.84806629834254155</v>
      </c>
      <c r="I202" s="3103" t="s">
        <v>1372</v>
      </c>
    </row>
    <row r="203" spans="1:9" ht="18" customHeight="1">
      <c r="A203" s="3743"/>
      <c r="B203" s="3743"/>
      <c r="C203" s="3093" t="s">
        <v>3442</v>
      </c>
      <c r="D203" s="3099">
        <v>114</v>
      </c>
      <c r="E203" s="3113">
        <v>110.53</v>
      </c>
      <c r="F203" s="3100">
        <v>93.7</v>
      </c>
      <c r="G203" s="3099">
        <v>16.829999999999998</v>
      </c>
      <c r="H203" s="3095">
        <f t="shared" si="3"/>
        <v>0.84773364697367237</v>
      </c>
      <c r="I203" s="3103" t="s">
        <v>1372</v>
      </c>
    </row>
    <row r="204" spans="1:9" ht="18" customHeight="1">
      <c r="A204" s="3743"/>
      <c r="B204" s="3743"/>
      <c r="C204" s="3093" t="s">
        <v>3442</v>
      </c>
      <c r="D204" s="3099">
        <v>115</v>
      </c>
      <c r="E204" s="3113">
        <v>7.01</v>
      </c>
      <c r="F204" s="3100">
        <v>5.94</v>
      </c>
      <c r="G204" s="3099">
        <v>1.07</v>
      </c>
      <c r="H204" s="3095">
        <f t="shared" si="3"/>
        <v>0.84736091298145511</v>
      </c>
      <c r="I204" s="3103" t="s">
        <v>1372</v>
      </c>
    </row>
    <row r="205" spans="1:9" ht="18" customHeight="1">
      <c r="A205" s="3743"/>
      <c r="B205" s="3743"/>
      <c r="C205" s="3093" t="s">
        <v>3442</v>
      </c>
      <c r="D205" s="3099">
        <v>116</v>
      </c>
      <c r="E205" s="3113">
        <v>24.83</v>
      </c>
      <c r="F205" s="3100">
        <v>21.05</v>
      </c>
      <c r="G205" s="3099">
        <v>3.78</v>
      </c>
      <c r="H205" s="3095">
        <f t="shared" si="3"/>
        <v>0.84776480064438187</v>
      </c>
      <c r="I205" s="3103" t="s">
        <v>1372</v>
      </c>
    </row>
    <row r="206" spans="1:9" ht="18" customHeight="1">
      <c r="A206" s="3743"/>
      <c r="B206" s="3743"/>
      <c r="C206" s="3093" t="s">
        <v>3442</v>
      </c>
      <c r="D206" s="3099">
        <v>117</v>
      </c>
      <c r="E206" s="3113">
        <v>32.14</v>
      </c>
      <c r="F206" s="3100">
        <v>27.25</v>
      </c>
      <c r="G206" s="3099">
        <v>4.8899999999999997</v>
      </c>
      <c r="H206" s="3095">
        <f t="shared" si="3"/>
        <v>0.84785314250155563</v>
      </c>
      <c r="I206" s="3103" t="s">
        <v>1372</v>
      </c>
    </row>
    <row r="207" spans="1:9" ht="18" customHeight="1">
      <c r="A207" s="3743"/>
      <c r="B207" s="3743"/>
      <c r="C207" s="3093" t="s">
        <v>3442</v>
      </c>
      <c r="D207" s="3099">
        <v>118</v>
      </c>
      <c r="E207" s="3113">
        <v>154.38</v>
      </c>
      <c r="F207" s="3100">
        <v>130.87</v>
      </c>
      <c r="G207" s="3099">
        <v>23.51</v>
      </c>
      <c r="H207" s="3095">
        <f t="shared" si="3"/>
        <v>0.84771343438269209</v>
      </c>
      <c r="I207" s="3103" t="s">
        <v>1372</v>
      </c>
    </row>
    <row r="208" spans="1:9" ht="18" customHeight="1">
      <c r="A208" s="3743"/>
      <c r="B208" s="3743"/>
      <c r="C208" s="3093" t="s">
        <v>3442</v>
      </c>
      <c r="D208" s="3099">
        <v>119</v>
      </c>
      <c r="E208" s="3113">
        <v>87.69</v>
      </c>
      <c r="F208" s="3100">
        <v>74.34</v>
      </c>
      <c r="G208" s="3099">
        <v>13.35</v>
      </c>
      <c r="H208" s="3095">
        <f t="shared" si="3"/>
        <v>0.84775915155661996</v>
      </c>
      <c r="I208" s="3103" t="s">
        <v>1372</v>
      </c>
    </row>
    <row r="209" spans="1:9" ht="18" customHeight="1">
      <c r="A209" s="3743"/>
      <c r="B209" s="3743"/>
      <c r="C209" s="3093" t="s">
        <v>3474</v>
      </c>
      <c r="D209" s="3099">
        <v>201</v>
      </c>
      <c r="E209" s="3113">
        <v>935.36</v>
      </c>
      <c r="F209" s="3100">
        <v>680.27</v>
      </c>
      <c r="G209" s="3099">
        <v>255.09</v>
      </c>
      <c r="H209" s="3095">
        <f t="shared" si="3"/>
        <v>0.72728147451248715</v>
      </c>
      <c r="I209" s="3103" t="s">
        <v>1372</v>
      </c>
    </row>
    <row r="210" spans="1:9" ht="18" customHeight="1">
      <c r="A210" s="3743"/>
      <c r="B210" s="3743"/>
      <c r="C210" s="3093" t="s">
        <v>3474</v>
      </c>
      <c r="D210" s="3099">
        <v>202</v>
      </c>
      <c r="E210" s="3113">
        <v>991.13</v>
      </c>
      <c r="F210" s="3100">
        <v>720.83</v>
      </c>
      <c r="G210" s="3099">
        <v>270.3</v>
      </c>
      <c r="H210" s="3095">
        <f t="shared" si="3"/>
        <v>0.72728098231311744</v>
      </c>
      <c r="I210" s="3103" t="s">
        <v>1372</v>
      </c>
    </row>
    <row r="211" spans="1:9" ht="18" customHeight="1">
      <c r="A211" s="3121" t="s">
        <v>37</v>
      </c>
      <c r="B211" s="3131"/>
      <c r="C211" s="3132" t="s">
        <v>3512</v>
      </c>
      <c r="D211" s="3123"/>
      <c r="E211" s="3140">
        <f>SUM(E193:E208)</f>
        <v>831.61999999999989</v>
      </c>
      <c r="F211" s="3124"/>
      <c r="G211" s="3124"/>
      <c r="H211" s="3125"/>
      <c r="I211" s="3124"/>
    </row>
    <row r="212" spans="1:9" ht="18" customHeight="1">
      <c r="A212" s="3126"/>
      <c r="B212" s="3133"/>
      <c r="C212" s="3118" t="s">
        <v>3474</v>
      </c>
      <c r="D212" s="3128"/>
      <c r="E212" s="3129">
        <f>E209+E210</f>
        <v>1926.49</v>
      </c>
      <c r="F212" s="3129"/>
      <c r="G212" s="3129"/>
      <c r="H212" s="3130"/>
      <c r="I212" s="3129"/>
    </row>
    <row r="213" spans="1:9" ht="18" customHeight="1">
      <c r="A213" s="3096"/>
      <c r="B213" s="3096"/>
      <c r="C213" s="3093"/>
      <c r="D213" s="3093"/>
      <c r="E213" s="3111"/>
      <c r="F213" s="3094"/>
      <c r="G213" s="3094"/>
      <c r="H213" s="3095"/>
      <c r="I213" s="3094"/>
    </row>
    <row r="214" spans="1:9" ht="18" customHeight="1">
      <c r="A214" s="3743" t="s">
        <v>3496</v>
      </c>
      <c r="B214" s="3743" t="s">
        <v>3497</v>
      </c>
      <c r="C214" s="3093" t="s">
        <v>3442</v>
      </c>
      <c r="D214" s="3099">
        <v>101</v>
      </c>
      <c r="E214" s="3113">
        <v>34.56</v>
      </c>
      <c r="F214" s="3100">
        <v>20.78</v>
      </c>
      <c r="G214" s="3099">
        <v>13.78</v>
      </c>
      <c r="H214" s="3095">
        <f t="shared" si="3"/>
        <v>0.60127314814814814</v>
      </c>
      <c r="I214" s="3103" t="s">
        <v>1372</v>
      </c>
    </row>
    <row r="215" spans="1:9" ht="18" customHeight="1">
      <c r="A215" s="3743"/>
      <c r="B215" s="3743"/>
      <c r="C215" s="3093" t="s">
        <v>3442</v>
      </c>
      <c r="D215" s="3099">
        <v>102</v>
      </c>
      <c r="E215" s="3113">
        <v>41.69</v>
      </c>
      <c r="F215" s="3100">
        <v>25.07</v>
      </c>
      <c r="G215" s="3099">
        <v>16.62</v>
      </c>
      <c r="H215" s="3095">
        <f t="shared" si="3"/>
        <v>0.6013432477812426</v>
      </c>
      <c r="I215" s="3103" t="s">
        <v>1372</v>
      </c>
    </row>
    <row r="216" spans="1:9" ht="18" customHeight="1">
      <c r="A216" s="3743"/>
      <c r="B216" s="3743"/>
      <c r="C216" s="3093" t="s">
        <v>3474</v>
      </c>
      <c r="D216" s="3099">
        <v>201</v>
      </c>
      <c r="E216" s="3113">
        <v>562.57000000000005</v>
      </c>
      <c r="F216" s="3100">
        <v>338.26</v>
      </c>
      <c r="G216" s="3099">
        <v>224.31</v>
      </c>
      <c r="H216" s="3095">
        <f t="shared" si="3"/>
        <v>0.60127628561778967</v>
      </c>
      <c r="I216" s="3103" t="s">
        <v>1372</v>
      </c>
    </row>
    <row r="217" spans="1:9" ht="18" customHeight="1">
      <c r="A217" s="3743"/>
      <c r="B217" s="3743"/>
      <c r="C217" s="3093" t="s">
        <v>3477</v>
      </c>
      <c r="D217" s="3099">
        <v>301</v>
      </c>
      <c r="E217" s="3113">
        <v>624.51</v>
      </c>
      <c r="F217" s="3100">
        <v>375.5</v>
      </c>
      <c r="G217" s="3099">
        <v>249.01</v>
      </c>
      <c r="H217" s="3095">
        <f t="shared" si="3"/>
        <v>0.60127139677507169</v>
      </c>
      <c r="I217" s="3103" t="s">
        <v>1372</v>
      </c>
    </row>
    <row r="218" spans="1:9" ht="18" customHeight="1">
      <c r="A218" s="3743"/>
      <c r="B218" s="3743"/>
      <c r="C218" s="3093" t="s">
        <v>3479</v>
      </c>
      <c r="D218" s="3099">
        <v>401</v>
      </c>
      <c r="E218" s="3113">
        <v>746.56</v>
      </c>
      <c r="F218" s="3100">
        <v>448.89</v>
      </c>
      <c r="G218" s="3099">
        <v>297.67</v>
      </c>
      <c r="H218" s="3095">
        <f t="shared" si="3"/>
        <v>0.60127786112301762</v>
      </c>
      <c r="I218" s="3103" t="s">
        <v>1372</v>
      </c>
    </row>
    <row r="219" spans="1:9" ht="18" customHeight="1">
      <c r="A219" s="3743"/>
      <c r="B219" s="3743"/>
      <c r="C219" s="3093" t="s">
        <v>3498</v>
      </c>
      <c r="D219" s="3099">
        <v>501</v>
      </c>
      <c r="E219" s="3113">
        <v>729.81</v>
      </c>
      <c r="F219" s="3100">
        <v>438.82</v>
      </c>
      <c r="G219" s="3099">
        <v>290.99</v>
      </c>
      <c r="H219" s="3095">
        <f t="shared" si="3"/>
        <v>0.60127978514955949</v>
      </c>
      <c r="I219" s="3103" t="s">
        <v>1372</v>
      </c>
    </row>
    <row r="220" spans="1:9" ht="18" customHeight="1">
      <c r="A220" s="3743"/>
      <c r="B220" s="3096"/>
      <c r="C220" s="3093"/>
      <c r="D220" s="3097"/>
      <c r="E220" s="3112"/>
      <c r="F220" s="3097"/>
      <c r="G220" s="3097"/>
      <c r="H220" s="3095"/>
      <c r="I220" s="3097"/>
    </row>
    <row r="221" spans="1:9" ht="18" customHeight="1">
      <c r="A221" s="3743"/>
      <c r="B221" s="3743" t="s">
        <v>3499</v>
      </c>
      <c r="C221" s="3093" t="s">
        <v>3442</v>
      </c>
      <c r="D221" s="3099">
        <v>101</v>
      </c>
      <c r="E221" s="3113">
        <v>76.33</v>
      </c>
      <c r="F221" s="3100">
        <v>45.69</v>
      </c>
      <c r="G221" s="3099">
        <v>30.64</v>
      </c>
      <c r="H221" s="3095">
        <f t="shared" si="3"/>
        <v>0.59858509105201096</v>
      </c>
      <c r="I221" s="3103" t="s">
        <v>1372</v>
      </c>
    </row>
    <row r="222" spans="1:9" ht="18" customHeight="1">
      <c r="A222" s="3743"/>
      <c r="B222" s="3743"/>
      <c r="C222" s="3093" t="s">
        <v>3442</v>
      </c>
      <c r="D222" s="3099">
        <v>102</v>
      </c>
      <c r="E222" s="3113">
        <v>35.58</v>
      </c>
      <c r="F222" s="3100">
        <v>21.3</v>
      </c>
      <c r="G222" s="3099">
        <v>14.28</v>
      </c>
      <c r="H222" s="3095">
        <f t="shared" si="3"/>
        <v>0.59865092748735249</v>
      </c>
      <c r="I222" s="3103" t="s">
        <v>1372</v>
      </c>
    </row>
    <row r="223" spans="1:9" ht="18" customHeight="1">
      <c r="A223" s="3743"/>
      <c r="B223" s="3743"/>
      <c r="C223" s="3093" t="s">
        <v>3442</v>
      </c>
      <c r="D223" s="3099">
        <v>103</v>
      </c>
      <c r="E223" s="3113">
        <v>21.6</v>
      </c>
      <c r="F223" s="3100">
        <v>12.93</v>
      </c>
      <c r="G223" s="3099">
        <v>8.67</v>
      </c>
      <c r="H223" s="3095">
        <f t="shared" si="3"/>
        <v>0.59861111111111109</v>
      </c>
      <c r="I223" s="3103" t="s">
        <v>1372</v>
      </c>
    </row>
    <row r="224" spans="1:9" ht="18" customHeight="1">
      <c r="A224" s="3743"/>
      <c r="B224" s="3743"/>
      <c r="C224" s="3093" t="s">
        <v>3474</v>
      </c>
      <c r="D224" s="3099">
        <v>201</v>
      </c>
      <c r="E224" s="3113">
        <v>592.95000000000005</v>
      </c>
      <c r="F224" s="3100">
        <v>354.95</v>
      </c>
      <c r="G224" s="3099">
        <v>238</v>
      </c>
      <c r="H224" s="3095">
        <f t="shared" si="3"/>
        <v>0.59861708407116954</v>
      </c>
      <c r="I224" s="3103" t="s">
        <v>1372</v>
      </c>
    </row>
    <row r="225" spans="1:9" ht="18" customHeight="1">
      <c r="A225" s="3743"/>
      <c r="B225" s="3743"/>
      <c r="C225" s="3093" t="s">
        <v>3477</v>
      </c>
      <c r="D225" s="3099">
        <v>301</v>
      </c>
      <c r="E225" s="3113">
        <v>580.24</v>
      </c>
      <c r="F225" s="3100">
        <v>347.34</v>
      </c>
      <c r="G225" s="3099">
        <v>232.9</v>
      </c>
      <c r="H225" s="3095">
        <f t="shared" si="3"/>
        <v>0.5986143664690472</v>
      </c>
      <c r="I225" s="3103" t="s">
        <v>1372</v>
      </c>
    </row>
    <row r="226" spans="1:9" ht="18" customHeight="1">
      <c r="A226" s="3743"/>
      <c r="B226" s="3743"/>
      <c r="C226" s="3093" t="s">
        <v>3479</v>
      </c>
      <c r="D226" s="3099">
        <v>401</v>
      </c>
      <c r="E226" s="3113">
        <v>415.21</v>
      </c>
      <c r="F226" s="3100">
        <v>248.55</v>
      </c>
      <c r="G226" s="3099">
        <v>166.66</v>
      </c>
      <c r="H226" s="3095">
        <f t="shared" si="3"/>
        <v>0.59861275017461046</v>
      </c>
      <c r="I226" s="3103" t="s">
        <v>1372</v>
      </c>
    </row>
    <row r="227" spans="1:9" ht="18" customHeight="1">
      <c r="A227" s="3743"/>
      <c r="B227" s="3743"/>
      <c r="C227" s="3093" t="s">
        <v>3498</v>
      </c>
      <c r="D227" s="3099">
        <v>501</v>
      </c>
      <c r="E227" s="3113">
        <v>443.62</v>
      </c>
      <c r="F227" s="3100">
        <v>265.56</v>
      </c>
      <c r="G227" s="3099">
        <v>178.06</v>
      </c>
      <c r="H227" s="3095">
        <f t="shared" si="3"/>
        <v>0.59862044091790267</v>
      </c>
      <c r="I227" s="3103" t="s">
        <v>1372</v>
      </c>
    </row>
    <row r="228" spans="1:9" ht="18" customHeight="1">
      <c r="A228" s="3743"/>
      <c r="B228" s="3096"/>
      <c r="C228" s="3093"/>
      <c r="D228" s="3093"/>
      <c r="E228" s="3111"/>
      <c r="F228" s="3094"/>
      <c r="G228" s="3094"/>
      <c r="H228" s="3095"/>
      <c r="I228" s="3094"/>
    </row>
    <row r="229" spans="1:9" ht="18" customHeight="1">
      <c r="A229" s="3743"/>
      <c r="B229" s="3743" t="s">
        <v>3500</v>
      </c>
      <c r="C229" s="3093" t="s">
        <v>3442</v>
      </c>
      <c r="D229" s="3099">
        <v>101</v>
      </c>
      <c r="E229" s="3113">
        <v>62.17</v>
      </c>
      <c r="F229" s="3100">
        <v>44.81</v>
      </c>
      <c r="G229" s="3099">
        <v>17.36</v>
      </c>
      <c r="H229" s="3095">
        <f t="shared" si="3"/>
        <v>0.72076564259289044</v>
      </c>
      <c r="I229" s="3103" t="s">
        <v>1372</v>
      </c>
    </row>
    <row r="230" spans="1:9" ht="18" customHeight="1">
      <c r="A230" s="3743"/>
      <c r="B230" s="3743"/>
      <c r="C230" s="3093" t="s">
        <v>3442</v>
      </c>
      <c r="D230" s="3099">
        <v>102</v>
      </c>
      <c r="E230" s="3113">
        <v>46.52</v>
      </c>
      <c r="F230" s="3100">
        <v>33.53</v>
      </c>
      <c r="G230" s="3099">
        <v>12.99</v>
      </c>
      <c r="H230" s="3095">
        <f t="shared" si="3"/>
        <v>0.72076526225279447</v>
      </c>
      <c r="I230" s="3103" t="s">
        <v>1372</v>
      </c>
    </row>
    <row r="231" spans="1:9" ht="18" customHeight="1">
      <c r="A231" s="3743"/>
      <c r="B231" s="3743"/>
      <c r="C231" s="3093" t="s">
        <v>3442</v>
      </c>
      <c r="D231" s="3099">
        <v>103</v>
      </c>
      <c r="E231" s="3113">
        <v>24.35</v>
      </c>
      <c r="F231" s="3100">
        <v>17.55</v>
      </c>
      <c r="G231" s="3099">
        <v>6.8</v>
      </c>
      <c r="H231" s="3095">
        <f t="shared" si="3"/>
        <v>0.72073921971252564</v>
      </c>
      <c r="I231" s="3103" t="s">
        <v>1372</v>
      </c>
    </row>
    <row r="232" spans="1:9" ht="18" customHeight="1">
      <c r="A232" s="3743"/>
      <c r="B232" s="3743"/>
      <c r="C232" s="3093" t="s">
        <v>3474</v>
      </c>
      <c r="D232" s="3099">
        <v>201</v>
      </c>
      <c r="E232" s="3113">
        <v>890.26</v>
      </c>
      <c r="F232" s="3100">
        <v>641.69000000000005</v>
      </c>
      <c r="G232" s="3099">
        <v>248.57</v>
      </c>
      <c r="H232" s="3095">
        <f t="shared" ref="H232:H235" si="4">F232/E232</f>
        <v>0.72078943230067627</v>
      </c>
      <c r="I232" s="3103" t="s">
        <v>1372</v>
      </c>
    </row>
    <row r="233" spans="1:9" ht="18" customHeight="1">
      <c r="A233" s="3743"/>
      <c r="B233" s="3743"/>
      <c r="C233" s="3093" t="s">
        <v>3477</v>
      </c>
      <c r="D233" s="3099">
        <v>301</v>
      </c>
      <c r="E233" s="3113">
        <v>910.45</v>
      </c>
      <c r="F233" s="3100">
        <v>656.24</v>
      </c>
      <c r="G233" s="3099">
        <v>254.21</v>
      </c>
      <c r="H233" s="3095">
        <f t="shared" si="4"/>
        <v>0.72078642429567796</v>
      </c>
      <c r="I233" s="3103" t="s">
        <v>1372</v>
      </c>
    </row>
    <row r="234" spans="1:9" ht="18" customHeight="1">
      <c r="A234" s="3743"/>
      <c r="B234" s="3743"/>
      <c r="C234" s="3093" t="s">
        <v>3479</v>
      </c>
      <c r="D234" s="3099">
        <v>401</v>
      </c>
      <c r="E234" s="3113">
        <v>843.16</v>
      </c>
      <c r="F234" s="3100">
        <v>607.74</v>
      </c>
      <c r="G234" s="3099">
        <v>235.42</v>
      </c>
      <c r="H234" s="3095">
        <f t="shared" si="4"/>
        <v>0.72078846245078043</v>
      </c>
      <c r="I234" s="3103" t="s">
        <v>1372</v>
      </c>
    </row>
    <row r="235" spans="1:9" ht="20.100000000000001" customHeight="1">
      <c r="A235" s="3743"/>
      <c r="B235" s="3743"/>
      <c r="C235" s="3093" t="s">
        <v>3498</v>
      </c>
      <c r="D235" s="3099">
        <v>501</v>
      </c>
      <c r="E235" s="3113">
        <v>825.09</v>
      </c>
      <c r="F235" s="3100">
        <v>594.71</v>
      </c>
      <c r="G235" s="3099">
        <v>230.38</v>
      </c>
      <c r="H235" s="3095">
        <f t="shared" si="4"/>
        <v>0.72078197529966426</v>
      </c>
      <c r="I235" s="3103" t="s">
        <v>1372</v>
      </c>
    </row>
    <row r="236" spans="1:9" ht="18" customHeight="1">
      <c r="A236" s="3121" t="s">
        <v>37</v>
      </c>
      <c r="B236" s="3131"/>
      <c r="C236" s="3132" t="s">
        <v>3512</v>
      </c>
      <c r="D236" s="3123"/>
      <c r="E236" s="3140">
        <f>E214+E215+E221+E222+E223+E229+E230+E231</f>
        <v>342.79999999999995</v>
      </c>
      <c r="F236" s="3124"/>
      <c r="G236" s="3124"/>
      <c r="H236" s="3125"/>
      <c r="I236" s="3124"/>
    </row>
    <row r="237" spans="1:9" ht="18" customHeight="1">
      <c r="A237" s="3126"/>
      <c r="B237" s="3133"/>
      <c r="C237" s="3118" t="s">
        <v>3474</v>
      </c>
      <c r="D237" s="3128"/>
      <c r="E237" s="3129">
        <f>E216+E224+E232</f>
        <v>2045.78</v>
      </c>
      <c r="F237" s="3129"/>
      <c r="G237" s="3129"/>
      <c r="H237" s="3130"/>
      <c r="I237" s="3129"/>
    </row>
    <row r="238" spans="1:9" ht="18" customHeight="1">
      <c r="A238" s="3121"/>
      <c r="B238" s="3131"/>
      <c r="C238" s="3132" t="s">
        <v>3514</v>
      </c>
      <c r="D238" s="3123"/>
      <c r="E238" s="3124">
        <f>E217+E225+E233</f>
        <v>2115.1999999999998</v>
      </c>
      <c r="F238" s="3124"/>
      <c r="G238" s="3124"/>
      <c r="H238" s="3125"/>
      <c r="I238" s="3124"/>
    </row>
    <row r="239" spans="1:9" ht="18" customHeight="1">
      <c r="A239" s="3126"/>
      <c r="B239" s="3133"/>
      <c r="C239" s="3118" t="s">
        <v>3515</v>
      </c>
      <c r="D239" s="3128"/>
      <c r="E239" s="3129">
        <f>E218+E226+E234</f>
        <v>2004.9299999999998</v>
      </c>
      <c r="F239" s="3129"/>
      <c r="G239" s="3129"/>
      <c r="H239" s="3130"/>
      <c r="I239" s="3129"/>
    </row>
    <row r="240" spans="1:9" ht="18" customHeight="1">
      <c r="A240" s="3126"/>
      <c r="B240" s="3133"/>
      <c r="C240" s="3118" t="s">
        <v>3516</v>
      </c>
      <c r="D240" s="3128"/>
      <c r="E240" s="3141">
        <f>E219+E227+E235</f>
        <v>1998.52</v>
      </c>
      <c r="F240" s="3129"/>
      <c r="G240" s="3129"/>
      <c r="H240" s="3130"/>
      <c r="I240" s="3129"/>
    </row>
    <row r="241" spans="1:9" ht="18" customHeight="1">
      <c r="A241" s="3096"/>
      <c r="B241" s="3096"/>
      <c r="C241" s="3093"/>
      <c r="D241" s="3093"/>
      <c r="E241" s="3111"/>
      <c r="F241" s="3094"/>
      <c r="G241" s="3094"/>
      <c r="H241" s="3095"/>
      <c r="I241" s="3094"/>
    </row>
    <row r="242" spans="1:9" ht="18" customHeight="1">
      <c r="A242" s="3743" t="s">
        <v>3501</v>
      </c>
      <c r="B242" s="3743" t="s">
        <v>3501</v>
      </c>
      <c r="C242" s="3093" t="s">
        <v>3502</v>
      </c>
      <c r="D242" s="3098" t="s">
        <v>3503</v>
      </c>
      <c r="E242" s="3113">
        <f>F242+G242</f>
        <v>9617.7199999999993</v>
      </c>
      <c r="F242" s="3100">
        <v>9617.7199999999993</v>
      </c>
      <c r="G242" s="3099"/>
      <c r="H242" s="3095">
        <f>F242/E242</f>
        <v>1</v>
      </c>
      <c r="I242" s="3094" t="s">
        <v>3443</v>
      </c>
    </row>
    <row r="243" spans="1:9" ht="18" customHeight="1">
      <c r="A243" s="3743"/>
      <c r="B243" s="3743"/>
      <c r="C243" s="3093" t="s">
        <v>3502</v>
      </c>
      <c r="D243" s="3098" t="s">
        <v>3504</v>
      </c>
      <c r="E243" s="3113">
        <f t="shared" ref="E243:E249" si="5">F243+G243</f>
        <v>9117.8799999999992</v>
      </c>
      <c r="F243" s="3100">
        <v>9117.8799999999992</v>
      </c>
      <c r="G243" s="3099"/>
      <c r="H243" s="3095">
        <f t="shared" ref="H243:H249" si="6">F243/E243</f>
        <v>1</v>
      </c>
      <c r="I243" s="3094" t="s">
        <v>3443</v>
      </c>
    </row>
    <row r="244" spans="1:9" ht="18" customHeight="1">
      <c r="A244" s="3743"/>
      <c r="B244" s="3743"/>
      <c r="C244" s="3093" t="s">
        <v>3502</v>
      </c>
      <c r="D244" s="3098" t="s">
        <v>3505</v>
      </c>
      <c r="E244" s="3113">
        <f t="shared" si="5"/>
        <v>1597.05</v>
      </c>
      <c r="F244" s="3100">
        <v>1597.05</v>
      </c>
      <c r="G244" s="3099"/>
      <c r="H244" s="3095">
        <f t="shared" si="6"/>
        <v>1</v>
      </c>
      <c r="I244" s="3094" t="s">
        <v>3443</v>
      </c>
    </row>
    <row r="245" spans="1:9" ht="18" customHeight="1">
      <c r="A245" s="3743"/>
      <c r="B245" s="3743"/>
      <c r="C245" s="3093" t="s">
        <v>3502</v>
      </c>
      <c r="D245" s="3098" t="s">
        <v>3506</v>
      </c>
      <c r="E245" s="3113">
        <f t="shared" si="5"/>
        <v>10318.73</v>
      </c>
      <c r="F245" s="3100">
        <v>10318.73</v>
      </c>
      <c r="G245" s="3099"/>
      <c r="H245" s="3095">
        <f t="shared" si="6"/>
        <v>1</v>
      </c>
      <c r="I245" s="3094" t="s">
        <v>3443</v>
      </c>
    </row>
    <row r="246" spans="1:9" ht="18" customHeight="1">
      <c r="A246" s="3743"/>
      <c r="B246" s="3743"/>
      <c r="C246" s="3093" t="s">
        <v>3450</v>
      </c>
      <c r="D246" s="3098" t="s">
        <v>3507</v>
      </c>
      <c r="E246" s="3113">
        <f t="shared" si="5"/>
        <v>9980.74</v>
      </c>
      <c r="F246" s="3100">
        <v>9980.74</v>
      </c>
      <c r="G246" s="3099"/>
      <c r="H246" s="3095">
        <f t="shared" si="6"/>
        <v>1</v>
      </c>
      <c r="I246" s="3094" t="s">
        <v>3443</v>
      </c>
    </row>
    <row r="247" spans="1:9" ht="18" customHeight="1">
      <c r="A247" s="3743"/>
      <c r="B247" s="3743"/>
      <c r="C247" s="3093" t="s">
        <v>3450</v>
      </c>
      <c r="D247" s="3098" t="s">
        <v>3508</v>
      </c>
      <c r="E247" s="3113">
        <f t="shared" si="5"/>
        <v>8476.2999999999993</v>
      </c>
      <c r="F247" s="3100">
        <v>8476.2999999999993</v>
      </c>
      <c r="G247" s="3099"/>
      <c r="H247" s="3095">
        <f t="shared" si="6"/>
        <v>1</v>
      </c>
      <c r="I247" s="3094" t="s">
        <v>3443</v>
      </c>
    </row>
    <row r="248" spans="1:9" ht="18" customHeight="1">
      <c r="A248" s="3743"/>
      <c r="B248" s="3743"/>
      <c r="C248" s="3093" t="s">
        <v>3450</v>
      </c>
      <c r="D248" s="3098" t="s">
        <v>3509</v>
      </c>
      <c r="E248" s="3113">
        <f t="shared" si="5"/>
        <v>1523.34</v>
      </c>
      <c r="F248" s="3100">
        <v>1523.34</v>
      </c>
      <c r="G248" s="3099"/>
      <c r="H248" s="3095">
        <f t="shared" si="6"/>
        <v>1</v>
      </c>
      <c r="I248" s="3094" t="s">
        <v>3443</v>
      </c>
    </row>
    <row r="249" spans="1:9" ht="18" customHeight="1">
      <c r="A249" s="3743"/>
      <c r="B249" s="3743"/>
      <c r="C249" s="3093" t="s">
        <v>3450</v>
      </c>
      <c r="D249" s="3098" t="s">
        <v>3510</v>
      </c>
      <c r="E249" s="3113">
        <f t="shared" si="5"/>
        <v>8990.08</v>
      </c>
      <c r="F249" s="3100">
        <v>8990.08</v>
      </c>
      <c r="G249" s="3099"/>
      <c r="H249" s="3095">
        <f t="shared" si="6"/>
        <v>1</v>
      </c>
      <c r="I249" s="3094" t="s">
        <v>3443</v>
      </c>
    </row>
    <row r="250" spans="1:9" ht="18" customHeight="1">
      <c r="A250" s="3121" t="s">
        <v>37</v>
      </c>
      <c r="B250" s="3131"/>
      <c r="C250" s="3118" t="s">
        <v>3450</v>
      </c>
      <c r="D250" s="3123"/>
      <c r="E250" s="3140">
        <f>SUM(E246:E249)</f>
        <v>28970.46</v>
      </c>
      <c r="F250" s="3124"/>
      <c r="G250" s="3124"/>
      <c r="H250" s="3125"/>
      <c r="I250" s="3124"/>
    </row>
    <row r="251" spans="1:9" ht="18" customHeight="1">
      <c r="A251" s="3126"/>
      <c r="B251" s="3133"/>
      <c r="C251" s="3118" t="s">
        <v>3502</v>
      </c>
      <c r="D251" s="3128"/>
      <c r="E251" s="3141">
        <f>SUM(E242:E245)</f>
        <v>30651.379999999997</v>
      </c>
      <c r="F251" s="3129"/>
      <c r="G251" s="3129"/>
      <c r="H251" s="3130"/>
      <c r="I251" s="3129"/>
    </row>
    <row r="252" spans="1:9" ht="18" customHeight="1">
      <c r="A252" s="3096"/>
      <c r="B252" s="3096"/>
      <c r="C252" s="3093"/>
      <c r="D252" s="3098"/>
      <c r="E252" s="3113"/>
      <c r="F252" s="3100"/>
      <c r="G252" s="3099"/>
      <c r="H252" s="3095"/>
      <c r="I252" s="3094"/>
    </row>
    <row r="253" spans="1:9" ht="29.25" customHeight="1">
      <c r="A253" s="3096" t="s">
        <v>3511</v>
      </c>
      <c r="B253" s="3096"/>
      <c r="C253" s="3093"/>
      <c r="D253" s="3093"/>
      <c r="E253" s="3115">
        <f>SUM(E3:E251)/2</f>
        <v>96305.499999999985</v>
      </c>
      <c r="F253" s="3104">
        <f t="shared" ref="F253:G253" si="7">SUM(F3:F249)</f>
        <v>85371.35</v>
      </c>
      <c r="G253" s="3104">
        <f t="shared" si="7"/>
        <v>10934.149999999994</v>
      </c>
      <c r="H253" s="3095"/>
      <c r="I253" s="3094"/>
    </row>
    <row r="254" spans="1:9" ht="33.75" customHeight="1">
      <c r="C254" s="3106"/>
      <c r="D254" s="3106"/>
      <c r="E254" s="3088"/>
    </row>
    <row r="255" spans="1:9">
      <c r="E255" s="3088"/>
    </row>
    <row r="256" spans="1:9">
      <c r="E256" s="3108"/>
    </row>
    <row r="257" spans="1:5">
      <c r="E257" s="3088"/>
    </row>
    <row r="258" spans="1:5">
      <c r="E258" s="3088"/>
    </row>
    <row r="259" spans="1:5">
      <c r="A259" s="3088"/>
      <c r="B259" s="3088"/>
      <c r="E259" s="3088"/>
    </row>
    <row r="260" spans="1:5">
      <c r="A260" s="3088"/>
      <c r="B260" s="3088"/>
      <c r="E260" s="3088"/>
    </row>
    <row r="261" spans="1:5">
      <c r="A261" s="3088"/>
      <c r="B261" s="3088"/>
      <c r="E261" s="3088"/>
    </row>
    <row r="262" spans="1:5">
      <c r="A262" s="3088"/>
      <c r="B262" s="3088"/>
      <c r="E262" s="3088"/>
    </row>
    <row r="263" spans="1:5">
      <c r="A263" s="3088"/>
      <c r="B263" s="3088"/>
      <c r="E263" s="3088"/>
    </row>
    <row r="264" spans="1:5">
      <c r="A264" s="3088"/>
      <c r="B264" s="3088"/>
      <c r="E264" s="3088"/>
    </row>
    <row r="265" spans="1:5">
      <c r="A265" s="3088"/>
      <c r="B265" s="3088"/>
      <c r="E265" s="3088"/>
    </row>
    <row r="266" spans="1:5">
      <c r="A266" s="3088"/>
      <c r="B266" s="3088"/>
      <c r="E266" s="3088"/>
    </row>
    <row r="267" spans="1:5">
      <c r="A267" s="3088"/>
      <c r="B267" s="3088"/>
      <c r="E267" s="3088"/>
    </row>
    <row r="268" spans="1:5">
      <c r="E268" s="3088"/>
    </row>
    <row r="269" spans="1:5">
      <c r="E269" s="3088"/>
    </row>
    <row r="270" spans="1:5">
      <c r="E270" s="3088"/>
    </row>
    <row r="271" spans="1:5">
      <c r="E271" s="3088"/>
    </row>
    <row r="272" spans="1:5">
      <c r="E272" s="3088"/>
    </row>
    <row r="273" spans="5:5">
      <c r="E273" s="3088"/>
    </row>
    <row r="274" spans="5:5">
      <c r="E274" s="3088"/>
    </row>
    <row r="275" spans="5:5">
      <c r="E275" s="3088"/>
    </row>
    <row r="276" spans="5:5">
      <c r="E276" s="3088"/>
    </row>
    <row r="277" spans="5:5">
      <c r="E277" s="3088"/>
    </row>
    <row r="278" spans="5:5">
      <c r="E278" s="3088"/>
    </row>
    <row r="279" spans="5:5">
      <c r="E279" s="3088"/>
    </row>
    <row r="280" spans="5:5">
      <c r="E280" s="3088"/>
    </row>
    <row r="281" spans="5:5">
      <c r="E281" s="3088"/>
    </row>
    <row r="282" spans="5:5">
      <c r="E282" s="3088"/>
    </row>
    <row r="283" spans="5:5">
      <c r="E283" s="3088"/>
    </row>
    <row r="284" spans="5:5">
      <c r="E284" s="3088"/>
    </row>
    <row r="285" spans="5:5">
      <c r="E285" s="3088"/>
    </row>
    <row r="286" spans="5:5">
      <c r="E286" s="3088"/>
    </row>
    <row r="287" spans="5:5">
      <c r="E287" s="3088"/>
    </row>
    <row r="288" spans="5:5">
      <c r="E288" s="3088"/>
    </row>
    <row r="289" spans="5:5">
      <c r="E289" s="3088"/>
    </row>
    <row r="290" spans="5:5">
      <c r="E290" s="3088"/>
    </row>
    <row r="291" spans="5:5">
      <c r="E291" s="3088"/>
    </row>
    <row r="292" spans="5:5">
      <c r="E292" s="3088"/>
    </row>
    <row r="293" spans="5:5">
      <c r="E293" s="3088"/>
    </row>
    <row r="294" spans="5:5">
      <c r="E294" s="3088"/>
    </row>
    <row r="295" spans="5:5">
      <c r="E295" s="3088"/>
    </row>
    <row r="296" spans="5:5">
      <c r="E296" s="3088"/>
    </row>
    <row r="297" spans="5:5">
      <c r="E297" s="3088"/>
    </row>
    <row r="298" spans="5:5">
      <c r="E298" s="3088"/>
    </row>
    <row r="299" spans="5:5">
      <c r="E299" s="3088"/>
    </row>
    <row r="300" spans="5:5">
      <c r="E300" s="3088"/>
    </row>
    <row r="301" spans="5:5">
      <c r="E301" s="3088"/>
    </row>
    <row r="302" spans="5:5">
      <c r="E302" s="3088"/>
    </row>
    <row r="303" spans="5:5">
      <c r="E303" s="3088"/>
    </row>
    <row r="304" spans="5:5">
      <c r="E304" s="3088"/>
    </row>
    <row r="305" spans="5:5">
      <c r="E305" s="3088"/>
    </row>
    <row r="306" spans="5:5">
      <c r="E306" s="3088"/>
    </row>
    <row r="307" spans="5:5">
      <c r="E307" s="3088"/>
    </row>
    <row r="308" spans="5:5">
      <c r="E308" s="3088"/>
    </row>
    <row r="309" spans="5:5">
      <c r="E309" s="3088"/>
    </row>
    <row r="310" spans="5:5">
      <c r="E310" s="3088"/>
    </row>
    <row r="311" spans="5:5">
      <c r="E311" s="3088"/>
    </row>
    <row r="312" spans="5:5">
      <c r="E312" s="3088"/>
    </row>
    <row r="313" spans="5:5">
      <c r="E313" s="3088"/>
    </row>
    <row r="314" spans="5:5">
      <c r="E314" s="3088"/>
    </row>
    <row r="315" spans="5:5">
      <c r="E315" s="3088"/>
    </row>
    <row r="316" spans="5:5">
      <c r="E316" s="3088"/>
    </row>
    <row r="317" spans="5:5">
      <c r="E317" s="3088"/>
    </row>
    <row r="318" spans="5:5">
      <c r="E318" s="3088"/>
    </row>
    <row r="319" spans="5:5">
      <c r="E319" s="3088"/>
    </row>
    <row r="320" spans="5:5">
      <c r="E320" s="3088"/>
    </row>
    <row r="321" spans="5:5">
      <c r="E321" s="3088"/>
    </row>
    <row r="322" spans="5:5">
      <c r="E322" s="3088"/>
    </row>
    <row r="323" spans="5:5">
      <c r="E323" s="3088"/>
    </row>
    <row r="324" spans="5:5">
      <c r="E324" s="3088"/>
    </row>
    <row r="325" spans="5:5">
      <c r="E325" s="3088"/>
    </row>
    <row r="326" spans="5:5">
      <c r="E326" s="3088"/>
    </row>
    <row r="327" spans="5:5">
      <c r="E327" s="3088"/>
    </row>
    <row r="328" spans="5:5">
      <c r="E328" s="3088"/>
    </row>
    <row r="329" spans="5:5">
      <c r="E329" s="3088"/>
    </row>
    <row r="330" spans="5:5">
      <c r="E330" s="3088"/>
    </row>
    <row r="331" spans="5:5">
      <c r="E331" s="3088"/>
    </row>
    <row r="332" spans="5:5">
      <c r="E332" s="3088"/>
    </row>
    <row r="333" spans="5:5">
      <c r="E333" s="3088"/>
    </row>
    <row r="334" spans="5:5">
      <c r="E334" s="3088"/>
    </row>
    <row r="335" spans="5:5">
      <c r="E335" s="3088"/>
    </row>
    <row r="336" spans="5:5">
      <c r="E336" s="3088"/>
    </row>
    <row r="337" spans="5:5">
      <c r="E337" s="3088"/>
    </row>
    <row r="338" spans="5:5">
      <c r="E338" s="3088"/>
    </row>
    <row r="339" spans="5:5">
      <c r="E339" s="3088"/>
    </row>
    <row r="340" spans="5:5">
      <c r="E340" s="3088"/>
    </row>
    <row r="341" spans="5:5">
      <c r="E341" s="3088"/>
    </row>
    <row r="342" spans="5:5">
      <c r="E342" s="3088"/>
    </row>
    <row r="343" spans="5:5">
      <c r="E343" s="3088"/>
    </row>
    <row r="344" spans="5:5">
      <c r="E344" s="3088"/>
    </row>
    <row r="345" spans="5:5">
      <c r="E345" s="3088"/>
    </row>
    <row r="346" spans="5:5">
      <c r="E346" s="3088"/>
    </row>
    <row r="347" spans="5:5">
      <c r="E347" s="3088"/>
    </row>
    <row r="348" spans="5:5">
      <c r="E348" s="3088"/>
    </row>
    <row r="349" spans="5:5">
      <c r="E349" s="3088"/>
    </row>
    <row r="350" spans="5:5">
      <c r="E350" s="3088"/>
    </row>
    <row r="351" spans="5:5">
      <c r="E351" s="3088"/>
    </row>
    <row r="352" spans="5:5">
      <c r="E352" s="3088"/>
    </row>
    <row r="353" spans="5:5">
      <c r="E353" s="3088"/>
    </row>
    <row r="354" spans="5:5">
      <c r="E354" s="3088"/>
    </row>
    <row r="355" spans="5:5">
      <c r="E355" s="3088"/>
    </row>
    <row r="356" spans="5:5">
      <c r="E356" s="3088"/>
    </row>
    <row r="357" spans="5:5">
      <c r="E357" s="3088"/>
    </row>
    <row r="358" spans="5:5">
      <c r="E358" s="3088"/>
    </row>
    <row r="359" spans="5:5">
      <c r="E359" s="3088"/>
    </row>
    <row r="360" spans="5:5">
      <c r="E360" s="3088"/>
    </row>
    <row r="361" spans="5:5">
      <c r="E361" s="3088"/>
    </row>
    <row r="362" spans="5:5">
      <c r="E362" s="3088"/>
    </row>
    <row r="363" spans="5:5">
      <c r="E363" s="3088"/>
    </row>
    <row r="364" spans="5:5">
      <c r="E364" s="3088"/>
    </row>
    <row r="365" spans="5:5">
      <c r="E365" s="3088"/>
    </row>
    <row r="366" spans="5:5">
      <c r="E366" s="3088"/>
    </row>
    <row r="367" spans="5:5">
      <c r="E367" s="3088"/>
    </row>
    <row r="368" spans="5:5">
      <c r="E368" s="3088"/>
    </row>
    <row r="369" spans="5:5">
      <c r="E369" s="3088"/>
    </row>
    <row r="370" spans="5:5">
      <c r="E370" s="3088"/>
    </row>
    <row r="371" spans="5:5">
      <c r="E371" s="3088"/>
    </row>
    <row r="372" spans="5:5">
      <c r="E372" s="3088"/>
    </row>
    <row r="373" spans="5:5">
      <c r="E373" s="3088"/>
    </row>
    <row r="374" spans="5:5">
      <c r="E374" s="3088"/>
    </row>
    <row r="375" spans="5:5">
      <c r="E375" s="3088"/>
    </row>
    <row r="376" spans="5:5">
      <c r="E376" s="3088"/>
    </row>
    <row r="377" spans="5:5">
      <c r="E377" s="3088"/>
    </row>
    <row r="378" spans="5:5">
      <c r="E378" s="3088"/>
    </row>
    <row r="379" spans="5:5">
      <c r="E379" s="3088"/>
    </row>
    <row r="380" spans="5:5">
      <c r="E380" s="3088"/>
    </row>
    <row r="381" spans="5:5">
      <c r="E381" s="3088"/>
    </row>
    <row r="382" spans="5:5">
      <c r="E382" s="3088"/>
    </row>
    <row r="383" spans="5:5">
      <c r="E383" s="3088"/>
    </row>
    <row r="384" spans="5:5">
      <c r="E384" s="3088"/>
    </row>
    <row r="385" spans="5:5">
      <c r="E385" s="3088"/>
    </row>
    <row r="386" spans="5:5">
      <c r="E386" s="3088"/>
    </row>
    <row r="387" spans="5:5">
      <c r="E387" s="3088"/>
    </row>
    <row r="388" spans="5:5">
      <c r="E388" s="3088"/>
    </row>
    <row r="389" spans="5:5">
      <c r="E389" s="3088"/>
    </row>
    <row r="390" spans="5:5">
      <c r="E390" s="3088"/>
    </row>
    <row r="391" spans="5:5">
      <c r="E391" s="3088"/>
    </row>
    <row r="392" spans="5:5">
      <c r="E392" s="3088"/>
    </row>
    <row r="393" spans="5:5">
      <c r="E393" s="3088"/>
    </row>
    <row r="394" spans="5:5">
      <c r="E394" s="3088"/>
    </row>
    <row r="395" spans="5:5">
      <c r="E395" s="3088"/>
    </row>
    <row r="396" spans="5:5">
      <c r="E396" s="3088"/>
    </row>
    <row r="397" spans="5:5">
      <c r="E397" s="3088"/>
    </row>
    <row r="398" spans="5:5">
      <c r="E398" s="3088"/>
    </row>
    <row r="399" spans="5:5">
      <c r="E399" s="3088"/>
    </row>
    <row r="400" spans="5:5">
      <c r="E400" s="3088"/>
    </row>
    <row r="401" spans="5:5">
      <c r="E401" s="3088"/>
    </row>
    <row r="402" spans="5:5">
      <c r="E402" s="3088"/>
    </row>
    <row r="403" spans="5:5">
      <c r="E403" s="3088"/>
    </row>
    <row r="404" spans="5:5">
      <c r="E404" s="3088"/>
    </row>
    <row r="405" spans="5:5">
      <c r="E405" s="3088"/>
    </row>
    <row r="406" spans="5:5">
      <c r="E406" s="3088"/>
    </row>
    <row r="407" spans="5:5">
      <c r="E407" s="3088"/>
    </row>
    <row r="408" spans="5:5">
      <c r="E408" s="3088"/>
    </row>
    <row r="409" spans="5:5">
      <c r="E409" s="3088"/>
    </row>
    <row r="410" spans="5:5">
      <c r="E410" s="3088"/>
    </row>
    <row r="411" spans="5:5">
      <c r="E411" s="3088"/>
    </row>
    <row r="412" spans="5:5">
      <c r="E412" s="3088"/>
    </row>
    <row r="413" spans="5:5">
      <c r="E413" s="3088"/>
    </row>
    <row r="414" spans="5:5">
      <c r="E414" s="3088"/>
    </row>
    <row r="415" spans="5:5">
      <c r="E415" s="3088"/>
    </row>
    <row r="416" spans="5:5">
      <c r="E416" s="3088"/>
    </row>
    <row r="417" spans="5:5">
      <c r="E417" s="3088"/>
    </row>
    <row r="418" spans="5:5">
      <c r="E418" s="3088"/>
    </row>
    <row r="419" spans="5:5">
      <c r="E419" s="3088"/>
    </row>
    <row r="420" spans="5:5">
      <c r="E420" s="3088"/>
    </row>
    <row r="421" spans="5:5">
      <c r="E421" s="3088"/>
    </row>
    <row r="422" spans="5:5">
      <c r="E422" s="3088"/>
    </row>
    <row r="423" spans="5:5">
      <c r="E423" s="3088"/>
    </row>
    <row r="424" spans="5:5">
      <c r="E424" s="3088"/>
    </row>
    <row r="425" spans="5:5">
      <c r="E425" s="3088"/>
    </row>
    <row r="426" spans="5:5">
      <c r="E426" s="3088"/>
    </row>
    <row r="427" spans="5:5">
      <c r="E427" s="3088"/>
    </row>
    <row r="428" spans="5:5">
      <c r="E428" s="3088"/>
    </row>
    <row r="429" spans="5:5">
      <c r="E429" s="3088"/>
    </row>
    <row r="430" spans="5:5">
      <c r="E430" s="3088"/>
    </row>
    <row r="431" spans="5:5">
      <c r="E431" s="3088"/>
    </row>
    <row r="432" spans="5:5">
      <c r="E432" s="3088"/>
    </row>
    <row r="433" spans="5:5">
      <c r="E433" s="3088"/>
    </row>
    <row r="434" spans="5:5">
      <c r="E434" s="3088"/>
    </row>
    <row r="435" spans="5:5">
      <c r="E435" s="3088"/>
    </row>
    <row r="436" spans="5:5">
      <c r="E436" s="3088"/>
    </row>
    <row r="437" spans="5:5">
      <c r="E437" s="3088"/>
    </row>
    <row r="438" spans="5:5">
      <c r="E438" s="3088"/>
    </row>
    <row r="439" spans="5:5">
      <c r="E439" s="3088"/>
    </row>
    <row r="440" spans="5:5">
      <c r="E440" s="3088"/>
    </row>
    <row r="441" spans="5:5">
      <c r="E441" s="3088"/>
    </row>
    <row r="442" spans="5:5">
      <c r="E442" s="3088"/>
    </row>
    <row r="443" spans="5:5">
      <c r="E443" s="3088"/>
    </row>
    <row r="444" spans="5:5">
      <c r="E444" s="3088"/>
    </row>
    <row r="445" spans="5:5">
      <c r="E445" s="3088"/>
    </row>
    <row r="446" spans="5:5">
      <c r="E446" s="3088"/>
    </row>
    <row r="447" spans="5:5">
      <c r="E447" s="3088"/>
    </row>
    <row r="448" spans="5:5">
      <c r="E448" s="3088"/>
    </row>
    <row r="449" spans="5:5">
      <c r="E449" s="3088"/>
    </row>
    <row r="450" spans="5:5">
      <c r="E450" s="3088"/>
    </row>
    <row r="451" spans="5:5">
      <c r="E451" s="3088"/>
    </row>
    <row r="452" spans="5:5">
      <c r="E452" s="3088"/>
    </row>
    <row r="453" spans="5:5">
      <c r="E453" s="3088"/>
    </row>
    <row r="454" spans="5:5">
      <c r="E454" s="3088"/>
    </row>
    <row r="455" spans="5:5">
      <c r="E455" s="3088"/>
    </row>
    <row r="456" spans="5:5">
      <c r="E456" s="3088"/>
    </row>
    <row r="457" spans="5:5">
      <c r="E457" s="3088"/>
    </row>
    <row r="458" spans="5:5">
      <c r="E458" s="3088"/>
    </row>
    <row r="459" spans="5:5">
      <c r="E459" s="3088"/>
    </row>
    <row r="460" spans="5:5">
      <c r="E460" s="3088"/>
    </row>
    <row r="461" spans="5:5">
      <c r="E461" s="3088"/>
    </row>
    <row r="462" spans="5:5">
      <c r="E462" s="3088"/>
    </row>
    <row r="463" spans="5:5">
      <c r="E463" s="3088"/>
    </row>
    <row r="464" spans="5:5">
      <c r="E464" s="3088"/>
    </row>
    <row r="465" spans="5:5">
      <c r="E465" s="3088"/>
    </row>
    <row r="466" spans="5:5">
      <c r="E466" s="3088"/>
    </row>
    <row r="467" spans="5:5">
      <c r="E467" s="3088"/>
    </row>
    <row r="468" spans="5:5">
      <c r="E468" s="3088"/>
    </row>
    <row r="469" spans="5:5">
      <c r="E469" s="3088"/>
    </row>
    <row r="470" spans="5:5">
      <c r="E470" s="3088"/>
    </row>
    <row r="471" spans="5:5">
      <c r="E471" s="3088"/>
    </row>
    <row r="472" spans="5:5">
      <c r="E472" s="3088"/>
    </row>
    <row r="473" spans="5:5">
      <c r="E473" s="3088"/>
    </row>
    <row r="474" spans="5:5">
      <c r="E474" s="3088"/>
    </row>
    <row r="475" spans="5:5">
      <c r="E475" s="3088"/>
    </row>
    <row r="476" spans="5:5">
      <c r="E476" s="3088"/>
    </row>
    <row r="477" spans="5:5">
      <c r="E477" s="3088"/>
    </row>
    <row r="478" spans="5:5">
      <c r="E478" s="3088"/>
    </row>
    <row r="479" spans="5:5">
      <c r="E479" s="3088"/>
    </row>
    <row r="480" spans="5:5">
      <c r="E480" s="3088"/>
    </row>
    <row r="481" spans="5:5">
      <c r="E481" s="3088"/>
    </row>
    <row r="482" spans="5:5">
      <c r="E482" s="3088"/>
    </row>
    <row r="483" spans="5:5">
      <c r="E483" s="3088"/>
    </row>
    <row r="484" spans="5:5">
      <c r="E484" s="3088"/>
    </row>
    <row r="485" spans="5:5">
      <c r="E485" s="3088"/>
    </row>
    <row r="486" spans="5:5">
      <c r="E486" s="3088"/>
    </row>
    <row r="487" spans="5:5">
      <c r="E487" s="3088"/>
    </row>
    <row r="488" spans="5:5">
      <c r="E488" s="3088"/>
    </row>
    <row r="489" spans="5:5">
      <c r="E489" s="3088"/>
    </row>
    <row r="490" spans="5:5">
      <c r="E490" s="3088"/>
    </row>
    <row r="491" spans="5:5">
      <c r="E491" s="3088"/>
    </row>
    <row r="492" spans="5:5">
      <c r="E492" s="3088"/>
    </row>
    <row r="493" spans="5:5">
      <c r="E493" s="3088"/>
    </row>
    <row r="494" spans="5:5">
      <c r="E494" s="3088"/>
    </row>
    <row r="495" spans="5:5">
      <c r="E495" s="3088"/>
    </row>
    <row r="496" spans="5:5">
      <c r="E496" s="3088"/>
    </row>
    <row r="497" spans="5:5">
      <c r="E497" s="3088"/>
    </row>
    <row r="498" spans="5:5">
      <c r="E498" s="3088"/>
    </row>
    <row r="499" spans="5:5">
      <c r="E499" s="3088"/>
    </row>
    <row r="500" spans="5:5">
      <c r="E500" s="3088"/>
    </row>
    <row r="501" spans="5:5">
      <c r="E501" s="3088"/>
    </row>
    <row r="502" spans="5:5">
      <c r="E502" s="3088"/>
    </row>
    <row r="503" spans="5:5">
      <c r="E503" s="3088"/>
    </row>
    <row r="504" spans="5:5">
      <c r="E504" s="3088"/>
    </row>
    <row r="505" spans="5:5">
      <c r="E505" s="3088"/>
    </row>
    <row r="506" spans="5:5">
      <c r="E506" s="3088"/>
    </row>
    <row r="507" spans="5:5">
      <c r="E507" s="3088"/>
    </row>
    <row r="508" spans="5:5">
      <c r="E508" s="3088"/>
    </row>
    <row r="509" spans="5:5">
      <c r="E509" s="3088"/>
    </row>
    <row r="510" spans="5:5">
      <c r="E510" s="3088"/>
    </row>
    <row r="511" spans="5:5">
      <c r="E511" s="3088"/>
    </row>
    <row r="512" spans="5:5">
      <c r="E512" s="3088"/>
    </row>
    <row r="513" spans="5:5">
      <c r="E513" s="3088"/>
    </row>
    <row r="514" spans="5:5">
      <c r="E514" s="3088"/>
    </row>
    <row r="515" spans="5:5">
      <c r="E515" s="3088"/>
    </row>
    <row r="516" spans="5:5">
      <c r="E516" s="3088"/>
    </row>
    <row r="517" spans="5:5">
      <c r="E517" s="3088"/>
    </row>
    <row r="518" spans="5:5">
      <c r="E518" s="3088"/>
    </row>
    <row r="519" spans="5:5">
      <c r="E519" s="3088"/>
    </row>
    <row r="520" spans="5:5">
      <c r="E520" s="3088"/>
    </row>
    <row r="521" spans="5:5">
      <c r="E521" s="3088"/>
    </row>
    <row r="522" spans="5:5">
      <c r="E522" s="3088"/>
    </row>
    <row r="523" spans="5:5">
      <c r="E523" s="3088"/>
    </row>
    <row r="524" spans="5:5">
      <c r="E524" s="3088"/>
    </row>
    <row r="525" spans="5:5">
      <c r="E525" s="3088"/>
    </row>
    <row r="526" spans="5:5">
      <c r="E526" s="3088"/>
    </row>
    <row r="527" spans="5:5">
      <c r="E527" s="3088"/>
    </row>
    <row r="528" spans="5:5">
      <c r="E528" s="3088"/>
    </row>
    <row r="529" spans="5:5">
      <c r="E529" s="3088"/>
    </row>
    <row r="530" spans="5:5">
      <c r="E530" s="3088"/>
    </row>
    <row r="531" spans="5:5">
      <c r="E531" s="3088"/>
    </row>
    <row r="532" spans="5:5">
      <c r="E532" s="3088"/>
    </row>
    <row r="533" spans="5:5">
      <c r="E533" s="3088"/>
    </row>
    <row r="534" spans="5:5">
      <c r="E534" s="3088"/>
    </row>
    <row r="535" spans="5:5">
      <c r="E535" s="3088"/>
    </row>
    <row r="536" spans="5:5">
      <c r="E536" s="3088"/>
    </row>
    <row r="537" spans="5:5">
      <c r="E537" s="3088"/>
    </row>
    <row r="538" spans="5:5">
      <c r="E538" s="3088"/>
    </row>
    <row r="539" spans="5:5">
      <c r="E539" s="3088"/>
    </row>
    <row r="540" spans="5:5">
      <c r="E540" s="3088"/>
    </row>
    <row r="541" spans="5:5">
      <c r="E541" s="3088"/>
    </row>
    <row r="542" spans="5:5">
      <c r="E542" s="3088"/>
    </row>
    <row r="543" spans="5:5">
      <c r="E543" s="3088"/>
    </row>
    <row r="544" spans="5:5">
      <c r="E544" s="3088"/>
    </row>
    <row r="545" spans="5:5">
      <c r="E545" s="3088"/>
    </row>
    <row r="546" spans="5:5">
      <c r="E546" s="3088"/>
    </row>
    <row r="547" spans="5:5">
      <c r="E547" s="3088"/>
    </row>
    <row r="548" spans="5:5">
      <c r="E548" s="3088"/>
    </row>
    <row r="549" spans="5:5">
      <c r="E549" s="3088"/>
    </row>
    <row r="550" spans="5:5">
      <c r="E550" s="3088"/>
    </row>
    <row r="551" spans="5:5">
      <c r="E551" s="3088"/>
    </row>
    <row r="552" spans="5:5">
      <c r="E552" s="3088"/>
    </row>
    <row r="553" spans="5:5">
      <c r="E553" s="3088"/>
    </row>
    <row r="554" spans="5:5">
      <c r="E554" s="3088"/>
    </row>
    <row r="555" spans="5:5">
      <c r="E555" s="3088"/>
    </row>
    <row r="556" spans="5:5">
      <c r="E556" s="3088"/>
    </row>
    <row r="557" spans="5:5">
      <c r="E557" s="3088"/>
    </row>
    <row r="558" spans="5:5">
      <c r="E558" s="3088"/>
    </row>
    <row r="559" spans="5:5">
      <c r="E559" s="3088"/>
    </row>
    <row r="560" spans="5:5">
      <c r="E560" s="3088"/>
    </row>
    <row r="561" spans="5:5">
      <c r="E561" s="3088"/>
    </row>
    <row r="562" spans="5:5">
      <c r="E562" s="3088"/>
    </row>
    <row r="563" spans="5:5">
      <c r="E563" s="3088"/>
    </row>
    <row r="564" spans="5:5">
      <c r="E564" s="3088"/>
    </row>
    <row r="565" spans="5:5">
      <c r="E565" s="3088"/>
    </row>
    <row r="566" spans="5:5">
      <c r="E566" s="3088"/>
    </row>
    <row r="567" spans="5:5">
      <c r="E567" s="3088"/>
    </row>
    <row r="568" spans="5:5">
      <c r="E568" s="3088"/>
    </row>
    <row r="569" spans="5:5">
      <c r="E569" s="3088"/>
    </row>
    <row r="570" spans="5:5">
      <c r="E570" s="3088"/>
    </row>
    <row r="571" spans="5:5">
      <c r="E571" s="3088"/>
    </row>
    <row r="572" spans="5:5">
      <c r="E572" s="3088"/>
    </row>
    <row r="573" spans="5:5">
      <c r="E573" s="3088"/>
    </row>
    <row r="574" spans="5:5">
      <c r="E574" s="3088"/>
    </row>
    <row r="575" spans="5:5">
      <c r="E575" s="3088"/>
    </row>
    <row r="576" spans="5:5">
      <c r="E576" s="3088"/>
    </row>
    <row r="577" spans="5:5">
      <c r="E577" s="3088"/>
    </row>
    <row r="578" spans="5:5">
      <c r="E578" s="3088"/>
    </row>
    <row r="579" spans="5:5">
      <c r="E579" s="3088"/>
    </row>
    <row r="580" spans="5:5">
      <c r="E580" s="3088"/>
    </row>
    <row r="581" spans="5:5">
      <c r="E581" s="3088"/>
    </row>
    <row r="582" spans="5:5">
      <c r="E582" s="3088"/>
    </row>
    <row r="583" spans="5:5">
      <c r="E583" s="3088"/>
    </row>
    <row r="584" spans="5:5">
      <c r="E584" s="3088"/>
    </row>
    <row r="585" spans="5:5">
      <c r="E585" s="3088"/>
    </row>
    <row r="586" spans="5:5">
      <c r="E586" s="3088"/>
    </row>
    <row r="587" spans="5:5">
      <c r="E587" s="3088"/>
    </row>
    <row r="588" spans="5:5">
      <c r="E588" s="3088"/>
    </row>
    <row r="589" spans="5:5">
      <c r="E589" s="3088"/>
    </row>
    <row r="590" spans="5:5">
      <c r="E590" s="3088"/>
    </row>
    <row r="591" spans="5:5">
      <c r="E591" s="3088"/>
    </row>
    <row r="592" spans="5:5">
      <c r="E592" s="3088"/>
    </row>
    <row r="593" spans="5:5">
      <c r="E593" s="3088"/>
    </row>
    <row r="594" spans="5:5">
      <c r="E594" s="3088"/>
    </row>
    <row r="595" spans="5:5">
      <c r="E595" s="3088"/>
    </row>
    <row r="596" spans="5:5">
      <c r="E596" s="3088"/>
    </row>
    <row r="597" spans="5:5">
      <c r="E597" s="3088"/>
    </row>
    <row r="598" spans="5:5">
      <c r="E598" s="3088"/>
    </row>
    <row r="599" spans="5:5">
      <c r="E599" s="3088"/>
    </row>
    <row r="600" spans="5:5">
      <c r="E600" s="3088"/>
    </row>
    <row r="601" spans="5:5">
      <c r="E601" s="3088"/>
    </row>
    <row r="602" spans="5:5">
      <c r="E602" s="3088"/>
    </row>
    <row r="603" spans="5:5">
      <c r="E603" s="3088"/>
    </row>
    <row r="604" spans="5:5">
      <c r="E604" s="3088"/>
    </row>
    <row r="605" spans="5:5">
      <c r="E605" s="3088"/>
    </row>
    <row r="606" spans="5:5">
      <c r="E606" s="3088"/>
    </row>
    <row r="607" spans="5:5">
      <c r="E607" s="3088"/>
    </row>
    <row r="608" spans="5:5">
      <c r="E608" s="3088"/>
    </row>
    <row r="609" spans="5:5">
      <c r="E609" s="3088"/>
    </row>
    <row r="610" spans="5:5">
      <c r="E610" s="3088"/>
    </row>
    <row r="611" spans="5:5">
      <c r="E611" s="3088"/>
    </row>
    <row r="612" spans="5:5">
      <c r="E612" s="3088"/>
    </row>
    <row r="613" spans="5:5">
      <c r="E613" s="3088"/>
    </row>
    <row r="614" spans="5:5">
      <c r="E614" s="3088"/>
    </row>
    <row r="615" spans="5:5">
      <c r="E615" s="3088"/>
    </row>
    <row r="616" spans="5:5">
      <c r="E616" s="3088"/>
    </row>
    <row r="617" spans="5:5">
      <c r="E617" s="3088"/>
    </row>
    <row r="618" spans="5:5">
      <c r="E618" s="3088"/>
    </row>
    <row r="619" spans="5:5">
      <c r="E619" s="3088"/>
    </row>
    <row r="620" spans="5:5">
      <c r="E620" s="3088"/>
    </row>
    <row r="621" spans="5:5">
      <c r="E621" s="3088"/>
    </row>
    <row r="622" spans="5:5">
      <c r="E622" s="3088"/>
    </row>
    <row r="623" spans="5:5">
      <c r="E623" s="3088"/>
    </row>
    <row r="624" spans="5:5">
      <c r="E624" s="3088"/>
    </row>
    <row r="625" spans="5:5">
      <c r="E625" s="3088"/>
    </row>
    <row r="626" spans="5:5">
      <c r="E626" s="3088"/>
    </row>
    <row r="627" spans="5:5">
      <c r="E627" s="3088"/>
    </row>
    <row r="628" spans="5:5">
      <c r="E628" s="3088"/>
    </row>
    <row r="629" spans="5:5">
      <c r="E629" s="3088"/>
    </row>
    <row r="630" spans="5:5">
      <c r="E630" s="3088"/>
    </row>
    <row r="631" spans="5:5">
      <c r="E631" s="3088"/>
    </row>
    <row r="632" spans="5:5">
      <c r="E632" s="3088"/>
    </row>
    <row r="633" spans="5:5">
      <c r="E633" s="3088"/>
    </row>
    <row r="634" spans="5:5">
      <c r="E634" s="3088"/>
    </row>
    <row r="635" spans="5:5">
      <c r="E635" s="3088"/>
    </row>
    <row r="636" spans="5:5">
      <c r="E636" s="3088"/>
    </row>
    <row r="637" spans="5:5">
      <c r="E637" s="3088"/>
    </row>
    <row r="638" spans="5:5">
      <c r="E638" s="3088"/>
    </row>
    <row r="639" spans="5:5">
      <c r="E639" s="3088"/>
    </row>
    <row r="640" spans="5:5">
      <c r="E640" s="3088"/>
    </row>
    <row r="641" spans="5:5">
      <c r="E641" s="3088"/>
    </row>
    <row r="642" spans="5:5">
      <c r="E642" s="3088"/>
    </row>
    <row r="643" spans="5:5">
      <c r="E643" s="3088"/>
    </row>
    <row r="644" spans="5:5">
      <c r="E644" s="3088"/>
    </row>
    <row r="645" spans="5:5">
      <c r="E645" s="3088"/>
    </row>
    <row r="646" spans="5:5">
      <c r="E646" s="3088"/>
    </row>
    <row r="647" spans="5:5">
      <c r="E647" s="3088"/>
    </row>
    <row r="648" spans="5:5">
      <c r="E648" s="3088"/>
    </row>
    <row r="649" spans="5:5">
      <c r="E649" s="3088"/>
    </row>
    <row r="650" spans="5:5">
      <c r="E650" s="3088"/>
    </row>
    <row r="651" spans="5:5">
      <c r="E651" s="3088"/>
    </row>
    <row r="652" spans="5:5">
      <c r="E652" s="3088"/>
    </row>
    <row r="653" spans="5:5">
      <c r="E653" s="3088"/>
    </row>
    <row r="654" spans="5:5">
      <c r="E654" s="3088"/>
    </row>
    <row r="655" spans="5:5">
      <c r="E655" s="3088"/>
    </row>
    <row r="656" spans="5:5">
      <c r="E656" s="3088"/>
    </row>
    <row r="657" spans="5:5">
      <c r="E657" s="3088"/>
    </row>
    <row r="658" spans="5:5">
      <c r="E658" s="3088"/>
    </row>
    <row r="659" spans="5:5">
      <c r="E659" s="3088"/>
    </row>
    <row r="660" spans="5:5">
      <c r="E660" s="3088"/>
    </row>
    <row r="661" spans="5:5">
      <c r="E661" s="3088"/>
    </row>
    <row r="662" spans="5:5">
      <c r="E662" s="3088"/>
    </row>
    <row r="663" spans="5:5">
      <c r="E663" s="3088"/>
    </row>
    <row r="664" spans="5:5">
      <c r="E664" s="3088"/>
    </row>
    <row r="665" spans="5:5">
      <c r="E665" s="3088"/>
    </row>
    <row r="666" spans="5:5">
      <c r="E666" s="3088"/>
    </row>
    <row r="667" spans="5:5">
      <c r="E667" s="3088"/>
    </row>
    <row r="668" spans="5:5">
      <c r="E668" s="3088"/>
    </row>
    <row r="669" spans="5:5">
      <c r="E669" s="3088"/>
    </row>
    <row r="670" spans="5:5">
      <c r="E670" s="3088"/>
    </row>
    <row r="671" spans="5:5">
      <c r="E671" s="3088"/>
    </row>
    <row r="672" spans="5:5">
      <c r="E672" s="3088"/>
    </row>
    <row r="673" spans="5:5">
      <c r="E673" s="3088"/>
    </row>
    <row r="674" spans="5:5">
      <c r="E674" s="3088"/>
    </row>
    <row r="675" spans="5:5">
      <c r="E675" s="3088"/>
    </row>
    <row r="676" spans="5:5">
      <c r="E676" s="3088"/>
    </row>
    <row r="677" spans="5:5">
      <c r="E677" s="3088"/>
    </row>
    <row r="678" spans="5:5">
      <c r="E678" s="3088"/>
    </row>
    <row r="679" spans="5:5">
      <c r="E679" s="3088"/>
    </row>
    <row r="680" spans="5:5">
      <c r="E680" s="3088"/>
    </row>
    <row r="681" spans="5:5">
      <c r="E681" s="3088"/>
    </row>
    <row r="682" spans="5:5">
      <c r="E682" s="3088"/>
    </row>
    <row r="683" spans="5:5">
      <c r="E683" s="3088"/>
    </row>
    <row r="684" spans="5:5">
      <c r="E684" s="3088"/>
    </row>
    <row r="685" spans="5:5">
      <c r="E685" s="3088"/>
    </row>
    <row r="686" spans="5:5">
      <c r="E686" s="3088"/>
    </row>
    <row r="687" spans="5:5">
      <c r="E687" s="3088"/>
    </row>
    <row r="688" spans="5:5">
      <c r="E688" s="3088"/>
    </row>
    <row r="689" spans="5:5">
      <c r="E689" s="3088"/>
    </row>
    <row r="690" spans="5:5">
      <c r="E690" s="3088"/>
    </row>
    <row r="691" spans="5:5">
      <c r="E691" s="3088"/>
    </row>
    <row r="692" spans="5:5">
      <c r="E692" s="3088"/>
    </row>
    <row r="693" spans="5:5">
      <c r="E693" s="3088"/>
    </row>
    <row r="694" spans="5:5">
      <c r="E694" s="3088"/>
    </row>
    <row r="695" spans="5:5">
      <c r="E695" s="3088"/>
    </row>
    <row r="696" spans="5:5">
      <c r="E696" s="3088"/>
    </row>
    <row r="697" spans="5:5">
      <c r="E697" s="3088"/>
    </row>
    <row r="698" spans="5:5">
      <c r="E698" s="3088"/>
    </row>
    <row r="699" spans="5:5">
      <c r="E699" s="3088"/>
    </row>
    <row r="700" spans="5:5">
      <c r="E700" s="3088"/>
    </row>
    <row r="701" spans="5:5">
      <c r="E701" s="3088"/>
    </row>
    <row r="702" spans="5:5">
      <c r="E702" s="3088"/>
    </row>
    <row r="703" spans="5:5">
      <c r="E703" s="3088"/>
    </row>
    <row r="704" spans="5:5">
      <c r="E704" s="3088"/>
    </row>
    <row r="705" spans="5:5">
      <c r="E705" s="3088"/>
    </row>
    <row r="706" spans="5:5">
      <c r="E706" s="3088"/>
    </row>
    <row r="707" spans="5:5">
      <c r="E707" s="3088"/>
    </row>
    <row r="708" spans="5:5">
      <c r="E708" s="3088"/>
    </row>
    <row r="709" spans="5:5">
      <c r="E709" s="3088"/>
    </row>
    <row r="710" spans="5:5">
      <c r="E710" s="3088"/>
    </row>
    <row r="711" spans="5:5">
      <c r="E711" s="3088"/>
    </row>
    <row r="712" spans="5:5">
      <c r="E712" s="3088"/>
    </row>
    <row r="713" spans="5:5">
      <c r="E713" s="3088"/>
    </row>
    <row r="714" spans="5:5">
      <c r="E714" s="3088"/>
    </row>
    <row r="715" spans="5:5">
      <c r="E715" s="3088"/>
    </row>
    <row r="716" spans="5:5">
      <c r="E716" s="3088"/>
    </row>
    <row r="717" spans="5:5">
      <c r="E717" s="3088"/>
    </row>
    <row r="718" spans="5:5">
      <c r="E718" s="3088"/>
    </row>
    <row r="719" spans="5:5">
      <c r="E719" s="3088"/>
    </row>
    <row r="720" spans="5:5">
      <c r="E720" s="3088"/>
    </row>
    <row r="721" spans="5:5">
      <c r="E721" s="3088"/>
    </row>
    <row r="722" spans="5:5">
      <c r="E722" s="3088"/>
    </row>
    <row r="723" spans="5:5">
      <c r="E723" s="3088"/>
    </row>
    <row r="724" spans="5:5">
      <c r="E724" s="3088"/>
    </row>
    <row r="725" spans="5:5">
      <c r="E725" s="3088"/>
    </row>
    <row r="726" spans="5:5">
      <c r="E726" s="3088"/>
    </row>
    <row r="727" spans="5:5">
      <c r="E727" s="3088"/>
    </row>
    <row r="728" spans="5:5">
      <c r="E728" s="3088"/>
    </row>
    <row r="729" spans="5:5">
      <c r="E729" s="3088"/>
    </row>
    <row r="730" spans="5:5">
      <c r="E730" s="3088"/>
    </row>
    <row r="731" spans="5:5">
      <c r="E731" s="3088"/>
    </row>
    <row r="732" spans="5:5">
      <c r="E732" s="3088"/>
    </row>
    <row r="733" spans="5:5">
      <c r="E733" s="3088"/>
    </row>
    <row r="734" spans="5:5">
      <c r="E734" s="3088"/>
    </row>
    <row r="735" spans="5:5">
      <c r="E735" s="3088"/>
    </row>
    <row r="736" spans="5:5">
      <c r="E736" s="3088"/>
    </row>
    <row r="737" spans="5:5">
      <c r="E737" s="3088"/>
    </row>
    <row r="738" spans="5:5">
      <c r="E738" s="3088"/>
    </row>
    <row r="739" spans="5:5">
      <c r="E739" s="3088"/>
    </row>
    <row r="740" spans="5:5">
      <c r="E740" s="3088"/>
    </row>
    <row r="741" spans="5:5">
      <c r="E741" s="3088"/>
    </row>
    <row r="742" spans="5:5">
      <c r="E742" s="3088"/>
    </row>
    <row r="743" spans="5:5">
      <c r="E743" s="3088"/>
    </row>
    <row r="744" spans="5:5">
      <c r="E744" s="3088"/>
    </row>
    <row r="745" spans="5:5">
      <c r="E745" s="3088"/>
    </row>
    <row r="746" spans="5:5">
      <c r="E746" s="3088"/>
    </row>
    <row r="747" spans="5:5">
      <c r="E747" s="3088"/>
    </row>
    <row r="748" spans="5:5">
      <c r="E748" s="3088"/>
    </row>
    <row r="749" spans="5:5">
      <c r="E749" s="3088"/>
    </row>
    <row r="750" spans="5:5">
      <c r="E750" s="3088"/>
    </row>
    <row r="751" spans="5:5">
      <c r="E751" s="3088"/>
    </row>
    <row r="752" spans="5:5">
      <c r="E752" s="3088"/>
    </row>
    <row r="753" spans="5:5">
      <c r="E753" s="3088"/>
    </row>
    <row r="754" spans="5:5">
      <c r="E754" s="3088"/>
    </row>
    <row r="755" spans="5:5">
      <c r="E755" s="3088"/>
    </row>
    <row r="756" spans="5:5">
      <c r="E756" s="3088"/>
    </row>
    <row r="757" spans="5:5">
      <c r="E757" s="3088"/>
    </row>
    <row r="758" spans="5:5">
      <c r="E758" s="3088"/>
    </row>
    <row r="759" spans="5:5">
      <c r="E759" s="3088"/>
    </row>
    <row r="760" spans="5:5">
      <c r="E760" s="3088"/>
    </row>
    <row r="761" spans="5:5">
      <c r="E761" s="3088"/>
    </row>
    <row r="762" spans="5:5">
      <c r="E762" s="3088"/>
    </row>
    <row r="763" spans="5:5">
      <c r="E763" s="3088"/>
    </row>
    <row r="764" spans="5:5">
      <c r="E764" s="3088"/>
    </row>
    <row r="765" spans="5:5">
      <c r="E765" s="3088"/>
    </row>
    <row r="766" spans="5:5">
      <c r="E766" s="3088"/>
    </row>
    <row r="767" spans="5:5">
      <c r="E767" s="3088"/>
    </row>
    <row r="768" spans="5:5">
      <c r="E768" s="3088"/>
    </row>
    <row r="769" spans="5:5">
      <c r="E769" s="3088"/>
    </row>
    <row r="770" spans="5:5">
      <c r="E770" s="3088"/>
    </row>
    <row r="771" spans="5:5">
      <c r="E771" s="3088"/>
    </row>
    <row r="772" spans="5:5">
      <c r="E772" s="3088"/>
    </row>
    <row r="773" spans="5:5">
      <c r="E773" s="3088"/>
    </row>
    <row r="774" spans="5:5">
      <c r="E774" s="3088"/>
    </row>
    <row r="775" spans="5:5">
      <c r="E775" s="3088"/>
    </row>
    <row r="776" spans="5:5">
      <c r="E776" s="3088"/>
    </row>
    <row r="777" spans="5:5">
      <c r="E777" s="3088"/>
    </row>
    <row r="778" spans="5:5">
      <c r="E778" s="3088"/>
    </row>
    <row r="779" spans="5:5">
      <c r="E779" s="3088"/>
    </row>
    <row r="780" spans="5:5">
      <c r="E780" s="3088"/>
    </row>
    <row r="781" spans="5:5">
      <c r="E781" s="3088"/>
    </row>
    <row r="782" spans="5:5">
      <c r="E782" s="3088"/>
    </row>
    <row r="783" spans="5:5">
      <c r="E783" s="3088"/>
    </row>
    <row r="784" spans="5:5">
      <c r="E784" s="3088"/>
    </row>
    <row r="785" spans="5:5">
      <c r="E785" s="3088"/>
    </row>
    <row r="786" spans="5:5">
      <c r="E786" s="3088"/>
    </row>
    <row r="787" spans="5:5">
      <c r="E787" s="3088"/>
    </row>
    <row r="788" spans="5:5">
      <c r="E788" s="3088"/>
    </row>
    <row r="789" spans="5:5">
      <c r="E789" s="3088"/>
    </row>
    <row r="790" spans="5:5">
      <c r="E790" s="3088"/>
    </row>
    <row r="791" spans="5:5">
      <c r="E791" s="3088"/>
    </row>
    <row r="792" spans="5:5">
      <c r="E792" s="3088"/>
    </row>
    <row r="793" spans="5:5">
      <c r="E793" s="3088"/>
    </row>
    <row r="794" spans="5:5">
      <c r="E794" s="3088"/>
    </row>
    <row r="795" spans="5:5">
      <c r="E795" s="3088"/>
    </row>
    <row r="796" spans="5:5">
      <c r="E796" s="3088"/>
    </row>
    <row r="797" spans="5:5">
      <c r="E797" s="3088"/>
    </row>
    <row r="798" spans="5:5">
      <c r="E798" s="3088"/>
    </row>
    <row r="799" spans="5:5">
      <c r="E799" s="3088"/>
    </row>
    <row r="800" spans="5:5">
      <c r="E800" s="3088"/>
    </row>
    <row r="801" spans="5:5">
      <c r="E801" s="3088"/>
    </row>
    <row r="802" spans="5:5">
      <c r="E802" s="3088"/>
    </row>
    <row r="803" spans="5:5">
      <c r="E803" s="3088"/>
    </row>
    <row r="804" spans="5:5">
      <c r="E804" s="3088"/>
    </row>
    <row r="805" spans="5:5">
      <c r="E805" s="3088"/>
    </row>
    <row r="806" spans="5:5">
      <c r="E806" s="3088"/>
    </row>
    <row r="807" spans="5:5">
      <c r="E807" s="3088"/>
    </row>
    <row r="808" spans="5:5">
      <c r="E808" s="3088"/>
    </row>
    <row r="809" spans="5:5">
      <c r="E809" s="3088"/>
    </row>
    <row r="810" spans="5:5">
      <c r="E810" s="3088"/>
    </row>
    <row r="811" spans="5:5">
      <c r="E811" s="3088"/>
    </row>
    <row r="812" spans="5:5">
      <c r="E812" s="3088"/>
    </row>
    <row r="813" spans="5:5">
      <c r="E813" s="3088"/>
    </row>
    <row r="814" spans="5:5">
      <c r="E814" s="3088"/>
    </row>
    <row r="815" spans="5:5">
      <c r="E815" s="3088"/>
    </row>
    <row r="816" spans="5:5">
      <c r="E816" s="3088"/>
    </row>
    <row r="817" spans="5:5">
      <c r="E817" s="3088"/>
    </row>
    <row r="818" spans="5:5">
      <c r="E818" s="3088"/>
    </row>
    <row r="819" spans="5:5">
      <c r="E819" s="3088"/>
    </row>
    <row r="820" spans="5:5">
      <c r="E820" s="3088"/>
    </row>
    <row r="821" spans="5:5">
      <c r="E821" s="3088"/>
    </row>
    <row r="822" spans="5:5">
      <c r="E822" s="3088"/>
    </row>
    <row r="823" spans="5:5">
      <c r="E823" s="3088"/>
    </row>
    <row r="824" spans="5:5">
      <c r="E824" s="3088"/>
    </row>
    <row r="825" spans="5:5">
      <c r="E825" s="3088"/>
    </row>
    <row r="826" spans="5:5">
      <c r="E826" s="3088"/>
    </row>
    <row r="827" spans="5:5">
      <c r="E827" s="3088"/>
    </row>
    <row r="828" spans="5:5">
      <c r="E828" s="3088"/>
    </row>
    <row r="829" spans="5:5">
      <c r="E829" s="3088"/>
    </row>
    <row r="830" spans="5:5">
      <c r="E830" s="3088"/>
    </row>
    <row r="831" spans="5:5">
      <c r="E831" s="3088"/>
    </row>
    <row r="832" spans="5:5">
      <c r="E832" s="3088"/>
    </row>
    <row r="833" spans="5:5">
      <c r="E833" s="3088"/>
    </row>
    <row r="834" spans="5:5">
      <c r="E834" s="3088"/>
    </row>
    <row r="835" spans="5:5">
      <c r="E835" s="3088"/>
    </row>
    <row r="836" spans="5:5">
      <c r="E836" s="3088"/>
    </row>
    <row r="837" spans="5:5">
      <c r="E837" s="3088"/>
    </row>
    <row r="838" spans="5:5">
      <c r="E838" s="3088"/>
    </row>
    <row r="839" spans="5:5">
      <c r="E839" s="3088"/>
    </row>
    <row r="840" spans="5:5">
      <c r="E840" s="3088"/>
    </row>
    <row r="841" spans="5:5">
      <c r="E841" s="3088"/>
    </row>
    <row r="842" spans="5:5">
      <c r="E842" s="3088"/>
    </row>
    <row r="843" spans="5:5">
      <c r="E843" s="3088"/>
    </row>
    <row r="844" spans="5:5">
      <c r="E844" s="3088"/>
    </row>
    <row r="845" spans="5:5">
      <c r="E845" s="3088"/>
    </row>
    <row r="846" spans="5:5">
      <c r="E846" s="3088"/>
    </row>
    <row r="847" spans="5:5">
      <c r="E847" s="3088"/>
    </row>
    <row r="848" spans="5:5">
      <c r="E848" s="3088"/>
    </row>
    <row r="849" spans="5:5">
      <c r="E849" s="3088"/>
    </row>
    <row r="850" spans="5:5">
      <c r="E850" s="3088"/>
    </row>
    <row r="851" spans="5:5">
      <c r="E851" s="3088"/>
    </row>
    <row r="852" spans="5:5">
      <c r="E852" s="3088"/>
    </row>
    <row r="853" spans="5:5">
      <c r="E853" s="3088"/>
    </row>
    <row r="854" spans="5:5">
      <c r="E854" s="3088"/>
    </row>
    <row r="855" spans="5:5">
      <c r="E855" s="3088"/>
    </row>
    <row r="856" spans="5:5">
      <c r="E856" s="3088"/>
    </row>
    <row r="857" spans="5:5">
      <c r="E857" s="3088"/>
    </row>
    <row r="858" spans="5:5">
      <c r="E858" s="3088"/>
    </row>
    <row r="859" spans="5:5">
      <c r="E859" s="3088"/>
    </row>
    <row r="860" spans="5:5">
      <c r="E860" s="3088"/>
    </row>
    <row r="861" spans="5:5">
      <c r="E861" s="3088"/>
    </row>
    <row r="862" spans="5:5">
      <c r="E862" s="3088"/>
    </row>
    <row r="863" spans="5:5">
      <c r="E863" s="3088"/>
    </row>
    <row r="864" spans="5:5">
      <c r="E864" s="3088"/>
    </row>
    <row r="865" spans="5:5">
      <c r="E865" s="3088"/>
    </row>
    <row r="866" spans="5:5">
      <c r="E866" s="3088"/>
    </row>
    <row r="867" spans="5:5">
      <c r="E867" s="3088"/>
    </row>
    <row r="868" spans="5:5">
      <c r="E868" s="3088"/>
    </row>
    <row r="869" spans="5:5">
      <c r="E869" s="3088"/>
    </row>
    <row r="870" spans="5:5">
      <c r="E870" s="3088"/>
    </row>
    <row r="871" spans="5:5">
      <c r="E871" s="3088"/>
    </row>
    <row r="872" spans="5:5">
      <c r="E872" s="3088"/>
    </row>
    <row r="873" spans="5:5">
      <c r="E873" s="3088"/>
    </row>
    <row r="874" spans="5:5">
      <c r="E874" s="3088"/>
    </row>
    <row r="875" spans="5:5">
      <c r="E875" s="3088"/>
    </row>
    <row r="876" spans="5:5">
      <c r="E876" s="3088"/>
    </row>
    <row r="877" spans="5:5">
      <c r="E877" s="3088"/>
    </row>
    <row r="878" spans="5:5">
      <c r="E878" s="3088"/>
    </row>
    <row r="879" spans="5:5">
      <c r="E879" s="3088"/>
    </row>
    <row r="880" spans="5:5">
      <c r="E880" s="3088"/>
    </row>
    <row r="881" spans="5:5">
      <c r="E881" s="3088"/>
    </row>
    <row r="882" spans="5:5">
      <c r="E882" s="3088"/>
    </row>
    <row r="883" spans="5:5">
      <c r="E883" s="3088"/>
    </row>
    <row r="884" spans="5:5">
      <c r="E884" s="3088"/>
    </row>
    <row r="885" spans="5:5">
      <c r="E885" s="3088"/>
    </row>
    <row r="886" spans="5:5">
      <c r="E886" s="3088"/>
    </row>
    <row r="887" spans="5:5">
      <c r="E887" s="3088"/>
    </row>
    <row r="888" spans="5:5">
      <c r="E888" s="3088"/>
    </row>
    <row r="889" spans="5:5">
      <c r="E889" s="3088"/>
    </row>
    <row r="890" spans="5:5">
      <c r="E890" s="3088"/>
    </row>
    <row r="891" spans="5:5">
      <c r="E891" s="3088"/>
    </row>
    <row r="892" spans="5:5">
      <c r="E892" s="3088"/>
    </row>
    <row r="893" spans="5:5">
      <c r="E893" s="3088"/>
    </row>
    <row r="894" spans="5:5">
      <c r="E894" s="3088"/>
    </row>
    <row r="895" spans="5:5">
      <c r="E895" s="3088"/>
    </row>
    <row r="896" spans="5:5">
      <c r="E896" s="3088"/>
    </row>
    <row r="897" spans="5:5">
      <c r="E897" s="3088"/>
    </row>
    <row r="898" spans="5:5">
      <c r="E898" s="3088"/>
    </row>
    <row r="899" spans="5:5">
      <c r="E899" s="3088"/>
    </row>
    <row r="900" spans="5:5">
      <c r="E900" s="3088"/>
    </row>
    <row r="901" spans="5:5">
      <c r="E901" s="3088"/>
    </row>
    <row r="902" spans="5:5">
      <c r="E902" s="3088"/>
    </row>
    <row r="903" spans="5:5">
      <c r="E903" s="3088"/>
    </row>
    <row r="904" spans="5:5">
      <c r="E904" s="3088"/>
    </row>
    <row r="905" spans="5:5">
      <c r="E905" s="3088"/>
    </row>
    <row r="906" spans="5:5">
      <c r="E906" s="3088"/>
    </row>
    <row r="907" spans="5:5">
      <c r="E907" s="3088"/>
    </row>
    <row r="908" spans="5:5">
      <c r="E908" s="3088"/>
    </row>
    <row r="909" spans="5:5">
      <c r="E909" s="3088"/>
    </row>
    <row r="910" spans="5:5">
      <c r="E910" s="3088"/>
    </row>
    <row r="911" spans="5:5">
      <c r="E911" s="3088"/>
    </row>
    <row r="912" spans="5:5">
      <c r="E912" s="3088"/>
    </row>
    <row r="913" spans="5:5">
      <c r="E913" s="3088"/>
    </row>
    <row r="914" spans="5:5">
      <c r="E914" s="3088"/>
    </row>
    <row r="915" spans="5:5">
      <c r="E915" s="3088"/>
    </row>
    <row r="916" spans="5:5">
      <c r="E916" s="3088"/>
    </row>
    <row r="917" spans="5:5">
      <c r="E917" s="3088"/>
    </row>
    <row r="918" spans="5:5">
      <c r="E918" s="3088"/>
    </row>
    <row r="919" spans="5:5">
      <c r="E919" s="3088"/>
    </row>
    <row r="920" spans="5:5">
      <c r="E920" s="3088"/>
    </row>
    <row r="921" spans="5:5">
      <c r="E921" s="3088"/>
    </row>
    <row r="922" spans="5:5">
      <c r="E922" s="3088"/>
    </row>
    <row r="923" spans="5:5">
      <c r="E923" s="3088"/>
    </row>
    <row r="924" spans="5:5">
      <c r="E924" s="3088"/>
    </row>
    <row r="925" spans="5:5">
      <c r="E925" s="3088"/>
    </row>
    <row r="926" spans="5:5">
      <c r="E926" s="3088"/>
    </row>
    <row r="927" spans="5:5">
      <c r="E927" s="3088"/>
    </row>
    <row r="928" spans="5:5">
      <c r="E928" s="3088"/>
    </row>
    <row r="929" spans="5:5">
      <c r="E929" s="3088"/>
    </row>
    <row r="930" spans="5:5">
      <c r="E930" s="3088"/>
    </row>
    <row r="931" spans="5:5">
      <c r="E931" s="3088"/>
    </row>
    <row r="932" spans="5:5">
      <c r="E932" s="3088"/>
    </row>
    <row r="933" spans="5:5">
      <c r="E933" s="3088"/>
    </row>
    <row r="934" spans="5:5">
      <c r="E934" s="3088"/>
    </row>
    <row r="935" spans="5:5">
      <c r="E935" s="3088"/>
    </row>
    <row r="936" spans="5:5">
      <c r="E936" s="3088"/>
    </row>
    <row r="937" spans="5:5">
      <c r="E937" s="3088"/>
    </row>
    <row r="938" spans="5:5">
      <c r="E938" s="3088"/>
    </row>
    <row r="939" spans="5:5">
      <c r="E939" s="3088"/>
    </row>
    <row r="940" spans="5:5">
      <c r="E940" s="3088"/>
    </row>
    <row r="941" spans="5:5">
      <c r="E941" s="3088"/>
    </row>
    <row r="942" spans="5:5">
      <c r="E942" s="3088"/>
    </row>
    <row r="943" spans="5:5">
      <c r="E943" s="3088"/>
    </row>
    <row r="944" spans="5:5">
      <c r="E944" s="3088"/>
    </row>
    <row r="945" spans="5:5">
      <c r="E945" s="3088"/>
    </row>
    <row r="946" spans="5:5">
      <c r="E946" s="3088"/>
    </row>
    <row r="947" spans="5:5">
      <c r="E947" s="3088"/>
    </row>
    <row r="948" spans="5:5">
      <c r="E948" s="3088"/>
    </row>
    <row r="949" spans="5:5">
      <c r="E949" s="3088"/>
    </row>
    <row r="950" spans="5:5">
      <c r="E950" s="3088"/>
    </row>
    <row r="951" spans="5:5">
      <c r="E951" s="3088"/>
    </row>
    <row r="952" spans="5:5">
      <c r="E952" s="3088"/>
    </row>
    <row r="953" spans="5:5">
      <c r="E953" s="3088"/>
    </row>
    <row r="954" spans="5:5">
      <c r="E954" s="3088"/>
    </row>
    <row r="955" spans="5:5">
      <c r="E955" s="3088"/>
    </row>
    <row r="956" spans="5:5">
      <c r="E956" s="3088"/>
    </row>
    <row r="957" spans="5:5">
      <c r="E957" s="3088"/>
    </row>
    <row r="958" spans="5:5">
      <c r="E958" s="3088"/>
    </row>
  </sheetData>
  <mergeCells count="49">
    <mergeCell ref="A242:A249"/>
    <mergeCell ref="B242:B249"/>
    <mergeCell ref="K4:K8"/>
    <mergeCell ref="K10:K11"/>
    <mergeCell ref="K13:K15"/>
    <mergeCell ref="K17:K18"/>
    <mergeCell ref="A184:A190"/>
    <mergeCell ref="B184:B190"/>
    <mergeCell ref="A193:A210"/>
    <mergeCell ref="B193:B210"/>
    <mergeCell ref="A214:A235"/>
    <mergeCell ref="B214:B219"/>
    <mergeCell ref="B221:B227"/>
    <mergeCell ref="B229:B235"/>
    <mergeCell ref="A126:A142"/>
    <mergeCell ref="B126:B132"/>
    <mergeCell ref="B134:B142"/>
    <mergeCell ref="A148:A150"/>
    <mergeCell ref="B148:B150"/>
    <mergeCell ref="A156:A178"/>
    <mergeCell ref="B156:B162"/>
    <mergeCell ref="B164:B170"/>
    <mergeCell ref="B172:B178"/>
    <mergeCell ref="A94:A99"/>
    <mergeCell ref="B94:B96"/>
    <mergeCell ref="B98:B99"/>
    <mergeCell ref="A103:A120"/>
    <mergeCell ref="B103:B107"/>
    <mergeCell ref="B109:B114"/>
    <mergeCell ref="B116:B120"/>
    <mergeCell ref="A63:A70"/>
    <mergeCell ref="B63:B70"/>
    <mergeCell ref="A74:A81"/>
    <mergeCell ref="B74:B81"/>
    <mergeCell ref="A85:A91"/>
    <mergeCell ref="B85:B91"/>
    <mergeCell ref="A33:A40"/>
    <mergeCell ref="B33:B40"/>
    <mergeCell ref="A44:A51"/>
    <mergeCell ref="B44:B51"/>
    <mergeCell ref="A55:A60"/>
    <mergeCell ref="B55:B60"/>
    <mergeCell ref="A22:A29"/>
    <mergeCell ref="B22:B29"/>
    <mergeCell ref="A1:I1"/>
    <mergeCell ref="A3:A8"/>
    <mergeCell ref="B3:B8"/>
    <mergeCell ref="A11:A18"/>
    <mergeCell ref="B11:B18"/>
  </mergeCells>
  <phoneticPr fontId="143" type="noConversion"/>
  <pageMargins left="0.7" right="0.7" top="0.75" bottom="0.75" header="0.3" footer="0.3"/>
  <pageSetup paperSize="9" orientation="portrait"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G36"/>
  <sheetViews>
    <sheetView view="pageBreakPreview" zoomScaleNormal="85" zoomScaleSheetLayoutView="100" workbookViewId="0">
      <selection activeCell="C3" sqref="C3:C10"/>
    </sheetView>
  </sheetViews>
  <sheetFormatPr defaultColWidth="9" defaultRowHeight="13.5"/>
  <cols>
    <col min="2" max="2" width="11.875" customWidth="1"/>
    <col min="4" max="4" width="18.375" customWidth="1"/>
    <col min="5" max="5" width="11.875" customWidth="1"/>
    <col min="6" max="6" width="21.125" customWidth="1"/>
    <col min="7" max="7" width="14.375" customWidth="1"/>
  </cols>
  <sheetData>
    <row r="1" spans="1:7" ht="31.5">
      <c r="A1" s="3746" t="s">
        <v>3575</v>
      </c>
      <c r="B1" s="3746"/>
      <c r="C1" s="3746"/>
      <c r="D1" s="3746"/>
      <c r="E1" s="3746"/>
      <c r="F1" s="3746"/>
      <c r="G1" s="3746"/>
    </row>
    <row r="2" spans="1:7" ht="18.75">
      <c r="A2" s="3210" t="s">
        <v>3300</v>
      </c>
      <c r="B2" s="3210" t="s">
        <v>3574</v>
      </c>
      <c r="C2" s="3210" t="s">
        <v>3573</v>
      </c>
      <c r="D2" s="3210" t="s">
        <v>3572</v>
      </c>
      <c r="E2" s="3210" t="s">
        <v>3571</v>
      </c>
      <c r="F2" s="3210" t="s">
        <v>3570</v>
      </c>
      <c r="G2" s="3210" t="s">
        <v>37</v>
      </c>
    </row>
    <row r="3" spans="1:7" ht="18.75">
      <c r="A3" s="3218">
        <v>1</v>
      </c>
      <c r="B3" s="3745" t="s">
        <v>3569</v>
      </c>
      <c r="C3" s="3745" t="s">
        <v>3564</v>
      </c>
      <c r="D3" s="3218">
        <v>22</v>
      </c>
      <c r="E3" s="3218">
        <v>1</v>
      </c>
      <c r="F3" s="3218">
        <v>196.02</v>
      </c>
      <c r="G3" s="3748">
        <f>SUM(F3:F10)</f>
        <v>2353.7599999999998</v>
      </c>
    </row>
    <row r="4" spans="1:7" ht="18.75">
      <c r="A4" s="3218">
        <v>2</v>
      </c>
      <c r="B4" s="3745"/>
      <c r="C4" s="3745"/>
      <c r="D4" s="3218">
        <v>19</v>
      </c>
      <c r="E4" s="3218">
        <v>2</v>
      </c>
      <c r="F4" s="3218">
        <v>186.52</v>
      </c>
      <c r="G4" s="3749"/>
    </row>
    <row r="5" spans="1:7" ht="18.75">
      <c r="A5" s="3218">
        <v>3</v>
      </c>
      <c r="B5" s="3745"/>
      <c r="C5" s="3745"/>
      <c r="D5" s="3218">
        <v>20</v>
      </c>
      <c r="E5" s="3218">
        <v>3</v>
      </c>
      <c r="F5" s="3218">
        <v>190.84</v>
      </c>
      <c r="G5" s="3749"/>
    </row>
    <row r="6" spans="1:7" ht="18.75">
      <c r="A6" s="3218">
        <v>4</v>
      </c>
      <c r="B6" s="3745"/>
      <c r="C6" s="3745"/>
      <c r="D6" s="3218">
        <v>17</v>
      </c>
      <c r="E6" s="3218">
        <v>4</v>
      </c>
      <c r="F6" s="3218">
        <v>474.51</v>
      </c>
      <c r="G6" s="3749"/>
    </row>
    <row r="7" spans="1:7" ht="18.75">
      <c r="A7" s="3218">
        <v>5</v>
      </c>
      <c r="B7" s="3745"/>
      <c r="C7" s="3745"/>
      <c r="D7" s="3218">
        <v>18</v>
      </c>
      <c r="E7" s="3218">
        <v>5</v>
      </c>
      <c r="F7" s="3218">
        <v>449.53</v>
      </c>
      <c r="G7" s="3749"/>
    </row>
    <row r="8" spans="1:7" ht="18.75">
      <c r="A8" s="3218">
        <v>6</v>
      </c>
      <c r="B8" s="3745"/>
      <c r="C8" s="3745"/>
      <c r="D8" s="3218">
        <v>21</v>
      </c>
      <c r="E8" s="3218">
        <v>6</v>
      </c>
      <c r="F8" s="3218">
        <v>196.46</v>
      </c>
      <c r="G8" s="3749"/>
    </row>
    <row r="9" spans="1:7" ht="18.75">
      <c r="A9" s="3218">
        <v>7</v>
      </c>
      <c r="B9" s="3745"/>
      <c r="C9" s="3745"/>
      <c r="D9" s="3218">
        <v>15</v>
      </c>
      <c r="E9" s="3218">
        <v>7</v>
      </c>
      <c r="F9" s="3218">
        <v>475.17</v>
      </c>
      <c r="G9" s="3749"/>
    </row>
    <row r="10" spans="1:7" ht="18.75">
      <c r="A10" s="3218">
        <v>8</v>
      </c>
      <c r="B10" s="3745"/>
      <c r="C10" s="3745"/>
      <c r="D10" s="3218">
        <v>16</v>
      </c>
      <c r="E10" s="3218">
        <v>8</v>
      </c>
      <c r="F10" s="3218">
        <v>184.71</v>
      </c>
      <c r="G10" s="3750"/>
    </row>
    <row r="11" spans="1:7" ht="18.75">
      <c r="A11" s="3218">
        <v>9</v>
      </c>
      <c r="B11" s="3745"/>
      <c r="C11" s="3745" t="s">
        <v>3563</v>
      </c>
      <c r="D11" s="3218" t="s">
        <v>3568</v>
      </c>
      <c r="E11" s="3218">
        <v>6</v>
      </c>
      <c r="F11" s="3218">
        <v>1094.44</v>
      </c>
      <c r="G11" s="3748">
        <f>SUM(F11:F15)</f>
        <v>5661.1</v>
      </c>
    </row>
    <row r="12" spans="1:7" ht="18.75">
      <c r="A12" s="3218">
        <v>10</v>
      </c>
      <c r="B12" s="3745"/>
      <c r="C12" s="3745"/>
      <c r="D12" s="3218" t="s">
        <v>3568</v>
      </c>
      <c r="E12" s="3218">
        <v>7</v>
      </c>
      <c r="F12" s="3218">
        <v>844.8</v>
      </c>
      <c r="G12" s="3749"/>
    </row>
    <row r="13" spans="1:7" ht="18.75">
      <c r="A13" s="3218">
        <v>11</v>
      </c>
      <c r="B13" s="3745"/>
      <c r="C13" s="3745"/>
      <c r="D13" s="3745" t="s">
        <v>3275</v>
      </c>
      <c r="E13" s="3218">
        <v>9</v>
      </c>
      <c r="F13" s="3218">
        <v>1020.6</v>
      </c>
      <c r="G13" s="3749"/>
    </row>
    <row r="14" spans="1:7" ht="18.75">
      <c r="A14" s="3218">
        <v>12</v>
      </c>
      <c r="B14" s="3745"/>
      <c r="C14" s="3745"/>
      <c r="D14" s="3745"/>
      <c r="E14" s="3218">
        <v>10</v>
      </c>
      <c r="F14" s="3218">
        <v>1255.6600000000001</v>
      </c>
      <c r="G14" s="3749"/>
    </row>
    <row r="15" spans="1:7" ht="18.75">
      <c r="A15" s="3218">
        <v>13</v>
      </c>
      <c r="B15" s="3745"/>
      <c r="C15" s="3745"/>
      <c r="D15" s="3745"/>
      <c r="E15" s="3218">
        <v>11</v>
      </c>
      <c r="F15" s="3218">
        <v>1445.6</v>
      </c>
      <c r="G15" s="3749"/>
    </row>
    <row r="16" spans="1:7" ht="18.75">
      <c r="A16" s="3218">
        <v>14</v>
      </c>
      <c r="B16" s="3745"/>
      <c r="C16" s="3745" t="s">
        <v>3562</v>
      </c>
      <c r="D16" s="3218" t="s">
        <v>3270</v>
      </c>
      <c r="E16" s="3218">
        <v>5</v>
      </c>
      <c r="F16" s="3218">
        <v>1783.67</v>
      </c>
      <c r="G16" s="3745">
        <f>SUM(F16:F21)</f>
        <v>15360.17</v>
      </c>
    </row>
    <row r="17" spans="1:7" ht="18.75">
      <c r="A17" s="3218">
        <v>15</v>
      </c>
      <c r="B17" s="3745"/>
      <c r="C17" s="3745"/>
      <c r="D17" s="3218" t="s">
        <v>3270</v>
      </c>
      <c r="E17" s="3218">
        <v>6</v>
      </c>
      <c r="F17" s="3218">
        <f>2503.27-57.2</f>
        <v>2446.0700000000002</v>
      </c>
      <c r="G17" s="3745"/>
    </row>
    <row r="18" spans="1:7" ht="18.75">
      <c r="A18" s="3218">
        <v>16</v>
      </c>
      <c r="B18" s="3745"/>
      <c r="C18" s="3745"/>
      <c r="D18" s="3218" t="s">
        <v>3292</v>
      </c>
      <c r="E18" s="3218">
        <v>7</v>
      </c>
      <c r="F18" s="3218">
        <v>6604.07</v>
      </c>
      <c r="G18" s="3745"/>
    </row>
    <row r="19" spans="1:7" ht="18.75">
      <c r="A19" s="3218">
        <v>17</v>
      </c>
      <c r="B19" s="3745"/>
      <c r="C19" s="3745"/>
      <c r="D19" s="3745" t="s">
        <v>3567</v>
      </c>
      <c r="E19" s="3218">
        <v>8</v>
      </c>
      <c r="F19" s="3218">
        <v>1676.62</v>
      </c>
      <c r="G19" s="3745"/>
    </row>
    <row r="20" spans="1:7" ht="18.75">
      <c r="A20" s="3218">
        <v>18</v>
      </c>
      <c r="B20" s="3745"/>
      <c r="C20" s="3745"/>
      <c r="D20" s="3745"/>
      <c r="E20" s="3218">
        <v>9</v>
      </c>
      <c r="F20" s="3218">
        <v>1205.21</v>
      </c>
      <c r="G20" s="3745"/>
    </row>
    <row r="21" spans="1:7" ht="18.75">
      <c r="A21" s="3218">
        <v>19</v>
      </c>
      <c r="B21" s="3745"/>
      <c r="C21" s="3745"/>
      <c r="D21" s="3745"/>
      <c r="E21" s="3218">
        <v>10</v>
      </c>
      <c r="F21" s="3218">
        <v>1644.53</v>
      </c>
      <c r="G21" s="3745"/>
    </row>
    <row r="22" spans="1:7" ht="18.75">
      <c r="A22" s="3218">
        <v>20</v>
      </c>
      <c r="B22" s="3745"/>
      <c r="C22" s="3745" t="s">
        <v>3561</v>
      </c>
      <c r="D22" s="3218" t="s">
        <v>3560</v>
      </c>
      <c r="E22" s="3218">
        <v>6</v>
      </c>
      <c r="F22" s="3218">
        <f>2758.11-87.69</f>
        <v>2670.42</v>
      </c>
      <c r="G22" s="3745">
        <f>SUM(F22:F24)</f>
        <v>7575.65</v>
      </c>
    </row>
    <row r="23" spans="1:7" ht="18.75">
      <c r="A23" s="3218">
        <v>21</v>
      </c>
      <c r="B23" s="3745"/>
      <c r="C23" s="3745"/>
      <c r="D23" s="3218" t="s">
        <v>3559</v>
      </c>
      <c r="E23" s="3218">
        <v>7</v>
      </c>
      <c r="F23" s="3218">
        <v>2739.7</v>
      </c>
      <c r="G23" s="3745"/>
    </row>
    <row r="24" spans="1:7" ht="18.75">
      <c r="A24" s="3218">
        <v>22</v>
      </c>
      <c r="B24" s="3745"/>
      <c r="C24" s="3745"/>
      <c r="D24" s="3218" t="s">
        <v>3559</v>
      </c>
      <c r="E24" s="3218">
        <v>8</v>
      </c>
      <c r="F24" s="3218">
        <v>2165.5300000000002</v>
      </c>
      <c r="G24" s="3745"/>
    </row>
    <row r="25" spans="1:7" ht="18.75">
      <c r="A25" s="3218">
        <v>23</v>
      </c>
      <c r="B25" s="3745" t="s">
        <v>3566</v>
      </c>
      <c r="C25" s="3745"/>
      <c r="D25" s="3745"/>
      <c r="E25" s="3745"/>
      <c r="F25" s="3218">
        <f>SUM(F3:F24)</f>
        <v>30950.679999999997</v>
      </c>
      <c r="G25" s="3218">
        <f>G3+G11+G16+G22</f>
        <v>30950.68</v>
      </c>
    </row>
    <row r="26" spans="1:7" ht="18.75">
      <c r="A26" s="3218">
        <v>24</v>
      </c>
      <c r="B26" s="3745" t="s">
        <v>3565</v>
      </c>
      <c r="C26" s="3745" t="s">
        <v>3564</v>
      </c>
      <c r="D26" s="3218">
        <v>19</v>
      </c>
      <c r="E26" s="3218">
        <v>2</v>
      </c>
      <c r="F26" s="3218">
        <v>261.01</v>
      </c>
      <c r="G26" s="3745">
        <f>SUM(F26:F28)</f>
        <v>783.81</v>
      </c>
    </row>
    <row r="27" spans="1:7" ht="18.75">
      <c r="A27" s="3218">
        <v>25</v>
      </c>
      <c r="B27" s="3745"/>
      <c r="C27" s="3745"/>
      <c r="D27" s="3218">
        <v>20</v>
      </c>
      <c r="E27" s="3218">
        <v>3</v>
      </c>
      <c r="F27" s="3218">
        <v>261.01</v>
      </c>
      <c r="G27" s="3745"/>
    </row>
    <row r="28" spans="1:7" ht="18.75">
      <c r="A28" s="3218">
        <v>26</v>
      </c>
      <c r="B28" s="3745"/>
      <c r="C28" s="3745"/>
      <c r="D28" s="3218">
        <v>16</v>
      </c>
      <c r="E28" s="3218">
        <v>8</v>
      </c>
      <c r="F28" s="3218">
        <v>261.79000000000002</v>
      </c>
      <c r="G28" s="3745"/>
    </row>
    <row r="29" spans="1:7" ht="18.75">
      <c r="A29" s="3218">
        <v>27</v>
      </c>
      <c r="B29" s="3745"/>
      <c r="C29" s="3218" t="s">
        <v>3563</v>
      </c>
      <c r="D29" s="3218">
        <v>14</v>
      </c>
      <c r="E29" s="3218">
        <v>5</v>
      </c>
      <c r="F29" s="3218">
        <v>600.95000000000005</v>
      </c>
      <c r="G29" s="3218">
        <v>600.95000000000005</v>
      </c>
    </row>
    <row r="30" spans="1:7" ht="18.75">
      <c r="A30" s="3218">
        <v>28</v>
      </c>
      <c r="B30" s="3745"/>
      <c r="C30" s="3218" t="s">
        <v>3562</v>
      </c>
      <c r="D30" s="3218" t="s">
        <v>3270</v>
      </c>
      <c r="E30" s="3218">
        <v>6</v>
      </c>
      <c r="F30" s="3218">
        <v>57.2</v>
      </c>
      <c r="G30" s="3218">
        <v>57.2</v>
      </c>
    </row>
    <row r="31" spans="1:7" ht="18.75">
      <c r="A31" s="3218">
        <v>29</v>
      </c>
      <c r="B31" s="3745"/>
      <c r="C31" s="3745" t="s">
        <v>3561</v>
      </c>
      <c r="D31" s="3218">
        <v>5</v>
      </c>
      <c r="E31" s="3218">
        <v>5</v>
      </c>
      <c r="F31" s="3218">
        <v>601.33000000000004</v>
      </c>
      <c r="G31" s="3745">
        <f>SUM(F31:F33)</f>
        <v>4291.0200000000004</v>
      </c>
    </row>
    <row r="32" spans="1:7" ht="18.75">
      <c r="A32" s="3218">
        <v>30</v>
      </c>
      <c r="B32" s="3745"/>
      <c r="C32" s="3745"/>
      <c r="D32" s="3218" t="s">
        <v>3560</v>
      </c>
      <c r="E32" s="3218">
        <v>6</v>
      </c>
      <c r="F32" s="3218">
        <v>87.69</v>
      </c>
      <c r="G32" s="3745"/>
    </row>
    <row r="33" spans="1:7" ht="18.75">
      <c r="A33" s="3218">
        <v>31</v>
      </c>
      <c r="B33" s="3745"/>
      <c r="C33" s="3745"/>
      <c r="D33" s="3218" t="s">
        <v>3559</v>
      </c>
      <c r="E33" s="3218">
        <v>9</v>
      </c>
      <c r="F33" s="3218">
        <v>3602</v>
      </c>
      <c r="G33" s="3745"/>
    </row>
    <row r="34" spans="1:7" ht="18.75">
      <c r="A34" s="3218">
        <v>32</v>
      </c>
      <c r="B34" s="3745" t="s">
        <v>3558</v>
      </c>
      <c r="C34" s="3745"/>
      <c r="D34" s="3745"/>
      <c r="E34" s="3745"/>
      <c r="F34" s="3745">
        <f>SUM(F26:F33)</f>
        <v>5732.98</v>
      </c>
      <c r="G34" s="3745"/>
    </row>
    <row r="35" spans="1:7" ht="18.75">
      <c r="A35" s="3218"/>
      <c r="B35" s="3745" t="s">
        <v>3533</v>
      </c>
      <c r="C35" s="3745"/>
      <c r="D35" s="3745"/>
      <c r="E35" s="3745"/>
      <c r="F35" s="3747">
        <v>62596.38</v>
      </c>
      <c r="G35" s="3747"/>
    </row>
    <row r="36" spans="1:7" ht="18.75">
      <c r="A36" s="3218"/>
      <c r="B36" s="3745" t="s">
        <v>3557</v>
      </c>
      <c r="C36" s="3745"/>
      <c r="D36" s="3745"/>
      <c r="E36" s="3745"/>
      <c r="F36" s="3745">
        <f>F25+F34+F35</f>
        <v>99280.04</v>
      </c>
      <c r="G36" s="3745"/>
    </row>
  </sheetData>
  <mergeCells count="24">
    <mergeCell ref="A1:G1"/>
    <mergeCell ref="B25:E25"/>
    <mergeCell ref="B34:E34"/>
    <mergeCell ref="F34:G34"/>
    <mergeCell ref="B35:E35"/>
    <mergeCell ref="F35:G35"/>
    <mergeCell ref="G26:G28"/>
    <mergeCell ref="G31:G33"/>
    <mergeCell ref="D13:D15"/>
    <mergeCell ref="D19:D21"/>
    <mergeCell ref="G3:G10"/>
    <mergeCell ref="G11:G15"/>
    <mergeCell ref="G16:G21"/>
    <mergeCell ref="G22:G24"/>
    <mergeCell ref="B36:E36"/>
    <mergeCell ref="F36:G36"/>
    <mergeCell ref="B3:B24"/>
    <mergeCell ref="B26:B33"/>
    <mergeCell ref="C3:C10"/>
    <mergeCell ref="C11:C15"/>
    <mergeCell ref="C16:C21"/>
    <mergeCell ref="C22:C24"/>
    <mergeCell ref="C26:C28"/>
    <mergeCell ref="C31:C33"/>
  </mergeCells>
  <phoneticPr fontId="280" type="noConversion"/>
  <pageMargins left="0.75" right="0.75" top="1" bottom="1" header="0.51180555555555596" footer="0.51180555555555596"/>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3291" t="s">
        <v>1656</v>
      </c>
      <c r="B1" s="3291"/>
      <c r="C1" s="3291"/>
      <c r="D1" s="3291"/>
    </row>
    <row r="2" spans="1:4" ht="18">
      <c r="A2" s="3292" t="s">
        <v>1640</v>
      </c>
      <c r="B2" s="3292"/>
      <c r="C2" s="3292"/>
      <c r="D2" s="3292"/>
    </row>
    <row r="3" spans="1:4" ht="18.75">
      <c r="A3" s="1964" t="s">
        <v>1641</v>
      </c>
      <c r="B3" s="1964" t="s">
        <v>1642</v>
      </c>
      <c r="C3" s="1964" t="s">
        <v>1643</v>
      </c>
      <c r="D3" s="1964" t="s">
        <v>1644</v>
      </c>
    </row>
    <row r="4" spans="1:4" ht="56.25" customHeight="1">
      <c r="A4" s="1965" t="str">
        <f>项目基本情况!B4</f>
        <v>叶凌</v>
      </c>
      <c r="B4" s="1966">
        <f ca="1">项目基本情况!C4</f>
        <v>1119970111</v>
      </c>
      <c r="C4" s="1967"/>
      <c r="D4" s="1968" t="s">
        <v>1645</v>
      </c>
    </row>
    <row r="5" spans="1:4" ht="56.25" customHeight="1">
      <c r="A5" s="1965" t="str">
        <f>项目基本情况!D4</f>
        <v>陈颖</v>
      </c>
      <c r="B5" s="1966">
        <f ca="1">项目基本情况!E4</f>
        <v>1120060040</v>
      </c>
      <c r="C5" s="1969"/>
      <c r="D5" s="1968" t="s">
        <v>1645</v>
      </c>
    </row>
    <row r="6" spans="1:4" ht="18">
      <c r="A6" s="3292" t="s">
        <v>1646</v>
      </c>
      <c r="B6" s="3292"/>
      <c r="C6" s="3292"/>
      <c r="D6" s="3292"/>
    </row>
    <row r="7" spans="1:4" ht="18.75">
      <c r="A7" s="1964" t="s">
        <v>1641</v>
      </c>
      <c r="B7" s="1966" t="s">
        <v>1647</v>
      </c>
      <c r="C7" s="1964" t="s">
        <v>1643</v>
      </c>
      <c r="D7" s="1964" t="s">
        <v>1644</v>
      </c>
    </row>
    <row r="8" spans="1:4" ht="56.25" customHeight="1">
      <c r="A8" s="1970" t="s">
        <v>865</v>
      </c>
      <c r="B8" s="1970" t="s">
        <v>1</v>
      </c>
      <c r="C8" s="1967"/>
      <c r="D8" s="1968" t="s">
        <v>1645</v>
      </c>
    </row>
    <row r="9" spans="1:4">
      <c r="A9" s="727"/>
      <c r="B9" s="727"/>
      <c r="C9" s="727"/>
      <c r="D9" s="727"/>
    </row>
    <row r="10" spans="1:4" ht="18.75">
      <c r="A10" s="1971" t="s">
        <v>1648</v>
      </c>
      <c r="B10" s="727"/>
      <c r="C10" s="727"/>
      <c r="D10" s="727"/>
    </row>
    <row r="11" spans="1:4" ht="30" customHeight="1">
      <c r="A11" s="3293" t="s">
        <v>1649</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5"/>
      <c r="C12" s="3295"/>
      <c r="D12" s="3295"/>
    </row>
    <row r="13" spans="1:4" ht="30" customHeight="1">
      <c r="A13" s="3294" t="str">
        <f>IF(项目基本情况!B8="抵押","3.抵押双方在办理抵押登记手续时，应使用本公司出具的正式《房地产评估报告》，特提醒报告使用者注意。","——")</f>
        <v>——</v>
      </c>
      <c r="B13" s="3295"/>
      <c r="C13" s="3295"/>
      <c r="D13" s="3295"/>
    </row>
    <row r="14" spans="1:4" ht="15.75" customHeight="1">
      <c r="A14" s="3294" t="str">
        <f>IF(项目基本情况!B8="抵押","4.本次评估估价师所知悉的法定优先受偿款情况说明如下：","——")</f>
        <v>——</v>
      </c>
      <c r="B14" s="3295"/>
      <c r="C14" s="3295"/>
      <c r="D14" s="3295"/>
    </row>
    <row r="15" spans="1:4" ht="42" customHeight="1">
      <c r="A15" s="3294" t="str">
        <f>IF(项目基本情况!B8="抵押","（1）"&amp;CONCATENATE(项目基本情况!L20,项目基本情况!L21,项目基本情况!L22),"——")</f>
        <v>——</v>
      </c>
      <c r="B15" s="3294"/>
      <c r="C15" s="3294"/>
      <c r="D15" s="3294"/>
    </row>
    <row r="16" spans="1:4" ht="30" customHeight="1">
      <c r="A16" s="3297" t="s">
        <v>1650</v>
      </c>
      <c r="B16" s="3297"/>
      <c r="C16" s="3297"/>
      <c r="D16" s="3297"/>
    </row>
    <row r="17" spans="1:4" ht="144" customHeight="1">
      <c r="A17" s="3297" t="s">
        <v>1651</v>
      </c>
      <c r="B17" s="3297"/>
      <c r="C17" s="3297"/>
      <c r="D17" s="3297"/>
    </row>
    <row r="18" spans="1:4" ht="15.75" customHeight="1">
      <c r="A18" s="3294" t="str">
        <f>IF(项目基本情况!B8="抵押",结果表!K120,"——")</f>
        <v>——</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4"/>
      <c r="C20" s="3294"/>
      <c r="D20" s="3294"/>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8"/>
      <c r="C21" s="3298"/>
      <c r="D21" s="3298"/>
    </row>
    <row r="22" spans="1:4" ht="18.75" customHeight="1">
      <c r="A22" s="3299" t="s">
        <v>1652</v>
      </c>
      <c r="B22" s="3299"/>
      <c r="C22" s="3299"/>
      <c r="D22" s="3299"/>
    </row>
    <row r="23" spans="1:4">
      <c r="A23" s="1972"/>
      <c r="B23" s="1944"/>
      <c r="C23" s="1944"/>
      <c r="D23" s="1944"/>
    </row>
    <row r="24" spans="1:4">
      <c r="A24" s="1972"/>
      <c r="B24" s="1944"/>
      <c r="C24" s="1944"/>
      <c r="D24" s="1944"/>
    </row>
    <row r="25" spans="1:4" ht="18.75">
      <c r="A25" s="1973" t="s">
        <v>1653</v>
      </c>
    </row>
    <row r="26" spans="1:4" ht="18">
      <c r="A26" s="1942"/>
    </row>
    <row r="27" spans="1:4" ht="18.75">
      <c r="A27" s="1942" t="s">
        <v>1654</v>
      </c>
    </row>
    <row r="30" spans="1:4" ht="18.75">
      <c r="D30" s="1973" t="s">
        <v>1655</v>
      </c>
    </row>
    <row r="31" spans="1:4" ht="13.5" customHeight="1">
      <c r="C31" s="3296">
        <v>42551</v>
      </c>
      <c r="D31" s="32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J170"/>
  <sheetViews>
    <sheetView zoomScale="80" zoomScaleNormal="80" workbookViewId="0">
      <selection activeCell="N15" sqref="N15"/>
    </sheetView>
  </sheetViews>
  <sheetFormatPr defaultColWidth="9" defaultRowHeight="13.5"/>
  <cols>
    <col min="5" max="5" width="11.375" customWidth="1"/>
    <col min="7" max="7" width="13.875" customWidth="1"/>
    <col min="9" max="9" width="16.875" customWidth="1"/>
    <col min="12" max="12" width="19.375" customWidth="1"/>
  </cols>
  <sheetData>
    <row r="1" spans="1:36" s="3183" customFormat="1" ht="27">
      <c r="A1" s="3767" t="s">
        <v>3519</v>
      </c>
      <c r="B1" s="3767"/>
      <c r="C1" s="3767"/>
      <c r="D1" s="3767"/>
      <c r="E1" s="3767"/>
      <c r="F1" s="3767"/>
      <c r="G1" s="3767"/>
      <c r="H1" s="3767"/>
      <c r="I1" s="3767"/>
      <c r="J1" s="3767"/>
      <c r="K1" s="3767"/>
      <c r="L1" s="3767"/>
      <c r="M1" s="3767"/>
      <c r="N1" s="3767"/>
      <c r="O1" s="3767"/>
      <c r="P1" s="3767"/>
      <c r="Q1" s="3767"/>
      <c r="R1" s="3767"/>
      <c r="S1" s="3767"/>
      <c r="T1" s="3767"/>
      <c r="U1" s="3767" t="s">
        <v>3520</v>
      </c>
      <c r="V1" s="3767"/>
      <c r="W1" s="3767"/>
      <c r="X1" s="3767"/>
      <c r="Y1" s="3767"/>
      <c r="Z1" s="3767"/>
      <c r="AA1" s="3767"/>
      <c r="AB1" s="3767"/>
      <c r="AC1" s="3767"/>
      <c r="AD1" s="3767"/>
      <c r="AE1" s="3767"/>
      <c r="AF1" s="3767"/>
      <c r="AG1" s="3767"/>
      <c r="AH1" s="3767"/>
      <c r="AI1" s="3767"/>
      <c r="AJ1" s="3767"/>
    </row>
    <row r="2" spans="1:36" s="3183" customFormat="1" ht="18.75">
      <c r="A2" s="3768" t="s">
        <v>3552</v>
      </c>
      <c r="B2" s="3768"/>
      <c r="C2" s="3768"/>
      <c r="D2" s="3768"/>
      <c r="E2" s="3768" t="s">
        <v>3553</v>
      </c>
      <c r="F2" s="3768"/>
      <c r="G2" s="3768"/>
      <c r="H2" s="3768"/>
      <c r="I2" s="3768" t="s">
        <v>3554</v>
      </c>
      <c r="J2" s="3768"/>
      <c r="K2" s="3768"/>
      <c r="L2" s="3768"/>
      <c r="M2" s="3768" t="s">
        <v>3555</v>
      </c>
      <c r="N2" s="3768"/>
      <c r="O2" s="3768"/>
      <c r="P2" s="3768"/>
      <c r="Q2" s="3768" t="s">
        <v>3556</v>
      </c>
      <c r="R2" s="3768"/>
      <c r="S2" s="3768"/>
      <c r="T2" s="3768"/>
      <c r="U2" s="3768" t="s">
        <v>3547</v>
      </c>
      <c r="V2" s="3768"/>
      <c r="W2" s="3768"/>
      <c r="X2" s="3768"/>
      <c r="Y2" s="3769" t="s">
        <v>3524</v>
      </c>
      <c r="Z2" s="3770"/>
      <c r="AA2" s="3770"/>
      <c r="AB2" s="3771"/>
      <c r="AC2" s="3768" t="s">
        <v>3525</v>
      </c>
      <c r="AD2" s="3768"/>
      <c r="AE2" s="3768"/>
      <c r="AF2" s="3768"/>
      <c r="AG2" s="3768" t="s">
        <v>3526</v>
      </c>
      <c r="AH2" s="3768"/>
      <c r="AI2" s="3768"/>
      <c r="AJ2" s="3768"/>
    </row>
    <row r="3" spans="1:36" s="3183" customFormat="1" ht="18.75">
      <c r="A3" s="3186" t="s">
        <v>3527</v>
      </c>
      <c r="B3" s="3186" t="s">
        <v>3528</v>
      </c>
      <c r="C3" s="3186" t="s">
        <v>3529</v>
      </c>
      <c r="D3" s="3187" t="s">
        <v>37</v>
      </c>
      <c r="E3" s="3186" t="s">
        <v>3527</v>
      </c>
      <c r="F3" s="3186" t="s">
        <v>3528</v>
      </c>
      <c r="G3" s="3186" t="s">
        <v>3529</v>
      </c>
      <c r="H3" s="3187" t="s">
        <v>37</v>
      </c>
      <c r="I3" s="3186" t="s">
        <v>3527</v>
      </c>
      <c r="J3" s="3186" t="s">
        <v>3528</v>
      </c>
      <c r="K3" s="3186" t="s">
        <v>3529</v>
      </c>
      <c r="L3" s="3187" t="s">
        <v>37</v>
      </c>
      <c r="M3" s="3186" t="s">
        <v>3527</v>
      </c>
      <c r="N3" s="3186" t="s">
        <v>3528</v>
      </c>
      <c r="O3" s="3186" t="s">
        <v>3529</v>
      </c>
      <c r="P3" s="3187" t="s">
        <v>37</v>
      </c>
      <c r="Q3" s="3186" t="s">
        <v>3527</v>
      </c>
      <c r="R3" s="3186" t="s">
        <v>3528</v>
      </c>
      <c r="S3" s="3186" t="s">
        <v>3529</v>
      </c>
      <c r="T3" s="3187" t="s">
        <v>37</v>
      </c>
      <c r="U3" s="3186" t="s">
        <v>3527</v>
      </c>
      <c r="V3" s="3186" t="s">
        <v>3528</v>
      </c>
      <c r="W3" s="3186" t="s">
        <v>3529</v>
      </c>
      <c r="X3" s="3187" t="s">
        <v>37</v>
      </c>
      <c r="Y3" s="3186" t="s">
        <v>3527</v>
      </c>
      <c r="Z3" s="3186" t="s">
        <v>3528</v>
      </c>
      <c r="AA3" s="3186" t="s">
        <v>3529</v>
      </c>
      <c r="AB3" s="3187" t="s">
        <v>37</v>
      </c>
      <c r="AC3" s="3186" t="s">
        <v>3527</v>
      </c>
      <c r="AD3" s="3186" t="s">
        <v>3528</v>
      </c>
      <c r="AE3" s="3186" t="s">
        <v>3529</v>
      </c>
      <c r="AF3" s="3186" t="s">
        <v>37</v>
      </c>
      <c r="AG3" s="3186" t="s">
        <v>3527</v>
      </c>
      <c r="AH3" s="3186" t="s">
        <v>3528</v>
      </c>
      <c r="AI3" s="3186" t="s">
        <v>3529</v>
      </c>
      <c r="AJ3" s="3186" t="s">
        <v>37</v>
      </c>
    </row>
    <row r="4" spans="1:36" s="3183" customFormat="1" ht="14.25">
      <c r="A4" s="3402">
        <v>1</v>
      </c>
      <c r="B4" s="3184">
        <v>101</v>
      </c>
      <c r="C4" s="3184">
        <v>46.37</v>
      </c>
      <c r="D4" s="3402">
        <f>SUM(C4:C9)</f>
        <v>196.01999999999998</v>
      </c>
      <c r="E4" s="3402">
        <v>6</v>
      </c>
      <c r="F4" s="3184">
        <v>101</v>
      </c>
      <c r="G4" s="3184">
        <v>28</v>
      </c>
      <c r="H4" s="3402">
        <f>SUM(G4:G6)</f>
        <v>1094.44</v>
      </c>
      <c r="I4" s="3402">
        <v>5</v>
      </c>
      <c r="J4" s="3184">
        <v>101</v>
      </c>
      <c r="K4" s="3184">
        <v>22.08</v>
      </c>
      <c r="L4" s="3402">
        <f>SUM(K4:K10)</f>
        <v>1783.67</v>
      </c>
      <c r="M4" s="3402">
        <v>6</v>
      </c>
      <c r="N4" s="3184">
        <v>101</v>
      </c>
      <c r="O4" s="3184">
        <v>17.66</v>
      </c>
      <c r="P4" s="3402">
        <f>SUM(O4:O20)</f>
        <v>2670.42</v>
      </c>
      <c r="Q4" s="3402" t="s">
        <v>3294</v>
      </c>
      <c r="R4" s="3184">
        <v>-216</v>
      </c>
      <c r="S4" s="3184">
        <v>10097.549999999999</v>
      </c>
      <c r="T4" s="3402">
        <v>62596.38</v>
      </c>
      <c r="U4" s="3402">
        <v>2</v>
      </c>
      <c r="V4" s="3184">
        <v>101</v>
      </c>
      <c r="W4" s="3184">
        <v>45.78</v>
      </c>
      <c r="X4" s="3402">
        <f>SUM(W4:W8)</f>
        <v>261.01</v>
      </c>
      <c r="Y4" s="3402">
        <v>5</v>
      </c>
      <c r="Z4" s="3184">
        <v>101</v>
      </c>
      <c r="AA4" s="3184">
        <v>152.96</v>
      </c>
      <c r="AB4" s="3402">
        <f>SUM(AA4:AA10)</f>
        <v>600.94999999999993</v>
      </c>
      <c r="AC4" s="3188">
        <v>6</v>
      </c>
      <c r="AD4" s="3188">
        <v>108</v>
      </c>
      <c r="AE4" s="3188">
        <v>57.2</v>
      </c>
      <c r="AF4" s="3188">
        <v>57.2</v>
      </c>
      <c r="AG4" s="3402">
        <v>5</v>
      </c>
      <c r="AH4" s="3184">
        <v>101</v>
      </c>
      <c r="AI4" s="3184">
        <v>41.43</v>
      </c>
      <c r="AJ4" s="3402">
        <f>SUM(AI4:AI10)</f>
        <v>601.32999999999993</v>
      </c>
    </row>
    <row r="5" spans="1:36" s="3183" customFormat="1" ht="14.25">
      <c r="A5" s="3402"/>
      <c r="B5" s="3184">
        <v>102</v>
      </c>
      <c r="C5" s="3184">
        <v>41.19</v>
      </c>
      <c r="D5" s="3402"/>
      <c r="E5" s="3402"/>
      <c r="F5" s="3184">
        <v>102</v>
      </c>
      <c r="G5" s="3184">
        <v>27.52</v>
      </c>
      <c r="H5" s="3402"/>
      <c r="I5" s="3402"/>
      <c r="J5" s="3184">
        <v>102</v>
      </c>
      <c r="K5" s="3184">
        <v>128.94999999999999</v>
      </c>
      <c r="L5" s="3402"/>
      <c r="M5" s="3402"/>
      <c r="N5" s="3184">
        <v>103</v>
      </c>
      <c r="O5" s="3184">
        <v>152.38</v>
      </c>
      <c r="P5" s="3402"/>
      <c r="Q5" s="3402"/>
      <c r="R5" s="3184">
        <v>-247</v>
      </c>
      <c r="S5" s="3184">
        <v>9572.77</v>
      </c>
      <c r="T5" s="3402"/>
      <c r="U5" s="3402"/>
      <c r="V5" s="3184">
        <v>102</v>
      </c>
      <c r="W5" s="3184">
        <v>68.84</v>
      </c>
      <c r="X5" s="3402"/>
      <c r="Y5" s="3402"/>
      <c r="Z5" s="3184">
        <v>102</v>
      </c>
      <c r="AA5" s="3184">
        <v>93.09</v>
      </c>
      <c r="AB5" s="3755"/>
      <c r="AC5" s="3189"/>
      <c r="AD5" s="3190"/>
      <c r="AE5" s="3190"/>
      <c r="AF5" s="3191"/>
      <c r="AG5" s="3403"/>
      <c r="AH5" s="3184">
        <v>102</v>
      </c>
      <c r="AI5" s="3184">
        <v>158.52000000000001</v>
      </c>
      <c r="AJ5" s="3402"/>
    </row>
    <row r="6" spans="1:36" s="3183" customFormat="1" ht="14.25">
      <c r="A6" s="3402"/>
      <c r="B6" s="3184">
        <v>103</v>
      </c>
      <c r="C6" s="3184">
        <v>29.63</v>
      </c>
      <c r="D6" s="3402"/>
      <c r="E6" s="3402"/>
      <c r="F6" s="3184">
        <v>201</v>
      </c>
      <c r="G6" s="3184">
        <v>1038.92</v>
      </c>
      <c r="H6" s="3402"/>
      <c r="I6" s="3402"/>
      <c r="J6" s="3184">
        <v>104</v>
      </c>
      <c r="K6" s="3184">
        <v>135.4</v>
      </c>
      <c r="L6" s="3402"/>
      <c r="M6" s="3402"/>
      <c r="N6" s="3184">
        <v>106</v>
      </c>
      <c r="O6" s="3184">
        <v>16.29</v>
      </c>
      <c r="P6" s="3402"/>
      <c r="Q6" s="3402"/>
      <c r="R6" s="3184">
        <v>-259</v>
      </c>
      <c r="S6" s="3184">
        <v>1676.73</v>
      </c>
      <c r="T6" s="3402"/>
      <c r="U6" s="3402"/>
      <c r="V6" s="3184">
        <v>103</v>
      </c>
      <c r="W6" s="3184">
        <v>31.77</v>
      </c>
      <c r="X6" s="3402"/>
      <c r="Y6" s="3402"/>
      <c r="Z6" s="3184">
        <v>103</v>
      </c>
      <c r="AA6" s="3184">
        <v>93.09</v>
      </c>
      <c r="AB6" s="3755"/>
      <c r="AC6" s="3192"/>
      <c r="AD6" s="3193"/>
      <c r="AE6" s="3193"/>
      <c r="AF6" s="3194"/>
      <c r="AG6" s="3403"/>
      <c r="AH6" s="3184">
        <v>103</v>
      </c>
      <c r="AI6" s="3184">
        <v>31.03</v>
      </c>
      <c r="AJ6" s="3402"/>
    </row>
    <row r="7" spans="1:36" s="3183" customFormat="1" ht="14.25">
      <c r="A7" s="3402"/>
      <c r="B7" s="3184">
        <v>104</v>
      </c>
      <c r="C7" s="3184">
        <v>32.25</v>
      </c>
      <c r="D7" s="3402"/>
      <c r="E7" s="3402">
        <v>7</v>
      </c>
      <c r="F7" s="3184">
        <v>101</v>
      </c>
      <c r="G7" s="3184">
        <v>5.31</v>
      </c>
      <c r="H7" s="3402">
        <f>SUM(G7:G8)</f>
        <v>844.8</v>
      </c>
      <c r="I7" s="3402"/>
      <c r="J7" s="3184">
        <v>105</v>
      </c>
      <c r="K7" s="3184">
        <v>61.94</v>
      </c>
      <c r="L7" s="3402"/>
      <c r="M7" s="3402"/>
      <c r="N7" s="3184">
        <v>107</v>
      </c>
      <c r="O7" s="3184">
        <v>34.81</v>
      </c>
      <c r="P7" s="3402"/>
      <c r="Q7" s="3402"/>
      <c r="R7" s="3184">
        <v>-275</v>
      </c>
      <c r="S7" s="3184">
        <v>10833.53</v>
      </c>
      <c r="T7" s="3402"/>
      <c r="U7" s="3402"/>
      <c r="V7" s="3184">
        <v>104</v>
      </c>
      <c r="W7" s="3184">
        <v>68.84</v>
      </c>
      <c r="X7" s="3402"/>
      <c r="Y7" s="3402"/>
      <c r="Z7" s="3184">
        <v>104</v>
      </c>
      <c r="AA7" s="3184">
        <v>31.03</v>
      </c>
      <c r="AB7" s="3755"/>
      <c r="AC7" s="3192"/>
      <c r="AD7" s="3193"/>
      <c r="AE7" s="3193"/>
      <c r="AF7" s="3194"/>
      <c r="AG7" s="3403"/>
      <c r="AH7" s="3184">
        <v>104</v>
      </c>
      <c r="AI7" s="3184">
        <v>93.08</v>
      </c>
      <c r="AJ7" s="3402"/>
    </row>
    <row r="8" spans="1:36" s="3183" customFormat="1" ht="14.25">
      <c r="A8" s="3402"/>
      <c r="B8" s="3184">
        <v>105</v>
      </c>
      <c r="C8" s="3184">
        <v>28</v>
      </c>
      <c r="D8" s="3402"/>
      <c r="E8" s="3402"/>
      <c r="F8" s="3184">
        <v>201</v>
      </c>
      <c r="G8" s="3184">
        <v>839.49</v>
      </c>
      <c r="H8" s="3402"/>
      <c r="I8" s="3402"/>
      <c r="J8" s="3184">
        <v>201</v>
      </c>
      <c r="K8" s="3184">
        <v>478.18</v>
      </c>
      <c r="L8" s="3402"/>
      <c r="M8" s="3402"/>
      <c r="N8" s="3184">
        <v>108</v>
      </c>
      <c r="O8" s="3184">
        <v>43.95</v>
      </c>
      <c r="P8" s="3402"/>
      <c r="Q8" s="3402"/>
      <c r="R8" s="3184">
        <v>-109</v>
      </c>
      <c r="S8" s="3184">
        <v>10478.68</v>
      </c>
      <c r="T8" s="3402"/>
      <c r="U8" s="3402"/>
      <c r="V8" s="3184">
        <v>105</v>
      </c>
      <c r="W8" s="3184">
        <v>45.78</v>
      </c>
      <c r="X8" s="3402"/>
      <c r="Y8" s="3402"/>
      <c r="Z8" s="3184">
        <v>105</v>
      </c>
      <c r="AA8" s="3184">
        <v>31.03</v>
      </c>
      <c r="AB8" s="3755"/>
      <c r="AC8" s="3192"/>
      <c r="AD8" s="3193"/>
      <c r="AE8" s="3193"/>
      <c r="AF8" s="3194"/>
      <c r="AG8" s="3403"/>
      <c r="AH8" s="3184">
        <v>105</v>
      </c>
      <c r="AI8" s="3184">
        <v>93.08</v>
      </c>
      <c r="AJ8" s="3402"/>
    </row>
    <row r="9" spans="1:36" s="3183" customFormat="1" ht="14.25">
      <c r="A9" s="3402"/>
      <c r="B9" s="3184">
        <v>106</v>
      </c>
      <c r="C9" s="3184">
        <v>18.579999999999998</v>
      </c>
      <c r="D9" s="3402"/>
      <c r="E9" s="3402">
        <v>9</v>
      </c>
      <c r="F9" s="3184">
        <v>101</v>
      </c>
      <c r="G9" s="3184">
        <v>109.36</v>
      </c>
      <c r="H9" s="3402">
        <f>SUM(G9:G13)</f>
        <v>1020.6</v>
      </c>
      <c r="I9" s="3402"/>
      <c r="J9" s="3184">
        <v>301</v>
      </c>
      <c r="K9" s="3184">
        <v>478.6</v>
      </c>
      <c r="L9" s="3402"/>
      <c r="M9" s="3402"/>
      <c r="N9" s="3184">
        <v>109</v>
      </c>
      <c r="O9" s="3184">
        <v>10.89</v>
      </c>
      <c r="P9" s="3402"/>
      <c r="Q9" s="3402"/>
      <c r="R9" s="3184">
        <v>-134</v>
      </c>
      <c r="S9" s="3184">
        <v>8899.18</v>
      </c>
      <c r="T9" s="3402"/>
      <c r="U9" s="3402">
        <v>3</v>
      </c>
      <c r="V9" s="3184">
        <v>101</v>
      </c>
      <c r="W9" s="3184">
        <v>45.78</v>
      </c>
      <c r="X9" s="3402">
        <f>SUM(W9:W13)</f>
        <v>261.01</v>
      </c>
      <c r="Y9" s="3402"/>
      <c r="Z9" s="3184">
        <v>106</v>
      </c>
      <c r="AA9" s="3184">
        <v>158.32</v>
      </c>
      <c r="AB9" s="3755"/>
      <c r="AC9" s="3192"/>
      <c r="AD9" s="3193"/>
      <c r="AE9" s="3193"/>
      <c r="AF9" s="3194"/>
      <c r="AG9" s="3403"/>
      <c r="AH9" s="3184">
        <v>106</v>
      </c>
      <c r="AI9" s="3184">
        <v>31.03</v>
      </c>
      <c r="AJ9" s="3402"/>
    </row>
    <row r="10" spans="1:36" s="3183" customFormat="1" ht="14.25">
      <c r="A10" s="3402">
        <v>2</v>
      </c>
      <c r="B10" s="3188">
        <v>-101</v>
      </c>
      <c r="C10" s="3184">
        <v>76.400000000000006</v>
      </c>
      <c r="D10" s="3402">
        <f>SUM(C10:C12)</f>
        <v>186.52</v>
      </c>
      <c r="E10" s="3402"/>
      <c r="F10" s="3184">
        <v>103</v>
      </c>
      <c r="G10" s="3184">
        <v>48.49</v>
      </c>
      <c r="H10" s="3402"/>
      <c r="I10" s="3402"/>
      <c r="J10" s="3184">
        <v>401</v>
      </c>
      <c r="K10" s="3184">
        <v>478.52</v>
      </c>
      <c r="L10" s="3402"/>
      <c r="M10" s="3402"/>
      <c r="N10" s="3184">
        <v>110</v>
      </c>
      <c r="O10" s="3184">
        <v>54.63</v>
      </c>
      <c r="P10" s="3402"/>
      <c r="Q10" s="3402"/>
      <c r="R10" s="3184">
        <v>-142</v>
      </c>
      <c r="S10" s="3184">
        <v>1599.34</v>
      </c>
      <c r="T10" s="3402"/>
      <c r="U10" s="3402"/>
      <c r="V10" s="3184">
        <v>102</v>
      </c>
      <c r="W10" s="3184">
        <v>68.84</v>
      </c>
      <c r="X10" s="3402"/>
      <c r="Y10" s="3402"/>
      <c r="Z10" s="3184">
        <v>107</v>
      </c>
      <c r="AA10" s="3184">
        <v>41.43</v>
      </c>
      <c r="AB10" s="3755"/>
      <c r="AC10" s="3192"/>
      <c r="AD10" s="3193"/>
      <c r="AE10" s="3193"/>
      <c r="AF10" s="3194"/>
      <c r="AG10" s="3403"/>
      <c r="AH10" s="3184">
        <v>107</v>
      </c>
      <c r="AI10" s="3184">
        <v>153.16</v>
      </c>
      <c r="AJ10" s="3402"/>
    </row>
    <row r="11" spans="1:36" s="3183" customFormat="1" ht="14.25">
      <c r="A11" s="3402"/>
      <c r="B11" s="3188">
        <v>-104</v>
      </c>
      <c r="C11" s="3184">
        <v>65.89</v>
      </c>
      <c r="D11" s="3402"/>
      <c r="E11" s="3402"/>
      <c r="F11" s="3184">
        <v>201</v>
      </c>
      <c r="G11" s="3184">
        <v>284.56</v>
      </c>
      <c r="H11" s="3402"/>
      <c r="I11" s="3402">
        <v>6</v>
      </c>
      <c r="J11" s="3184">
        <v>102</v>
      </c>
      <c r="K11" s="3184">
        <v>62.98</v>
      </c>
      <c r="L11" s="3402">
        <f>SUM(K11:K18)</f>
        <v>2446.0700000000002</v>
      </c>
      <c r="M11" s="3402"/>
      <c r="N11" s="3184">
        <v>111</v>
      </c>
      <c r="O11" s="3184">
        <v>39.67</v>
      </c>
      <c r="P11" s="3402"/>
      <c r="Q11" s="3756"/>
      <c r="R11" s="3185">
        <v>-157</v>
      </c>
      <c r="S11" s="3185">
        <v>9438.6</v>
      </c>
      <c r="T11" s="3756"/>
      <c r="U11" s="3402"/>
      <c r="V11" s="3184">
        <v>103</v>
      </c>
      <c r="W11" s="3184">
        <v>31.77</v>
      </c>
      <c r="X11" s="3755"/>
      <c r="Y11" s="3189"/>
      <c r="Z11" s="3190"/>
      <c r="AA11" s="3190"/>
      <c r="AB11" s="3195"/>
      <c r="AC11" s="3192"/>
      <c r="AD11" s="3193"/>
      <c r="AE11" s="3193"/>
      <c r="AF11" s="3194"/>
      <c r="AG11" s="3196">
        <v>6</v>
      </c>
      <c r="AH11" s="3188">
        <v>119</v>
      </c>
      <c r="AI11" s="3188">
        <v>87.69</v>
      </c>
      <c r="AJ11" s="3188">
        <v>87.69</v>
      </c>
    </row>
    <row r="12" spans="1:36" s="3183" customFormat="1" ht="14.25">
      <c r="A12" s="3402"/>
      <c r="B12" s="3188">
        <v>-105</v>
      </c>
      <c r="C12" s="3184">
        <v>44.23</v>
      </c>
      <c r="D12" s="3402"/>
      <c r="E12" s="3402"/>
      <c r="F12" s="3184">
        <v>301</v>
      </c>
      <c r="G12" s="3184">
        <v>289.57</v>
      </c>
      <c r="H12" s="3402"/>
      <c r="I12" s="3402"/>
      <c r="J12" s="3184">
        <v>104</v>
      </c>
      <c r="K12" s="3184">
        <v>44.73</v>
      </c>
      <c r="L12" s="3402"/>
      <c r="M12" s="3402"/>
      <c r="N12" s="3184">
        <v>112</v>
      </c>
      <c r="O12" s="3184">
        <v>33.9</v>
      </c>
      <c r="P12" s="3755"/>
      <c r="Q12" s="3197"/>
      <c r="R12" s="3198"/>
      <c r="S12" s="3198"/>
      <c r="T12" s="3199"/>
      <c r="U12" s="3402"/>
      <c r="V12" s="3184">
        <v>104</v>
      </c>
      <c r="W12" s="3184">
        <v>68.84</v>
      </c>
      <c r="X12" s="3755"/>
      <c r="Y12" s="3192"/>
      <c r="Z12" s="3193"/>
      <c r="AA12" s="3193"/>
      <c r="AB12" s="3200"/>
      <c r="AC12" s="3192"/>
      <c r="AD12" s="3193"/>
      <c r="AE12" s="3193"/>
      <c r="AF12" s="3200"/>
      <c r="AG12" s="3403">
        <v>9</v>
      </c>
      <c r="AH12" s="3184">
        <v>101</v>
      </c>
      <c r="AI12" s="3184">
        <v>62.17</v>
      </c>
      <c r="AJ12" s="3402">
        <f>SUM(AI12:AI18)</f>
        <v>3602</v>
      </c>
    </row>
    <row r="13" spans="1:36" s="3183" customFormat="1" ht="14.25">
      <c r="A13" s="3402">
        <v>3</v>
      </c>
      <c r="B13" s="3188">
        <v>-101</v>
      </c>
      <c r="C13" s="3184">
        <v>78.17</v>
      </c>
      <c r="D13" s="3402">
        <f>SUM(C13:C15)</f>
        <v>190.84</v>
      </c>
      <c r="E13" s="3402"/>
      <c r="F13" s="3184">
        <v>401</v>
      </c>
      <c r="G13" s="3184">
        <v>288.62</v>
      </c>
      <c r="H13" s="3402"/>
      <c r="I13" s="3402"/>
      <c r="J13" s="3184">
        <v>105</v>
      </c>
      <c r="K13" s="3184">
        <v>63.12</v>
      </c>
      <c r="L13" s="3402"/>
      <c r="M13" s="3402"/>
      <c r="N13" s="3184">
        <v>113</v>
      </c>
      <c r="O13" s="3184">
        <v>10.86</v>
      </c>
      <c r="P13" s="3755"/>
      <c r="Q13" s="3201"/>
      <c r="R13" s="3202"/>
      <c r="S13" s="3202"/>
      <c r="T13" s="3203"/>
      <c r="U13" s="3402"/>
      <c r="V13" s="3184">
        <v>105</v>
      </c>
      <c r="W13" s="3184">
        <v>45.78</v>
      </c>
      <c r="X13" s="3755"/>
      <c r="Y13" s="3192"/>
      <c r="Z13" s="3193"/>
      <c r="AA13" s="3193"/>
      <c r="AB13" s="3200"/>
      <c r="AC13" s="3192"/>
      <c r="AD13" s="3193"/>
      <c r="AE13" s="3193"/>
      <c r="AF13" s="3200"/>
      <c r="AG13" s="3403"/>
      <c r="AH13" s="3184">
        <v>102</v>
      </c>
      <c r="AI13" s="3184">
        <v>46.52</v>
      </c>
      <c r="AJ13" s="3402"/>
    </row>
    <row r="14" spans="1:36" s="3183" customFormat="1" ht="14.25">
      <c r="A14" s="3402"/>
      <c r="B14" s="3188">
        <v>-104</v>
      </c>
      <c r="C14" s="3184">
        <v>67.42</v>
      </c>
      <c r="D14" s="3402"/>
      <c r="E14" s="3402">
        <v>10</v>
      </c>
      <c r="F14" s="3184">
        <v>101</v>
      </c>
      <c r="G14" s="3184">
        <v>103.15</v>
      </c>
      <c r="H14" s="3402">
        <f>SUM(G14:G19)</f>
        <v>1255.6599999999999</v>
      </c>
      <c r="I14" s="3402"/>
      <c r="J14" s="3184">
        <v>106</v>
      </c>
      <c r="K14" s="3184">
        <v>64.400000000000006</v>
      </c>
      <c r="L14" s="3402"/>
      <c r="M14" s="3402"/>
      <c r="N14" s="3184">
        <v>114</v>
      </c>
      <c r="O14" s="3184">
        <v>110.53</v>
      </c>
      <c r="P14" s="3755"/>
      <c r="Q14" s="3201"/>
      <c r="R14" s="3202"/>
      <c r="S14" s="3202"/>
      <c r="T14" s="3203"/>
      <c r="U14" s="3402">
        <v>8</v>
      </c>
      <c r="V14" s="3184">
        <v>101</v>
      </c>
      <c r="W14" s="3184">
        <v>45.95</v>
      </c>
      <c r="X14" s="3755">
        <f>SUM(W14:W18)</f>
        <v>261.78999999999996</v>
      </c>
      <c r="Y14" s="3192"/>
      <c r="Z14" s="3193"/>
      <c r="AA14" s="3193"/>
      <c r="AB14" s="3200"/>
      <c r="AC14" s="3192"/>
      <c r="AD14" s="3193"/>
      <c r="AE14" s="3193"/>
      <c r="AF14" s="3200"/>
      <c r="AG14" s="3403"/>
      <c r="AH14" s="3184">
        <v>103</v>
      </c>
      <c r="AI14" s="3184">
        <v>24.35</v>
      </c>
      <c r="AJ14" s="3402"/>
    </row>
    <row r="15" spans="1:36" s="3183" customFormat="1" ht="14.25">
      <c r="A15" s="3402"/>
      <c r="B15" s="3188">
        <v>-105</v>
      </c>
      <c r="C15" s="3184">
        <v>45.25</v>
      </c>
      <c r="D15" s="3402"/>
      <c r="E15" s="3402"/>
      <c r="F15" s="3184">
        <v>103</v>
      </c>
      <c r="G15" s="3184">
        <v>38.21</v>
      </c>
      <c r="H15" s="3402"/>
      <c r="I15" s="3402"/>
      <c r="J15" s="3184">
        <v>107</v>
      </c>
      <c r="K15" s="3184">
        <v>15.85</v>
      </c>
      <c r="L15" s="3402"/>
      <c r="M15" s="3402"/>
      <c r="N15" s="3184">
        <v>115</v>
      </c>
      <c r="O15" s="3184">
        <v>7.01</v>
      </c>
      <c r="P15" s="3755"/>
      <c r="Q15" s="3201"/>
      <c r="R15" s="3202"/>
      <c r="S15" s="3202"/>
      <c r="T15" s="3203"/>
      <c r="U15" s="3402"/>
      <c r="V15" s="3184">
        <v>102</v>
      </c>
      <c r="W15" s="3184">
        <v>68.989999999999995</v>
      </c>
      <c r="X15" s="3755"/>
      <c r="Y15" s="3192"/>
      <c r="Z15" s="3193"/>
      <c r="AA15" s="3193"/>
      <c r="AB15" s="3200"/>
      <c r="AC15" s="3192"/>
      <c r="AD15" s="3193"/>
      <c r="AE15" s="3193"/>
      <c r="AF15" s="3200"/>
      <c r="AG15" s="3403"/>
      <c r="AH15" s="3184">
        <v>201</v>
      </c>
      <c r="AI15" s="3184">
        <v>890.26</v>
      </c>
      <c r="AJ15" s="3402"/>
    </row>
    <row r="16" spans="1:36" s="3183" customFormat="1" ht="14.25">
      <c r="A16" s="3402">
        <v>4</v>
      </c>
      <c r="B16" s="3184">
        <v>101</v>
      </c>
      <c r="C16" s="3184">
        <v>81.97</v>
      </c>
      <c r="D16" s="3402">
        <f>SUM(C16:C23)</f>
        <v>474.51</v>
      </c>
      <c r="E16" s="3402"/>
      <c r="F16" s="3184">
        <v>104</v>
      </c>
      <c r="G16" s="3184">
        <v>45.04</v>
      </c>
      <c r="H16" s="3402"/>
      <c r="I16" s="3402"/>
      <c r="J16" s="3184">
        <v>201</v>
      </c>
      <c r="K16" s="3184">
        <v>748.67</v>
      </c>
      <c r="L16" s="3402"/>
      <c r="M16" s="3402"/>
      <c r="N16" s="3184">
        <v>116</v>
      </c>
      <c r="O16" s="3184">
        <v>24.83</v>
      </c>
      <c r="P16" s="3755"/>
      <c r="Q16" s="3201"/>
      <c r="R16" s="3202"/>
      <c r="S16" s="3202"/>
      <c r="T16" s="3203"/>
      <c r="U16" s="3402"/>
      <c r="V16" s="3184">
        <v>103</v>
      </c>
      <c r="W16" s="3184">
        <v>31.91</v>
      </c>
      <c r="X16" s="3755"/>
      <c r="Y16" s="3192"/>
      <c r="Z16" s="3193"/>
      <c r="AA16" s="3193"/>
      <c r="AB16" s="3200"/>
      <c r="AC16" s="3192"/>
      <c r="AD16" s="3193"/>
      <c r="AE16" s="3193"/>
      <c r="AF16" s="3200"/>
      <c r="AG16" s="3403"/>
      <c r="AH16" s="3184">
        <v>301</v>
      </c>
      <c r="AI16" s="3184">
        <v>910.45</v>
      </c>
      <c r="AJ16" s="3402"/>
    </row>
    <row r="17" spans="1:36" s="3183" customFormat="1" ht="14.25">
      <c r="A17" s="3402"/>
      <c r="B17" s="3184">
        <v>102</v>
      </c>
      <c r="C17" s="3184">
        <v>31.3</v>
      </c>
      <c r="D17" s="3402"/>
      <c r="E17" s="3402"/>
      <c r="F17" s="3184">
        <v>201</v>
      </c>
      <c r="G17" s="3184">
        <v>380.65</v>
      </c>
      <c r="H17" s="3402"/>
      <c r="I17" s="3402"/>
      <c r="J17" s="3184">
        <v>301</v>
      </c>
      <c r="K17" s="3184">
        <v>765.57</v>
      </c>
      <c r="L17" s="3402"/>
      <c r="M17" s="3402"/>
      <c r="N17" s="3184">
        <v>117</v>
      </c>
      <c r="O17" s="3184">
        <v>32.14</v>
      </c>
      <c r="P17" s="3755"/>
      <c r="Q17" s="3201"/>
      <c r="R17" s="3202"/>
      <c r="S17" s="3202"/>
      <c r="T17" s="3203"/>
      <c r="U17" s="3402"/>
      <c r="V17" s="3184">
        <v>104</v>
      </c>
      <c r="W17" s="3184">
        <v>68.989999999999995</v>
      </c>
      <c r="X17" s="3755"/>
      <c r="Y17" s="3192"/>
      <c r="Z17" s="3193"/>
      <c r="AA17" s="3193"/>
      <c r="AB17" s="3200"/>
      <c r="AC17" s="3192"/>
      <c r="AD17" s="3193"/>
      <c r="AE17" s="3193"/>
      <c r="AF17" s="3200"/>
      <c r="AG17" s="3403"/>
      <c r="AH17" s="3184">
        <v>401</v>
      </c>
      <c r="AI17" s="3184">
        <v>843.16</v>
      </c>
      <c r="AJ17" s="3402"/>
    </row>
    <row r="18" spans="1:36" s="3183" customFormat="1" ht="14.25">
      <c r="A18" s="3402"/>
      <c r="B18" s="3184">
        <v>103</v>
      </c>
      <c r="C18" s="3184">
        <v>84.05</v>
      </c>
      <c r="D18" s="3402"/>
      <c r="E18" s="3402"/>
      <c r="F18" s="3184">
        <v>301</v>
      </c>
      <c r="G18" s="3184">
        <v>364.65</v>
      </c>
      <c r="H18" s="3402"/>
      <c r="I18" s="3402"/>
      <c r="J18" s="3184">
        <v>401</v>
      </c>
      <c r="K18" s="3184">
        <v>680.75</v>
      </c>
      <c r="L18" s="3402"/>
      <c r="M18" s="3402"/>
      <c r="N18" s="3184">
        <v>118</v>
      </c>
      <c r="O18" s="3184">
        <v>154.38</v>
      </c>
      <c r="P18" s="3755"/>
      <c r="Q18" s="3201"/>
      <c r="R18" s="3202"/>
      <c r="S18" s="3202"/>
      <c r="T18" s="3203"/>
      <c r="U18" s="3402"/>
      <c r="V18" s="3184">
        <v>105</v>
      </c>
      <c r="W18" s="3184">
        <v>45.95</v>
      </c>
      <c r="X18" s="3755"/>
      <c r="Y18" s="3204"/>
      <c r="Z18" s="3205"/>
      <c r="AA18" s="3205"/>
      <c r="AB18" s="3206"/>
      <c r="AC18" s="3204"/>
      <c r="AD18" s="3205"/>
      <c r="AE18" s="3205"/>
      <c r="AF18" s="3206"/>
      <c r="AG18" s="3403"/>
      <c r="AH18" s="3184">
        <v>501</v>
      </c>
      <c r="AI18" s="3184">
        <v>825.09</v>
      </c>
      <c r="AJ18" s="3402"/>
    </row>
    <row r="19" spans="1:36" s="3183" customFormat="1" ht="14.25">
      <c r="A19" s="3402"/>
      <c r="B19" s="3188">
        <v>-101</v>
      </c>
      <c r="C19" s="3184">
        <v>42.96</v>
      </c>
      <c r="D19" s="3402"/>
      <c r="E19" s="3402"/>
      <c r="F19" s="3184">
        <v>401</v>
      </c>
      <c r="G19" s="3184">
        <v>323.95999999999998</v>
      </c>
      <c r="H19" s="3402"/>
      <c r="I19" s="3760" t="s">
        <v>3551</v>
      </c>
      <c r="J19" s="3217">
        <v>201</v>
      </c>
      <c r="K19" s="3217">
        <v>1175.9000000000001</v>
      </c>
      <c r="L19" s="3763">
        <f>SUM(K19:K21)</f>
        <v>6604.07</v>
      </c>
      <c r="M19" s="3402"/>
      <c r="N19" s="3184">
        <v>201</v>
      </c>
      <c r="O19" s="3184">
        <v>935.36</v>
      </c>
      <c r="P19" s="3755"/>
      <c r="Q19" s="3201"/>
      <c r="R19" s="3202"/>
      <c r="S19" s="3202"/>
      <c r="T19" s="3203"/>
      <c r="U19" s="3755" t="s">
        <v>37</v>
      </c>
      <c r="V19" s="3759"/>
      <c r="W19" s="3755">
        <f>SUM(W4:W18)</f>
        <v>783.81000000000006</v>
      </c>
      <c r="X19" s="3403"/>
      <c r="Y19" s="3755" t="s">
        <v>37</v>
      </c>
      <c r="Z19" s="3759"/>
      <c r="AA19" s="3755">
        <f>SUM(AA4:AA10)</f>
        <v>600.94999999999993</v>
      </c>
      <c r="AB19" s="3403"/>
      <c r="AC19" s="3755" t="s">
        <v>37</v>
      </c>
      <c r="AD19" s="3759"/>
      <c r="AE19" s="3755">
        <v>57.2</v>
      </c>
      <c r="AF19" s="3403"/>
      <c r="AG19" s="3755" t="s">
        <v>37</v>
      </c>
      <c r="AH19" s="3759"/>
      <c r="AI19" s="3755">
        <f>SUM(AI4:AI18)</f>
        <v>4291.0199999999995</v>
      </c>
      <c r="AJ19" s="3403"/>
    </row>
    <row r="20" spans="1:36" s="3183" customFormat="1" ht="14.25">
      <c r="A20" s="3402"/>
      <c r="B20" s="3188">
        <v>-102</v>
      </c>
      <c r="C20" s="3184">
        <v>49.03</v>
      </c>
      <c r="D20" s="3402"/>
      <c r="E20" s="3402">
        <v>11</v>
      </c>
      <c r="F20" s="3184">
        <v>101</v>
      </c>
      <c r="G20" s="3184">
        <v>77</v>
      </c>
      <c r="H20" s="3402">
        <f>SUM(G20:G24)</f>
        <v>1445.6</v>
      </c>
      <c r="I20" s="3761"/>
      <c r="J20" s="3217">
        <v>301</v>
      </c>
      <c r="K20" s="3217">
        <v>2065.16</v>
      </c>
      <c r="L20" s="3763"/>
      <c r="M20" s="3402"/>
      <c r="N20" s="3184">
        <v>202</v>
      </c>
      <c r="O20" s="3184">
        <v>991.13</v>
      </c>
      <c r="P20" s="3755"/>
      <c r="Q20" s="3201"/>
      <c r="R20" s="3202"/>
      <c r="S20" s="3202"/>
      <c r="T20" s="3203"/>
      <c r="U20" s="3764" t="s">
        <v>3530</v>
      </c>
      <c r="V20" s="3765"/>
      <c r="W20" s="3765">
        <f>W19+AA19+AE19+AI19</f>
        <v>5732.98</v>
      </c>
      <c r="X20" s="3765"/>
      <c r="Y20" s="3765"/>
      <c r="Z20" s="3765"/>
      <c r="AA20" s="3765"/>
      <c r="AB20" s="3765"/>
      <c r="AC20" s="3765"/>
      <c r="AD20" s="3765"/>
      <c r="AE20" s="3765"/>
      <c r="AF20" s="3765"/>
      <c r="AG20" s="3765"/>
      <c r="AH20" s="3765"/>
      <c r="AI20" s="3765"/>
      <c r="AJ20" s="3766"/>
    </row>
    <row r="21" spans="1:36" s="3183" customFormat="1" ht="14.25">
      <c r="A21" s="3402"/>
      <c r="B21" s="3188">
        <v>-103</v>
      </c>
      <c r="C21" s="3184">
        <v>49.03</v>
      </c>
      <c r="D21" s="3402"/>
      <c r="E21" s="3402"/>
      <c r="F21" s="3184">
        <v>102</v>
      </c>
      <c r="G21" s="3184">
        <v>65.319999999999993</v>
      </c>
      <c r="H21" s="3402"/>
      <c r="I21" s="3762"/>
      <c r="J21" s="3217">
        <v>401</v>
      </c>
      <c r="K21" s="3217">
        <v>3363.01</v>
      </c>
      <c r="L21" s="3763"/>
      <c r="M21" s="3402">
        <v>7</v>
      </c>
      <c r="N21" s="3184">
        <v>101</v>
      </c>
      <c r="O21" s="3184">
        <v>34.56</v>
      </c>
      <c r="P21" s="3755">
        <f>SUM(O21:O26)</f>
        <v>2739.7</v>
      </c>
      <c r="Q21" s="3201"/>
      <c r="R21" s="3202"/>
      <c r="S21" s="3202"/>
      <c r="T21" s="3203"/>
    </row>
    <row r="22" spans="1:36" s="3183" customFormat="1" ht="14.25">
      <c r="A22" s="3402"/>
      <c r="B22" s="3188">
        <v>-104</v>
      </c>
      <c r="C22" s="3184">
        <v>45.26</v>
      </c>
      <c r="D22" s="3402"/>
      <c r="E22" s="3402"/>
      <c r="F22" s="3184">
        <v>201</v>
      </c>
      <c r="G22" s="3184">
        <v>456.71</v>
      </c>
      <c r="H22" s="3402"/>
      <c r="I22" s="3402">
        <v>8</v>
      </c>
      <c r="J22" s="3184">
        <v>101</v>
      </c>
      <c r="K22" s="3184">
        <v>8.8800000000000008</v>
      </c>
      <c r="L22" s="3402">
        <f>SUM(K22:K28)</f>
        <v>1676.62</v>
      </c>
      <c r="M22" s="3402"/>
      <c r="N22" s="3184">
        <v>102</v>
      </c>
      <c r="O22" s="3184">
        <v>41.69</v>
      </c>
      <c r="P22" s="3755"/>
      <c r="Q22" s="3201"/>
      <c r="R22" s="3202"/>
      <c r="S22" s="3202"/>
      <c r="T22" s="3203"/>
    </row>
    <row r="23" spans="1:36" s="3183" customFormat="1" ht="14.25">
      <c r="A23" s="3402"/>
      <c r="B23" s="3188">
        <v>-105</v>
      </c>
      <c r="C23" s="3184">
        <v>90.91</v>
      </c>
      <c r="D23" s="3402"/>
      <c r="E23" s="3402"/>
      <c r="F23" s="3184">
        <v>301</v>
      </c>
      <c r="G23" s="3184">
        <v>445.43</v>
      </c>
      <c r="H23" s="3402"/>
      <c r="I23" s="3402"/>
      <c r="J23" s="3184">
        <v>102</v>
      </c>
      <c r="K23" s="3184">
        <v>46.33</v>
      </c>
      <c r="L23" s="3402"/>
      <c r="M23" s="3402"/>
      <c r="N23" s="3184">
        <v>201</v>
      </c>
      <c r="O23" s="3184">
        <v>562.57000000000005</v>
      </c>
      <c r="P23" s="3755"/>
      <c r="Q23" s="3201"/>
      <c r="R23" s="3202"/>
      <c r="S23" s="3202"/>
      <c r="T23" s="3203"/>
    </row>
    <row r="24" spans="1:36" s="3183" customFormat="1" ht="14.25">
      <c r="A24" s="3402">
        <v>5</v>
      </c>
      <c r="B24" s="3184">
        <v>101</v>
      </c>
      <c r="C24" s="3184">
        <v>45.95</v>
      </c>
      <c r="D24" s="3402">
        <f>SUM(C24:C31)</f>
        <v>449.53</v>
      </c>
      <c r="E24" s="3756"/>
      <c r="F24" s="3185">
        <v>401</v>
      </c>
      <c r="G24" s="3185">
        <v>401.14</v>
      </c>
      <c r="H24" s="3756"/>
      <c r="I24" s="3402"/>
      <c r="J24" s="3184">
        <v>104</v>
      </c>
      <c r="K24" s="3184">
        <v>46.64</v>
      </c>
      <c r="L24" s="3402"/>
      <c r="M24" s="3402"/>
      <c r="N24" s="3184">
        <v>301</v>
      </c>
      <c r="O24" s="3184">
        <v>624.51</v>
      </c>
      <c r="P24" s="3755"/>
      <c r="Q24" s="3201"/>
      <c r="R24" s="3202"/>
      <c r="S24" s="3202"/>
      <c r="T24" s="3203"/>
    </row>
    <row r="25" spans="1:36" s="3183" customFormat="1" ht="14.25">
      <c r="A25" s="3402"/>
      <c r="B25" s="3184">
        <v>102</v>
      </c>
      <c r="C25" s="3184">
        <v>68.989999999999995</v>
      </c>
      <c r="D25" s="3755"/>
      <c r="E25" s="3197"/>
      <c r="F25" s="3198"/>
      <c r="G25" s="3198"/>
      <c r="H25" s="3207"/>
      <c r="I25" s="3403"/>
      <c r="J25" s="3184">
        <v>105</v>
      </c>
      <c r="K25" s="3184">
        <v>61.66</v>
      </c>
      <c r="L25" s="3402"/>
      <c r="M25" s="3402"/>
      <c r="N25" s="3184">
        <v>401</v>
      </c>
      <c r="O25" s="3184">
        <v>746.56</v>
      </c>
      <c r="P25" s="3755"/>
      <c r="Q25" s="3201"/>
      <c r="R25" s="3202"/>
      <c r="S25" s="3202"/>
      <c r="T25" s="3203"/>
    </row>
    <row r="26" spans="1:36" s="3183" customFormat="1" ht="14.25">
      <c r="A26" s="3402"/>
      <c r="B26" s="3184">
        <v>103</v>
      </c>
      <c r="C26" s="3184">
        <v>31.91</v>
      </c>
      <c r="D26" s="3755"/>
      <c r="E26" s="3192"/>
      <c r="F26" s="3193"/>
      <c r="G26" s="3193"/>
      <c r="H26" s="3200"/>
      <c r="I26" s="3403"/>
      <c r="J26" s="3184">
        <v>201</v>
      </c>
      <c r="K26" s="3184">
        <v>523.98</v>
      </c>
      <c r="L26" s="3402"/>
      <c r="M26" s="3402"/>
      <c r="N26" s="3184">
        <v>501</v>
      </c>
      <c r="O26" s="3184">
        <v>729.81</v>
      </c>
      <c r="P26" s="3755"/>
      <c r="Q26" s="3201"/>
      <c r="R26" s="3202"/>
      <c r="S26" s="3202"/>
      <c r="T26" s="3203"/>
      <c r="U26" s="3208"/>
    </row>
    <row r="27" spans="1:36" s="3183" customFormat="1" ht="14.25">
      <c r="A27" s="3402"/>
      <c r="B27" s="3184">
        <v>104</v>
      </c>
      <c r="C27" s="3184">
        <v>68.989999999999995</v>
      </c>
      <c r="D27" s="3755"/>
      <c r="E27" s="3192"/>
      <c r="F27" s="3193"/>
      <c r="G27" s="3193"/>
      <c r="H27" s="3200"/>
      <c r="I27" s="3403"/>
      <c r="J27" s="3184">
        <v>301</v>
      </c>
      <c r="K27" s="3184">
        <v>523.36</v>
      </c>
      <c r="L27" s="3402"/>
      <c r="M27" s="3402">
        <v>8</v>
      </c>
      <c r="N27" s="3184">
        <v>101</v>
      </c>
      <c r="O27" s="3184">
        <v>76.33</v>
      </c>
      <c r="P27" s="3755">
        <f>SUM(O27:O33)</f>
        <v>2165.5300000000002</v>
      </c>
      <c r="Q27" s="3201"/>
      <c r="R27" s="3202"/>
      <c r="S27" s="3202"/>
      <c r="T27" s="3203"/>
      <c r="U27" s="3208"/>
    </row>
    <row r="28" spans="1:36" s="3183" customFormat="1" ht="14.25">
      <c r="A28" s="3402"/>
      <c r="B28" s="3184">
        <v>105</v>
      </c>
      <c r="C28" s="3184">
        <v>45.95</v>
      </c>
      <c r="D28" s="3755"/>
      <c r="E28" s="3192"/>
      <c r="F28" s="3193"/>
      <c r="G28" s="3193"/>
      <c r="H28" s="3200"/>
      <c r="I28" s="3403"/>
      <c r="J28" s="3184">
        <v>401</v>
      </c>
      <c r="K28" s="3184">
        <v>465.77</v>
      </c>
      <c r="L28" s="3402"/>
      <c r="M28" s="3402"/>
      <c r="N28" s="3184">
        <v>102</v>
      </c>
      <c r="O28" s="3184">
        <v>35.58</v>
      </c>
      <c r="P28" s="3755"/>
      <c r="Q28" s="3201"/>
      <c r="R28" s="3202"/>
      <c r="S28" s="3202"/>
      <c r="T28" s="3203"/>
      <c r="U28" s="3208"/>
    </row>
    <row r="29" spans="1:36" s="3183" customFormat="1" ht="14.25">
      <c r="A29" s="3402"/>
      <c r="B29" s="3188">
        <v>-101</v>
      </c>
      <c r="C29" s="3184">
        <v>44.54</v>
      </c>
      <c r="D29" s="3755"/>
      <c r="E29" s="3192"/>
      <c r="F29" s="3193"/>
      <c r="G29" s="3193"/>
      <c r="H29" s="3200"/>
      <c r="I29" s="3403">
        <v>9</v>
      </c>
      <c r="J29" s="3184">
        <v>107</v>
      </c>
      <c r="K29" s="3184">
        <v>63.63</v>
      </c>
      <c r="L29" s="3402">
        <f>SUM(K29:K35)</f>
        <v>1205.21</v>
      </c>
      <c r="M29" s="3402"/>
      <c r="N29" s="3184">
        <v>103</v>
      </c>
      <c r="O29" s="3184">
        <v>21.6</v>
      </c>
      <c r="P29" s="3755"/>
      <c r="Q29" s="3201"/>
      <c r="R29" s="3202"/>
      <c r="S29" s="3202"/>
      <c r="T29" s="3203"/>
      <c r="U29" s="3208"/>
    </row>
    <row r="30" spans="1:36" s="3183" customFormat="1" ht="14.25">
      <c r="A30" s="3402"/>
      <c r="B30" s="3188">
        <v>-102</v>
      </c>
      <c r="C30" s="3184">
        <v>66.31</v>
      </c>
      <c r="D30" s="3755"/>
      <c r="E30" s="3192"/>
      <c r="F30" s="3193"/>
      <c r="G30" s="3193"/>
      <c r="H30" s="3200"/>
      <c r="I30" s="3403"/>
      <c r="J30" s="3184">
        <v>108</v>
      </c>
      <c r="K30" s="3184">
        <v>8.3000000000000007</v>
      </c>
      <c r="L30" s="3402"/>
      <c r="M30" s="3402"/>
      <c r="N30" s="3184">
        <v>201</v>
      </c>
      <c r="O30" s="3184">
        <v>592.95000000000005</v>
      </c>
      <c r="P30" s="3755"/>
      <c r="Q30" s="3201"/>
      <c r="R30" s="3202"/>
      <c r="S30" s="3202"/>
      <c r="T30" s="3203"/>
      <c r="U30" s="3208"/>
    </row>
    <row r="31" spans="1:36" s="3183" customFormat="1" ht="14.25">
      <c r="A31" s="3402"/>
      <c r="B31" s="3188">
        <v>-105</v>
      </c>
      <c r="C31" s="3184">
        <v>76.89</v>
      </c>
      <c r="D31" s="3755"/>
      <c r="E31" s="3192"/>
      <c r="F31" s="3193"/>
      <c r="G31" s="3193"/>
      <c r="H31" s="3200"/>
      <c r="I31" s="3403"/>
      <c r="J31" s="3184">
        <v>109</v>
      </c>
      <c r="K31" s="3184">
        <v>22.91</v>
      </c>
      <c r="L31" s="3402"/>
      <c r="M31" s="3402"/>
      <c r="N31" s="3184">
        <v>301</v>
      </c>
      <c r="O31" s="3184">
        <v>580.24</v>
      </c>
      <c r="P31" s="3755"/>
      <c r="Q31" s="3201"/>
      <c r="R31" s="3202"/>
      <c r="S31" s="3202"/>
      <c r="T31" s="3203"/>
      <c r="U31" s="3208"/>
    </row>
    <row r="32" spans="1:36" s="3183" customFormat="1" ht="14.25">
      <c r="A32" s="3402">
        <v>6</v>
      </c>
      <c r="B32" s="3184">
        <v>101</v>
      </c>
      <c r="C32" s="3184">
        <v>18.260000000000002</v>
      </c>
      <c r="D32" s="3755">
        <f>SUM(C32:C37)</f>
        <v>196.46</v>
      </c>
      <c r="E32" s="3192"/>
      <c r="F32" s="3193"/>
      <c r="G32" s="3193"/>
      <c r="H32" s="3200"/>
      <c r="I32" s="3403"/>
      <c r="J32" s="3184">
        <v>110</v>
      </c>
      <c r="K32" s="3184">
        <v>16.07</v>
      </c>
      <c r="L32" s="3402"/>
      <c r="M32" s="3402"/>
      <c r="N32" s="3184">
        <v>401</v>
      </c>
      <c r="O32" s="3184">
        <v>415.21</v>
      </c>
      <c r="P32" s="3755"/>
      <c r="Q32" s="3201"/>
      <c r="R32" s="3202"/>
      <c r="S32" s="3202"/>
      <c r="T32" s="3203"/>
      <c r="U32" s="3208"/>
    </row>
    <row r="33" spans="1:21" s="3183" customFormat="1" ht="14.25">
      <c r="A33" s="3402"/>
      <c r="B33" s="3184">
        <v>102</v>
      </c>
      <c r="C33" s="3184">
        <v>28.13</v>
      </c>
      <c r="D33" s="3755"/>
      <c r="E33" s="3192"/>
      <c r="F33" s="3193"/>
      <c r="G33" s="3193"/>
      <c r="H33" s="3200"/>
      <c r="I33" s="3403"/>
      <c r="J33" s="3184">
        <v>202</v>
      </c>
      <c r="K33" s="3184">
        <v>354.56</v>
      </c>
      <c r="L33" s="3402"/>
      <c r="M33" s="3756"/>
      <c r="N33" s="3185">
        <v>501</v>
      </c>
      <c r="O33" s="3185">
        <v>443.62</v>
      </c>
      <c r="P33" s="3757"/>
      <c r="Q33" s="3201"/>
      <c r="R33" s="3202"/>
      <c r="S33" s="3202"/>
      <c r="T33" s="3203"/>
      <c r="U33" s="3208"/>
    </row>
    <row r="34" spans="1:21" s="3183" customFormat="1" ht="14.25">
      <c r="A34" s="3402"/>
      <c r="B34" s="3184">
        <v>103</v>
      </c>
      <c r="C34" s="3184">
        <v>32.31</v>
      </c>
      <c r="D34" s="3755"/>
      <c r="E34" s="3192"/>
      <c r="F34" s="3193"/>
      <c r="G34" s="3193"/>
      <c r="H34" s="3200"/>
      <c r="I34" s="3403"/>
      <c r="J34" s="3184">
        <v>302</v>
      </c>
      <c r="K34" s="3184">
        <v>385.18</v>
      </c>
      <c r="L34" s="3755"/>
      <c r="M34" s="3197"/>
      <c r="N34" s="3198"/>
      <c r="O34" s="3198"/>
      <c r="P34" s="3198"/>
      <c r="Q34" s="3192"/>
      <c r="R34" s="3193"/>
      <c r="S34" s="3193"/>
      <c r="T34" s="3200"/>
    </row>
    <row r="35" spans="1:21" s="3183" customFormat="1" ht="14.25">
      <c r="A35" s="3402"/>
      <c r="B35" s="3184">
        <v>104</v>
      </c>
      <c r="C35" s="3184">
        <v>29.65</v>
      </c>
      <c r="D35" s="3755"/>
      <c r="E35" s="3192"/>
      <c r="F35" s="3193"/>
      <c r="G35" s="3193"/>
      <c r="H35" s="3200"/>
      <c r="I35" s="3403"/>
      <c r="J35" s="3184">
        <v>402</v>
      </c>
      <c r="K35" s="3184">
        <v>354.56</v>
      </c>
      <c r="L35" s="3755"/>
      <c r="M35" s="3192"/>
      <c r="N35" s="3193"/>
      <c r="O35" s="3193"/>
      <c r="P35" s="3193"/>
      <c r="Q35" s="3192"/>
      <c r="R35" s="3193"/>
      <c r="S35" s="3193"/>
      <c r="T35" s="3200"/>
    </row>
    <row r="36" spans="1:21" s="3183" customFormat="1" ht="14.25">
      <c r="A36" s="3402"/>
      <c r="B36" s="3184">
        <v>105</v>
      </c>
      <c r="C36" s="3184">
        <v>41.24</v>
      </c>
      <c r="D36" s="3755"/>
      <c r="E36" s="3192"/>
      <c r="F36" s="3193"/>
      <c r="G36" s="3193"/>
      <c r="H36" s="3200"/>
      <c r="I36" s="3403">
        <v>10</v>
      </c>
      <c r="J36" s="3184">
        <v>112</v>
      </c>
      <c r="K36" s="3184">
        <v>49.13</v>
      </c>
      <c r="L36" s="3755">
        <f>SUM(K36:K42)</f>
        <v>1644.5300000000002</v>
      </c>
      <c r="M36" s="3192"/>
      <c r="N36" s="3193"/>
      <c r="O36" s="3193"/>
      <c r="P36" s="3193"/>
      <c r="Q36" s="3192"/>
      <c r="R36" s="3193"/>
      <c r="S36" s="3193"/>
      <c r="T36" s="3200"/>
    </row>
    <row r="37" spans="1:21" s="3183" customFormat="1" ht="14.25">
      <c r="A37" s="3402"/>
      <c r="B37" s="3184">
        <v>106</v>
      </c>
      <c r="C37" s="3184">
        <v>46.87</v>
      </c>
      <c r="D37" s="3755"/>
      <c r="E37" s="3192"/>
      <c r="F37" s="3193"/>
      <c r="G37" s="3193"/>
      <c r="H37" s="3200"/>
      <c r="I37" s="3403"/>
      <c r="J37" s="3184">
        <v>113</v>
      </c>
      <c r="K37" s="3184">
        <v>126.59</v>
      </c>
      <c r="L37" s="3755"/>
      <c r="M37" s="3192"/>
      <c r="N37" s="3193"/>
      <c r="O37" s="3193"/>
      <c r="P37" s="3193"/>
      <c r="Q37" s="3192"/>
      <c r="R37" s="3193"/>
      <c r="S37" s="3193"/>
      <c r="T37" s="3200"/>
    </row>
    <row r="38" spans="1:21" s="3183" customFormat="1" ht="14.25">
      <c r="A38" s="3402">
        <v>7</v>
      </c>
      <c r="B38" s="3184">
        <v>101</v>
      </c>
      <c r="C38" s="3184">
        <v>51.47</v>
      </c>
      <c r="D38" s="3755">
        <f>SUM(C38:C44)</f>
        <v>475.17</v>
      </c>
      <c r="E38" s="3192"/>
      <c r="F38" s="3193"/>
      <c r="G38" s="3193"/>
      <c r="H38" s="3200"/>
      <c r="I38" s="3403"/>
      <c r="J38" s="3184">
        <v>114</v>
      </c>
      <c r="K38" s="3184">
        <v>8.56</v>
      </c>
      <c r="L38" s="3755"/>
      <c r="M38" s="3192"/>
      <c r="N38" s="3193"/>
      <c r="O38" s="3193"/>
      <c r="P38" s="3193"/>
      <c r="Q38" s="3192"/>
      <c r="R38" s="3193"/>
      <c r="S38" s="3193"/>
      <c r="T38" s="3200"/>
    </row>
    <row r="39" spans="1:21" s="3183" customFormat="1" ht="14.25">
      <c r="A39" s="3402"/>
      <c r="B39" s="3184">
        <v>102</v>
      </c>
      <c r="C39" s="3184">
        <v>68.25</v>
      </c>
      <c r="D39" s="3755"/>
      <c r="E39" s="3192"/>
      <c r="F39" s="3193"/>
      <c r="G39" s="3193"/>
      <c r="H39" s="3200"/>
      <c r="I39" s="3403"/>
      <c r="J39" s="3184">
        <v>115</v>
      </c>
      <c r="K39" s="3184">
        <v>28.54</v>
      </c>
      <c r="L39" s="3755"/>
      <c r="M39" s="3192"/>
      <c r="N39" s="3193"/>
      <c r="O39" s="3193"/>
      <c r="P39" s="3193"/>
      <c r="Q39" s="3192"/>
      <c r="R39" s="3193"/>
      <c r="S39" s="3193"/>
      <c r="T39" s="3200"/>
    </row>
    <row r="40" spans="1:21" s="3183" customFormat="1" ht="14.25">
      <c r="A40" s="3402"/>
      <c r="B40" s="3184">
        <v>103</v>
      </c>
      <c r="C40" s="3184">
        <v>46.83</v>
      </c>
      <c r="D40" s="3755"/>
      <c r="E40" s="3192"/>
      <c r="F40" s="3193"/>
      <c r="G40" s="3193"/>
      <c r="H40" s="3200"/>
      <c r="I40" s="3403"/>
      <c r="J40" s="3184">
        <v>203</v>
      </c>
      <c r="K40" s="3184">
        <v>485.92</v>
      </c>
      <c r="L40" s="3755"/>
      <c r="M40" s="3192"/>
      <c r="N40" s="3193"/>
      <c r="O40" s="3193"/>
      <c r="P40" s="3193"/>
      <c r="Q40" s="3192"/>
      <c r="R40" s="3193"/>
      <c r="S40" s="3193"/>
      <c r="T40" s="3200"/>
    </row>
    <row r="41" spans="1:21" s="3183" customFormat="1" ht="14.25">
      <c r="A41" s="3402"/>
      <c r="B41" s="3184">
        <v>-101</v>
      </c>
      <c r="C41" s="3184">
        <v>45.38</v>
      </c>
      <c r="D41" s="3755"/>
      <c r="E41" s="3192"/>
      <c r="F41" s="3193"/>
      <c r="G41" s="3193"/>
      <c r="H41" s="3200"/>
      <c r="I41" s="3403"/>
      <c r="J41" s="3184">
        <v>303</v>
      </c>
      <c r="K41" s="3184">
        <v>500.94</v>
      </c>
      <c r="L41" s="3755"/>
      <c r="M41" s="3192"/>
      <c r="N41" s="3193"/>
      <c r="O41" s="3193"/>
      <c r="P41" s="3193"/>
      <c r="Q41" s="3192"/>
      <c r="R41" s="3193"/>
      <c r="S41" s="3193"/>
      <c r="T41" s="3200"/>
    </row>
    <row r="42" spans="1:21" s="3183" customFormat="1" ht="14.25">
      <c r="A42" s="3402"/>
      <c r="B42" s="3184">
        <v>-102</v>
      </c>
      <c r="C42" s="3184">
        <v>67.63</v>
      </c>
      <c r="D42" s="3755"/>
      <c r="E42" s="3192"/>
      <c r="F42" s="3193"/>
      <c r="G42" s="3193"/>
      <c r="H42" s="3200"/>
      <c r="I42" s="3758"/>
      <c r="J42" s="3185">
        <v>403</v>
      </c>
      <c r="K42" s="3185">
        <v>444.85</v>
      </c>
      <c r="L42" s="3757"/>
      <c r="M42" s="3192"/>
      <c r="N42" s="3193"/>
      <c r="O42" s="3193"/>
      <c r="P42" s="3193"/>
      <c r="Q42" s="3192"/>
      <c r="R42" s="3193"/>
      <c r="S42" s="3193"/>
      <c r="T42" s="3200"/>
    </row>
    <row r="43" spans="1:21" s="3183" customFormat="1" ht="14.25">
      <c r="A43" s="3402"/>
      <c r="B43" s="3184">
        <v>-103</v>
      </c>
      <c r="C43" s="3184">
        <v>127.16</v>
      </c>
      <c r="D43" s="3755"/>
      <c r="E43" s="3192"/>
      <c r="F43" s="3193"/>
      <c r="G43" s="3193"/>
      <c r="H43" s="3193"/>
      <c r="I43" s="3197"/>
      <c r="J43" s="3198"/>
      <c r="K43" s="3198"/>
      <c r="L43" s="3198"/>
      <c r="M43" s="3192"/>
      <c r="N43" s="3193"/>
      <c r="O43" s="3193"/>
      <c r="P43" s="3193"/>
      <c r="Q43" s="3192"/>
      <c r="R43" s="3193"/>
      <c r="S43" s="3193"/>
      <c r="T43" s="3200"/>
    </row>
    <row r="44" spans="1:21" s="3183" customFormat="1" ht="14.25">
      <c r="A44" s="3402"/>
      <c r="B44" s="3184">
        <v>-104</v>
      </c>
      <c r="C44" s="3184">
        <v>68.45</v>
      </c>
      <c r="D44" s="3755"/>
      <c r="E44" s="3192"/>
      <c r="F44" s="3193"/>
      <c r="G44" s="3193"/>
      <c r="H44" s="3193"/>
      <c r="I44" s="3192"/>
      <c r="J44" s="3193"/>
      <c r="K44" s="3193"/>
      <c r="L44" s="3193"/>
      <c r="M44" s="3192"/>
      <c r="N44" s="3193"/>
      <c r="O44" s="3193"/>
      <c r="P44" s="3193"/>
      <c r="Q44" s="3192"/>
      <c r="R44" s="3193"/>
      <c r="S44" s="3193"/>
      <c r="T44" s="3200"/>
    </row>
    <row r="45" spans="1:21" s="3183" customFormat="1" ht="14.25">
      <c r="A45" s="3402">
        <v>8</v>
      </c>
      <c r="B45" s="3184">
        <v>-101</v>
      </c>
      <c r="C45" s="3184">
        <v>37.880000000000003</v>
      </c>
      <c r="D45" s="3755">
        <f>SUM(C45:C47)</f>
        <v>184.71</v>
      </c>
      <c r="E45" s="3192"/>
      <c r="F45" s="3193"/>
      <c r="G45" s="3193"/>
      <c r="H45" s="3193"/>
      <c r="I45" s="3192"/>
      <c r="J45" s="3193"/>
      <c r="K45" s="3193"/>
      <c r="L45" s="3193"/>
      <c r="M45" s="3192"/>
      <c r="N45" s="3193"/>
      <c r="O45" s="3193"/>
      <c r="P45" s="3193"/>
      <c r="Q45" s="3192"/>
      <c r="R45" s="3193"/>
      <c r="S45" s="3193"/>
      <c r="T45" s="3200"/>
    </row>
    <row r="46" spans="1:21" s="3183" customFormat="1" ht="14.25">
      <c r="A46" s="3402"/>
      <c r="B46" s="3184">
        <v>-102</v>
      </c>
      <c r="C46" s="3184">
        <v>67.989999999999995</v>
      </c>
      <c r="D46" s="3755"/>
      <c r="E46" s="3192"/>
      <c r="F46" s="3193"/>
      <c r="G46" s="3193"/>
      <c r="H46" s="3193"/>
      <c r="I46" s="3192"/>
      <c r="J46" s="3193"/>
      <c r="K46" s="3193"/>
      <c r="L46" s="3193"/>
      <c r="M46" s="3192"/>
      <c r="N46" s="3193"/>
      <c r="O46" s="3193"/>
      <c r="P46" s="3193"/>
      <c r="Q46" s="3192"/>
      <c r="R46" s="3193"/>
      <c r="S46" s="3193"/>
      <c r="T46" s="3200"/>
    </row>
    <row r="47" spans="1:21" s="3183" customFormat="1" ht="14.25">
      <c r="A47" s="3402"/>
      <c r="B47" s="3184">
        <v>-105</v>
      </c>
      <c r="C47" s="3184">
        <v>78.84</v>
      </c>
      <c r="D47" s="3755"/>
      <c r="E47" s="3204"/>
      <c r="F47" s="3205"/>
      <c r="G47" s="3205"/>
      <c r="H47" s="3205"/>
      <c r="I47" s="3204"/>
      <c r="J47" s="3205"/>
      <c r="K47" s="3205"/>
      <c r="L47" s="3205"/>
      <c r="M47" s="3204"/>
      <c r="N47" s="3205"/>
      <c r="O47" s="3205"/>
      <c r="P47" s="3205"/>
      <c r="Q47" s="3204"/>
      <c r="R47" s="3205"/>
      <c r="S47" s="3205"/>
      <c r="T47" s="3206"/>
    </row>
    <row r="48" spans="1:21" s="3183" customFormat="1" ht="14.25">
      <c r="A48" s="3402" t="s">
        <v>37</v>
      </c>
      <c r="B48" s="3402"/>
      <c r="C48" s="3402">
        <f>SUM(C4:C47)</f>
        <v>2353.7599999999998</v>
      </c>
      <c r="D48" s="3402"/>
      <c r="E48" s="3402" t="s">
        <v>37</v>
      </c>
      <c r="F48" s="3402"/>
      <c r="G48" s="3402">
        <f>SUM(G4:G24)</f>
        <v>5661.1</v>
      </c>
      <c r="H48" s="3402"/>
      <c r="I48" s="3402" t="s">
        <v>37</v>
      </c>
      <c r="J48" s="3402"/>
      <c r="K48" s="3402">
        <f>SUM(K4:K42)</f>
        <v>15360.169999999996</v>
      </c>
      <c r="L48" s="3402"/>
      <c r="M48" s="3402" t="s">
        <v>37</v>
      </c>
      <c r="N48" s="3402"/>
      <c r="O48" s="3402">
        <f>SUM(O4:O33)</f>
        <v>7575.6499999999987</v>
      </c>
      <c r="P48" s="3402"/>
      <c r="Q48" s="3402" t="s">
        <v>37</v>
      </c>
      <c r="R48" s="3402"/>
      <c r="S48" s="3402">
        <f>SUM(S4:S11)</f>
        <v>62596.38</v>
      </c>
      <c r="T48" s="3402"/>
    </row>
    <row r="49" spans="1:27" s="3183" customFormat="1">
      <c r="A49" s="3754" t="s">
        <v>3531</v>
      </c>
      <c r="B49" s="3754"/>
      <c r="C49" s="3754">
        <f>C48+G48+K48+O48+S48</f>
        <v>93547.06</v>
      </c>
      <c r="D49" s="3754"/>
      <c r="E49" s="3754"/>
      <c r="F49" s="3754"/>
      <c r="G49" s="3754"/>
      <c r="H49" s="3754"/>
      <c r="I49" s="3754"/>
      <c r="J49" s="3754"/>
      <c r="K49" s="3754"/>
      <c r="L49" s="3754"/>
      <c r="M49" s="3754"/>
      <c r="N49" s="3754"/>
      <c r="O49" s="3754"/>
      <c r="P49" s="3754"/>
      <c r="Q49" s="3754"/>
      <c r="R49" s="3754"/>
      <c r="S49" s="3754"/>
      <c r="T49" s="3754"/>
    </row>
    <row r="50" spans="1:27" s="3183" customFormat="1" ht="14.25">
      <c r="A50" s="3752" t="s">
        <v>3532</v>
      </c>
      <c r="B50" s="3752"/>
      <c r="C50" s="3753">
        <f>C49+W20</f>
        <v>99280.04</v>
      </c>
      <c r="D50" s="3753"/>
      <c r="E50" s="3753"/>
      <c r="F50" s="3753"/>
      <c r="G50" s="3753"/>
      <c r="H50" s="3753"/>
      <c r="I50" s="3753"/>
      <c r="J50" s="3753"/>
      <c r="K50" s="3753"/>
      <c r="L50" s="3753"/>
      <c r="M50" s="3753"/>
      <c r="N50" s="3753"/>
      <c r="O50" s="3753"/>
      <c r="P50" s="3753"/>
      <c r="Q50" s="3209"/>
      <c r="R50" s="3209"/>
      <c r="S50" s="3209"/>
      <c r="T50" s="3209"/>
    </row>
    <row r="51" spans="1:27" s="3183" customFormat="1" ht="14.25">
      <c r="A51" s="3752" t="s">
        <v>3533</v>
      </c>
      <c r="B51" s="3752"/>
      <c r="C51" s="3753">
        <f>T4</f>
        <v>62596.38</v>
      </c>
      <c r="D51" s="3753"/>
      <c r="E51" s="3753"/>
      <c r="F51" s="3753"/>
      <c r="G51" s="3753"/>
      <c r="H51" s="3753"/>
      <c r="I51" s="3753"/>
      <c r="J51" s="3753"/>
      <c r="K51" s="3753"/>
      <c r="L51" s="3753"/>
      <c r="M51" s="3753"/>
      <c r="N51" s="3753"/>
      <c r="O51" s="3753"/>
      <c r="P51" s="3753"/>
    </row>
    <row r="52" spans="1:27" s="3183" customFormat="1" ht="14.25">
      <c r="A52" s="3752" t="s">
        <v>3534</v>
      </c>
      <c r="B52" s="3752"/>
      <c r="C52" s="3753">
        <f>C48+W20-AJ12</f>
        <v>4484.74</v>
      </c>
      <c r="D52" s="3753"/>
      <c r="E52" s="3753"/>
      <c r="F52" s="3753"/>
      <c r="G52" s="3753"/>
      <c r="H52" s="3753"/>
      <c r="I52" s="3753"/>
      <c r="J52" s="3753"/>
      <c r="K52" s="3753"/>
      <c r="L52" s="3753"/>
      <c r="M52" s="3753"/>
      <c r="N52" s="3753"/>
      <c r="O52" s="3753"/>
      <c r="P52" s="3753"/>
    </row>
    <row r="53" spans="1:27" s="3183" customFormat="1" ht="14.25">
      <c r="A53" s="3752" t="s">
        <v>3535</v>
      </c>
      <c r="B53" s="3752"/>
      <c r="C53" s="3753">
        <f>G48+K48+O48+AJ12</f>
        <v>32198.919999999995</v>
      </c>
      <c r="D53" s="3753"/>
      <c r="E53" s="3753"/>
      <c r="F53" s="3753"/>
      <c r="G53" s="3753"/>
      <c r="H53" s="3753"/>
      <c r="I53" s="3753"/>
      <c r="J53" s="3753"/>
      <c r="K53" s="3753"/>
      <c r="L53" s="3753"/>
      <c r="M53" s="3753"/>
      <c r="N53" s="3753"/>
      <c r="O53" s="3753"/>
      <c r="P53" s="3753"/>
    </row>
    <row r="54" spans="1:27" s="3183" customFormat="1"/>
    <row r="55" spans="1:27" s="3183" customFormat="1"/>
    <row r="56" spans="1:27" s="3183" customFormat="1">
      <c r="P56" s="3183">
        <f>C49+W20</f>
        <v>99280.04</v>
      </c>
    </row>
    <row r="58" spans="1:27">
      <c r="D58" t="s">
        <v>3542</v>
      </c>
      <c r="E58">
        <v>1</v>
      </c>
      <c r="F58">
        <v>2</v>
      </c>
      <c r="G58">
        <v>3</v>
      </c>
      <c r="H58">
        <v>4</v>
      </c>
      <c r="I58">
        <v>5</v>
      </c>
      <c r="J58">
        <v>-1</v>
      </c>
      <c r="K58">
        <v>-2</v>
      </c>
    </row>
    <row r="59" spans="1:27">
      <c r="A59">
        <f>C170+G78+K74+O74+S65+W87+AA66</f>
        <v>99280.04</v>
      </c>
      <c r="E59">
        <f>C170</f>
        <v>5869.9400000000005</v>
      </c>
      <c r="F59">
        <f>G78</f>
        <v>10739.81</v>
      </c>
      <c r="G59">
        <f>K74</f>
        <v>7933.6599999999989</v>
      </c>
      <c r="H59">
        <f>O74</f>
        <v>8806.1100000000024</v>
      </c>
      <c r="I59">
        <f>S65</f>
        <v>1998.52</v>
      </c>
      <c r="J59">
        <f>W87</f>
        <v>31751.42</v>
      </c>
      <c r="K59">
        <f>AA66</f>
        <v>32180.58</v>
      </c>
      <c r="L59">
        <f>SUM(E59:K59)</f>
        <v>99280.04</v>
      </c>
    </row>
    <row r="61" spans="1:27">
      <c r="B61" t="s">
        <v>3543</v>
      </c>
      <c r="F61" t="s">
        <v>3541</v>
      </c>
      <c r="J61" t="s">
        <v>3544</v>
      </c>
      <c r="N61" t="s">
        <v>3545</v>
      </c>
      <c r="R61" t="s">
        <v>3546</v>
      </c>
      <c r="V61" t="s">
        <v>3548</v>
      </c>
      <c r="Z61" t="s">
        <v>3549</v>
      </c>
    </row>
    <row r="62" spans="1:27" ht="14.25">
      <c r="B62" s="3149">
        <v>101</v>
      </c>
      <c r="C62" s="3149">
        <v>46.37</v>
      </c>
      <c r="F62" s="3149">
        <v>201</v>
      </c>
      <c r="G62" s="3149">
        <v>1038.92</v>
      </c>
      <c r="I62" s="3183"/>
      <c r="J62" s="3184">
        <v>301</v>
      </c>
      <c r="K62" s="3184">
        <v>289.57</v>
      </c>
      <c r="L62" s="3183"/>
      <c r="M62" s="3183"/>
      <c r="N62" s="3184">
        <v>401</v>
      </c>
      <c r="O62" s="3184">
        <v>288.62</v>
      </c>
      <c r="P62" s="3183"/>
      <c r="Q62" s="3183"/>
      <c r="R62" s="3184">
        <v>501</v>
      </c>
      <c r="S62" s="3149">
        <v>729.81</v>
      </c>
      <c r="V62" s="3150">
        <v>-101</v>
      </c>
      <c r="W62" s="3149">
        <v>76.400000000000006</v>
      </c>
      <c r="Z62" s="3149">
        <v>-216</v>
      </c>
      <c r="AA62" s="3149">
        <v>10097.549999999999</v>
      </c>
    </row>
    <row r="63" spans="1:27" ht="14.25">
      <c r="B63" s="3149">
        <v>102</v>
      </c>
      <c r="C63" s="3149">
        <v>41.19</v>
      </c>
      <c r="F63" s="3149">
        <v>201</v>
      </c>
      <c r="G63" s="3149">
        <v>839.49</v>
      </c>
      <c r="I63" s="3183"/>
      <c r="J63" s="3184">
        <v>301</v>
      </c>
      <c r="K63" s="3184">
        <v>364.65</v>
      </c>
      <c r="L63" s="3183"/>
      <c r="M63" s="3183"/>
      <c r="N63" s="3184">
        <v>401</v>
      </c>
      <c r="O63" s="3184">
        <v>323.95999999999998</v>
      </c>
      <c r="P63" s="3183"/>
      <c r="Q63" s="3183"/>
      <c r="R63" s="3185">
        <v>501</v>
      </c>
      <c r="S63" s="3157">
        <v>443.62</v>
      </c>
      <c r="V63" s="3150">
        <v>-104</v>
      </c>
      <c r="W63" s="3149">
        <v>65.89</v>
      </c>
      <c r="Z63" s="3149">
        <v>-247</v>
      </c>
      <c r="AA63" s="3149">
        <v>9572.77</v>
      </c>
    </row>
    <row r="64" spans="1:27" ht="14.25">
      <c r="B64" s="3149">
        <v>103</v>
      </c>
      <c r="C64" s="3149">
        <v>29.63</v>
      </c>
      <c r="F64" s="3149">
        <v>201</v>
      </c>
      <c r="G64" s="3149">
        <v>284.56</v>
      </c>
      <c r="I64" s="3183"/>
      <c r="J64" s="3184">
        <v>301</v>
      </c>
      <c r="K64" s="3184">
        <v>445.43</v>
      </c>
      <c r="L64" s="3183"/>
      <c r="M64" s="3183"/>
      <c r="N64" s="3185">
        <v>401</v>
      </c>
      <c r="O64" s="3185">
        <v>401.14</v>
      </c>
      <c r="P64" s="3183"/>
      <c r="Q64" s="3183"/>
      <c r="R64" s="3184">
        <v>501</v>
      </c>
      <c r="S64" s="3149">
        <v>825.09</v>
      </c>
      <c r="V64" s="3150">
        <v>-105</v>
      </c>
      <c r="W64" s="3149">
        <v>44.23</v>
      </c>
      <c r="Z64" s="3149">
        <v>-259</v>
      </c>
      <c r="AA64" s="3149">
        <v>1676.73</v>
      </c>
    </row>
    <row r="65" spans="2:27" ht="14.25">
      <c r="B65" s="3149">
        <v>104</v>
      </c>
      <c r="C65" s="3149">
        <v>32.25</v>
      </c>
      <c r="F65" s="3149">
        <v>201</v>
      </c>
      <c r="G65" s="3149">
        <v>380.65</v>
      </c>
      <c r="I65" s="3183"/>
      <c r="J65" s="3184">
        <v>301</v>
      </c>
      <c r="K65" s="3184">
        <v>478.6</v>
      </c>
      <c r="L65" s="3183"/>
      <c r="M65" s="3183"/>
      <c r="N65" s="3184">
        <v>401</v>
      </c>
      <c r="O65" s="3184">
        <v>478.52</v>
      </c>
      <c r="P65" s="3183"/>
      <c r="Q65" s="3183"/>
      <c r="R65" s="3183"/>
      <c r="S65">
        <f>SUM(S62:S64)</f>
        <v>1998.52</v>
      </c>
      <c r="V65" s="3150">
        <v>-101</v>
      </c>
      <c r="W65" s="3149">
        <v>78.17</v>
      </c>
      <c r="Z65" s="3149">
        <v>-275</v>
      </c>
      <c r="AA65" s="3149">
        <v>10833.53</v>
      </c>
    </row>
    <row r="66" spans="2:27" ht="14.25">
      <c r="B66" s="3149">
        <v>105</v>
      </c>
      <c r="C66" s="3149">
        <v>28</v>
      </c>
      <c r="F66" s="3149">
        <v>201</v>
      </c>
      <c r="G66" s="3149">
        <v>456.71</v>
      </c>
      <c r="I66" s="3183"/>
      <c r="J66" s="3184">
        <v>301</v>
      </c>
      <c r="K66" s="3184">
        <v>765.57</v>
      </c>
      <c r="L66" s="3183"/>
      <c r="M66" s="3183"/>
      <c r="N66" s="3184">
        <v>401</v>
      </c>
      <c r="O66" s="3184">
        <v>680.75</v>
      </c>
      <c r="P66" s="3183"/>
      <c r="Q66" s="3183"/>
      <c r="R66" s="3183"/>
      <c r="V66" s="3150">
        <v>-104</v>
      </c>
      <c r="W66" s="3149">
        <v>67.42</v>
      </c>
      <c r="AA66">
        <f>SUM(AA62:AA65)</f>
        <v>32180.58</v>
      </c>
    </row>
    <row r="67" spans="2:27" ht="14.25">
      <c r="B67" s="3149">
        <v>106</v>
      </c>
      <c r="C67" s="3149">
        <v>18.579999999999998</v>
      </c>
      <c r="F67" s="3149">
        <v>201</v>
      </c>
      <c r="G67" s="3149">
        <v>478.18</v>
      </c>
      <c r="I67" s="3183"/>
      <c r="J67" s="3184">
        <v>301</v>
      </c>
      <c r="K67" s="3184">
        <v>2065.16</v>
      </c>
      <c r="L67" s="3183"/>
      <c r="M67" s="3183"/>
      <c r="N67" s="3184">
        <v>401</v>
      </c>
      <c r="O67" s="3184">
        <v>3363.01</v>
      </c>
      <c r="P67" s="3183"/>
      <c r="Q67" s="3183"/>
      <c r="R67" s="3183"/>
      <c r="V67" s="3150">
        <v>-105</v>
      </c>
      <c r="W67" s="3149">
        <v>45.25</v>
      </c>
    </row>
    <row r="68" spans="2:27" ht="14.25">
      <c r="B68" s="3149">
        <v>101</v>
      </c>
      <c r="C68" s="3149">
        <v>81.97</v>
      </c>
      <c r="F68" s="3149">
        <v>201</v>
      </c>
      <c r="G68" s="3149">
        <v>748.67</v>
      </c>
      <c r="I68" s="3183"/>
      <c r="J68" s="3184">
        <v>301</v>
      </c>
      <c r="K68" s="3184">
        <v>523.36</v>
      </c>
      <c r="L68" s="3183"/>
      <c r="M68" s="3183"/>
      <c r="N68" s="3184">
        <v>401</v>
      </c>
      <c r="O68" s="3184">
        <v>465.77</v>
      </c>
      <c r="P68" s="3183"/>
      <c r="Q68" s="3183"/>
      <c r="R68" s="3183"/>
      <c r="V68" s="3150">
        <v>-101</v>
      </c>
      <c r="W68" s="3149">
        <v>42.96</v>
      </c>
    </row>
    <row r="69" spans="2:27" ht="14.25">
      <c r="B69" s="3149">
        <v>102</v>
      </c>
      <c r="C69" s="3149">
        <v>31.3</v>
      </c>
      <c r="F69" s="3149">
        <v>201</v>
      </c>
      <c r="G69" s="3149">
        <v>1175.9000000000001</v>
      </c>
      <c r="I69" s="3183"/>
      <c r="J69" s="3184">
        <v>302</v>
      </c>
      <c r="K69" s="3184">
        <v>385.18</v>
      </c>
      <c r="L69" s="3183"/>
      <c r="M69" s="3183"/>
      <c r="N69" s="3184">
        <v>402</v>
      </c>
      <c r="O69" s="3184">
        <v>354.56</v>
      </c>
      <c r="P69" s="3183"/>
      <c r="Q69" s="3183"/>
      <c r="R69" s="3183"/>
      <c r="V69" s="3150">
        <v>-102</v>
      </c>
      <c r="W69" s="3149">
        <v>49.03</v>
      </c>
    </row>
    <row r="70" spans="2:27" ht="14.25">
      <c r="B70" s="3149">
        <v>103</v>
      </c>
      <c r="C70" s="3149">
        <v>84.05</v>
      </c>
      <c r="F70" s="3149">
        <v>201</v>
      </c>
      <c r="G70" s="3149">
        <v>523.98</v>
      </c>
      <c r="I70" s="3183"/>
      <c r="J70" s="3184">
        <v>303</v>
      </c>
      <c r="K70" s="3184">
        <v>500.94</v>
      </c>
      <c r="L70" s="3183"/>
      <c r="M70" s="3183"/>
      <c r="N70" s="3185">
        <v>403</v>
      </c>
      <c r="O70" s="3185">
        <v>444.85</v>
      </c>
      <c r="P70" s="3183"/>
      <c r="Q70" s="3183"/>
      <c r="R70" s="3183"/>
      <c r="V70" s="3150">
        <v>-103</v>
      </c>
      <c r="W70" s="3149">
        <v>49.03</v>
      </c>
    </row>
    <row r="71" spans="2:27" ht="14.25">
      <c r="B71" s="3149">
        <v>101</v>
      </c>
      <c r="C71" s="3149">
        <v>45.95</v>
      </c>
      <c r="F71" s="3149">
        <v>202</v>
      </c>
      <c r="G71" s="3149">
        <v>354.56</v>
      </c>
      <c r="I71" s="3183"/>
      <c r="J71" s="3184">
        <v>301</v>
      </c>
      <c r="K71" s="3184">
        <v>624.51</v>
      </c>
      <c r="L71" s="3183"/>
      <c r="M71" s="3183"/>
      <c r="N71" s="3184">
        <v>401</v>
      </c>
      <c r="O71" s="3184">
        <v>746.56</v>
      </c>
      <c r="P71" s="3183"/>
      <c r="Q71" s="3183"/>
      <c r="R71" s="3183"/>
      <c r="V71" s="3150">
        <v>-104</v>
      </c>
      <c r="W71" s="3149">
        <v>45.26</v>
      </c>
    </row>
    <row r="72" spans="2:27" ht="14.25">
      <c r="B72" s="3149">
        <v>102</v>
      </c>
      <c r="C72" s="3149">
        <v>68.989999999999995</v>
      </c>
      <c r="F72" s="3149">
        <v>203</v>
      </c>
      <c r="G72" s="3149">
        <v>485.92</v>
      </c>
      <c r="I72" s="3183"/>
      <c r="J72" s="3184">
        <v>301</v>
      </c>
      <c r="K72" s="3184">
        <v>580.24</v>
      </c>
      <c r="L72" s="3183"/>
      <c r="M72" s="3183"/>
      <c r="N72" s="3184">
        <v>401</v>
      </c>
      <c r="O72" s="3184">
        <v>415.21</v>
      </c>
      <c r="P72" s="3183"/>
      <c r="Q72" s="3183"/>
      <c r="R72" s="3183"/>
      <c r="V72" s="3150">
        <v>-105</v>
      </c>
      <c r="W72" s="3149">
        <v>90.91</v>
      </c>
    </row>
    <row r="73" spans="2:27" ht="14.25">
      <c r="B73" s="3149">
        <v>103</v>
      </c>
      <c r="C73" s="3149">
        <v>31.91</v>
      </c>
      <c r="F73" s="3149">
        <v>201</v>
      </c>
      <c r="G73" s="3149">
        <v>935.36</v>
      </c>
      <c r="I73" s="3183"/>
      <c r="J73" s="3184">
        <v>301</v>
      </c>
      <c r="K73" s="3184">
        <v>910.45</v>
      </c>
      <c r="L73" s="3183"/>
      <c r="M73" s="3183"/>
      <c r="N73" s="3184">
        <v>401</v>
      </c>
      <c r="O73" s="3184">
        <v>843.16</v>
      </c>
      <c r="P73" s="3183"/>
      <c r="Q73" s="3183"/>
      <c r="R73" s="3183"/>
      <c r="V73" s="3150">
        <v>-101</v>
      </c>
      <c r="W73" s="3149">
        <v>44.54</v>
      </c>
    </row>
    <row r="74" spans="2:27" ht="14.25">
      <c r="B74" s="3149">
        <v>104</v>
      </c>
      <c r="C74" s="3149">
        <v>68.989999999999995</v>
      </c>
      <c r="F74" s="3149">
        <v>202</v>
      </c>
      <c r="G74" s="3149">
        <v>991.13</v>
      </c>
      <c r="I74" s="3183"/>
      <c r="J74" s="3183"/>
      <c r="K74" s="3183">
        <f>SUM(K62:K73)</f>
        <v>7933.6599999999989</v>
      </c>
      <c r="L74" s="3183"/>
      <c r="M74" s="3183"/>
      <c r="N74" s="3183"/>
      <c r="O74" s="3183">
        <f>SUM(O62:O73)</f>
        <v>8806.1100000000024</v>
      </c>
      <c r="P74" s="3183"/>
      <c r="Q74" s="3183"/>
      <c r="R74" s="3183"/>
      <c r="V74" s="3150">
        <v>-102</v>
      </c>
      <c r="W74" s="3149">
        <v>66.31</v>
      </c>
    </row>
    <row r="75" spans="2:27" ht="14.25">
      <c r="B75" s="3149">
        <v>105</v>
      </c>
      <c r="C75" s="3149">
        <v>45.95</v>
      </c>
      <c r="F75" s="3149">
        <v>201</v>
      </c>
      <c r="G75" s="3149">
        <v>562.57000000000005</v>
      </c>
      <c r="I75" s="3183"/>
      <c r="J75" s="3183"/>
      <c r="K75" s="3183"/>
      <c r="L75" s="3183"/>
      <c r="M75" s="3183"/>
      <c r="N75" s="3183"/>
      <c r="O75" s="3183"/>
      <c r="P75" s="3183"/>
      <c r="Q75" s="3183"/>
      <c r="R75" s="3183"/>
      <c r="V75" s="3150">
        <v>-105</v>
      </c>
      <c r="W75" s="3149">
        <v>76.89</v>
      </c>
    </row>
    <row r="76" spans="2:27" ht="14.25">
      <c r="B76" s="3149">
        <v>101</v>
      </c>
      <c r="C76" s="3149">
        <v>18.260000000000002</v>
      </c>
      <c r="F76" s="3149">
        <v>201</v>
      </c>
      <c r="G76" s="3149">
        <v>592.95000000000005</v>
      </c>
      <c r="V76" s="3149">
        <v>-101</v>
      </c>
      <c r="W76" s="3149">
        <v>45.38</v>
      </c>
    </row>
    <row r="77" spans="2:27" ht="14.25">
      <c r="B77" s="3149">
        <v>102</v>
      </c>
      <c r="C77" s="3149">
        <v>28.13</v>
      </c>
      <c r="F77" s="3149">
        <v>201</v>
      </c>
      <c r="G77" s="3149">
        <v>890.26</v>
      </c>
      <c r="V77" s="3149">
        <v>-102</v>
      </c>
      <c r="W77" s="3149">
        <v>67.63</v>
      </c>
    </row>
    <row r="78" spans="2:27" ht="14.25">
      <c r="B78" s="3149">
        <v>103</v>
      </c>
      <c r="C78" s="3149">
        <v>32.31</v>
      </c>
      <c r="G78">
        <f>SUM(G62:G77)</f>
        <v>10739.81</v>
      </c>
      <c r="V78" s="3149">
        <v>-103</v>
      </c>
      <c r="W78" s="3149">
        <v>127.16</v>
      </c>
    </row>
    <row r="79" spans="2:27" ht="14.25">
      <c r="B79" s="3149">
        <v>104</v>
      </c>
      <c r="C79" s="3149">
        <v>29.65</v>
      </c>
      <c r="L79" s="3084" t="s">
        <v>3338</v>
      </c>
      <c r="M79" s="3084" t="s">
        <v>3059</v>
      </c>
      <c r="V79" s="3149">
        <v>-104</v>
      </c>
      <c r="W79" s="3149">
        <v>68.45</v>
      </c>
    </row>
    <row r="80" spans="2:27" ht="14.25">
      <c r="B80" s="3149">
        <v>105</v>
      </c>
      <c r="C80" s="3149">
        <v>41.24</v>
      </c>
      <c r="L80" s="3735" t="s">
        <v>3335</v>
      </c>
      <c r="M80" s="3144" t="s">
        <v>3339</v>
      </c>
      <c r="V80" s="3149">
        <v>-101</v>
      </c>
      <c r="W80" s="3149">
        <v>37.880000000000003</v>
      </c>
    </row>
    <row r="81" spans="2:23" ht="14.25">
      <c r="B81" s="3149">
        <v>106</v>
      </c>
      <c r="C81" s="3149">
        <v>46.87</v>
      </c>
      <c r="L81" s="3735"/>
      <c r="M81" s="3144" t="s">
        <v>3340</v>
      </c>
      <c r="V81" s="3149">
        <v>-102</v>
      </c>
      <c r="W81" s="3149">
        <v>67.989999999999995</v>
      </c>
    </row>
    <row r="82" spans="2:23" ht="14.25">
      <c r="B82" s="3149">
        <v>101</v>
      </c>
      <c r="C82" s="3149">
        <v>51.47</v>
      </c>
      <c r="L82" s="3735"/>
      <c r="M82" s="3144" t="s">
        <v>3341</v>
      </c>
      <c r="V82" s="3149">
        <v>-105</v>
      </c>
      <c r="W82" s="3149">
        <v>78.84</v>
      </c>
    </row>
    <row r="83" spans="2:23" ht="14.25" customHeight="1">
      <c r="B83" s="3149">
        <v>102</v>
      </c>
      <c r="C83" s="3149">
        <v>68.25</v>
      </c>
      <c r="L83" s="3735"/>
      <c r="M83" s="3144" t="s">
        <v>3342</v>
      </c>
      <c r="V83" s="3149">
        <v>-109</v>
      </c>
      <c r="W83" s="3149">
        <v>10478.68</v>
      </c>
    </row>
    <row r="84" spans="2:23" ht="14.25">
      <c r="B84" s="3149">
        <v>103</v>
      </c>
      <c r="C84" s="3149">
        <v>46.83</v>
      </c>
      <c r="L84" s="3735"/>
      <c r="M84" s="3144" t="s">
        <v>3343</v>
      </c>
      <c r="V84" s="3149">
        <v>-134</v>
      </c>
      <c r="W84" s="3149">
        <v>8899.18</v>
      </c>
    </row>
    <row r="85" spans="2:23" ht="14.25">
      <c r="B85" s="3149">
        <v>101</v>
      </c>
      <c r="C85" s="3149">
        <v>28</v>
      </c>
      <c r="L85" s="3084" t="s">
        <v>3346</v>
      </c>
      <c r="M85" s="3143"/>
      <c r="V85" s="3149">
        <v>-142</v>
      </c>
      <c r="W85" s="3149">
        <v>1599.34</v>
      </c>
    </row>
    <row r="86" spans="2:23" ht="14.25">
      <c r="B86" s="3149">
        <v>102</v>
      </c>
      <c r="C86" s="3149">
        <v>27.52</v>
      </c>
      <c r="L86" s="3735" t="s">
        <v>3347</v>
      </c>
      <c r="M86" s="3144" t="s">
        <v>3339</v>
      </c>
      <c r="V86" s="3149">
        <v>-157</v>
      </c>
      <c r="W86" s="3149">
        <v>9438.6</v>
      </c>
    </row>
    <row r="87" spans="2:23" ht="14.25">
      <c r="B87" s="3149">
        <v>101</v>
      </c>
      <c r="C87" s="3149">
        <v>5.31</v>
      </c>
      <c r="L87" s="3735"/>
      <c r="M87" s="3144" t="s">
        <v>3344</v>
      </c>
      <c r="W87">
        <f>SUM(W62:W86)</f>
        <v>31751.42</v>
      </c>
    </row>
    <row r="88" spans="2:23" ht="14.25">
      <c r="B88" s="3149">
        <v>101</v>
      </c>
      <c r="C88" s="3149">
        <v>109.36</v>
      </c>
      <c r="L88" s="3084" t="s">
        <v>3346</v>
      </c>
      <c r="M88" s="3143"/>
    </row>
    <row r="89" spans="2:23" ht="14.25">
      <c r="B89" s="3149">
        <v>103</v>
      </c>
      <c r="C89" s="3149">
        <v>48.49</v>
      </c>
      <c r="L89" s="3735" t="s">
        <v>3348</v>
      </c>
      <c r="M89" s="3144" t="s">
        <v>3517</v>
      </c>
    </row>
    <row r="90" spans="2:23" ht="14.25">
      <c r="B90" s="3149">
        <v>101</v>
      </c>
      <c r="C90" s="3149">
        <v>103.15</v>
      </c>
      <c r="L90" s="3735"/>
      <c r="M90" s="3144" t="s">
        <v>3341</v>
      </c>
    </row>
    <row r="91" spans="2:23" ht="14.25">
      <c r="B91" s="3149">
        <v>103</v>
      </c>
      <c r="C91" s="3149">
        <v>38.21</v>
      </c>
      <c r="L91" s="3735"/>
      <c r="M91" s="3144" t="s">
        <v>3342</v>
      </c>
    </row>
    <row r="92" spans="2:23" ht="14.25" customHeight="1">
      <c r="B92" s="3149">
        <v>104</v>
      </c>
      <c r="C92" s="3149">
        <v>45.04</v>
      </c>
      <c r="L92" s="3084" t="s">
        <v>3346</v>
      </c>
      <c r="M92" s="3143"/>
    </row>
    <row r="93" spans="2:23" ht="14.25">
      <c r="B93" s="3149">
        <v>101</v>
      </c>
      <c r="C93" s="3149">
        <v>77</v>
      </c>
      <c r="L93" s="3735" t="s">
        <v>3349</v>
      </c>
      <c r="M93" s="3144" t="s">
        <v>3344</v>
      </c>
    </row>
    <row r="94" spans="2:23" ht="14.25">
      <c r="B94" s="3149">
        <v>102</v>
      </c>
      <c r="C94" s="3149">
        <v>65.319999999999993</v>
      </c>
      <c r="L94" s="3735"/>
      <c r="M94" s="3144" t="s">
        <v>3345</v>
      </c>
    </row>
    <row r="95" spans="2:23" ht="14.25">
      <c r="B95" s="3149">
        <v>101</v>
      </c>
      <c r="C95" s="3149">
        <v>22.08</v>
      </c>
      <c r="L95" s="3084" t="s">
        <v>3346</v>
      </c>
      <c r="M95" s="3143"/>
    </row>
    <row r="96" spans="2:23" ht="14.25" customHeight="1">
      <c r="B96" s="3149">
        <v>102</v>
      </c>
      <c r="C96" s="3149">
        <v>128.94999999999999</v>
      </c>
      <c r="L96" s="3084" t="s">
        <v>3081</v>
      </c>
      <c r="M96" s="3143"/>
    </row>
    <row r="97" spans="2:12" ht="14.25">
      <c r="B97" s="3149">
        <v>104</v>
      </c>
      <c r="C97" s="3149">
        <v>135.4</v>
      </c>
      <c r="L97" s="3751"/>
    </row>
    <row r="98" spans="2:12" ht="14.25">
      <c r="B98" s="3149">
        <v>105</v>
      </c>
      <c r="C98" s="3149">
        <v>61.94</v>
      </c>
      <c r="L98" s="3751"/>
    </row>
    <row r="99" spans="2:12" ht="14.25">
      <c r="B99" s="3149">
        <v>102</v>
      </c>
      <c r="C99" s="3149">
        <v>62.98</v>
      </c>
      <c r="L99" s="3751"/>
    </row>
    <row r="100" spans="2:12" ht="14.25">
      <c r="B100" s="3149">
        <v>104</v>
      </c>
      <c r="C100" s="3149">
        <v>44.73</v>
      </c>
      <c r="L100" s="3751"/>
    </row>
    <row r="101" spans="2:12" ht="14.25">
      <c r="B101" s="3149">
        <v>105</v>
      </c>
      <c r="C101" s="3149">
        <v>63.12</v>
      </c>
      <c r="L101" s="3751"/>
    </row>
    <row r="102" spans="2:12" ht="14.25">
      <c r="B102" s="3149">
        <v>106</v>
      </c>
      <c r="C102" s="3149">
        <v>64.400000000000006</v>
      </c>
      <c r="L102" s="3751"/>
    </row>
    <row r="103" spans="2:12" ht="14.25">
      <c r="B103" s="3149">
        <v>107</v>
      </c>
      <c r="C103" s="3149">
        <v>15.85</v>
      </c>
      <c r="L103" s="3751"/>
    </row>
    <row r="104" spans="2:12" ht="14.25">
      <c r="B104" s="3149">
        <v>101</v>
      </c>
      <c r="C104" s="3149">
        <v>8.8800000000000008</v>
      </c>
    </row>
    <row r="105" spans="2:12" ht="14.25">
      <c r="B105" s="3149">
        <v>102</v>
      </c>
      <c r="C105" s="3149">
        <v>46.33</v>
      </c>
    </row>
    <row r="106" spans="2:12" ht="14.25">
      <c r="B106" s="3149">
        <v>104</v>
      </c>
      <c r="C106" s="3149">
        <v>46.64</v>
      </c>
    </row>
    <row r="107" spans="2:12" ht="14.25">
      <c r="B107" s="3149">
        <v>105</v>
      </c>
      <c r="C107" s="3149">
        <v>61.66</v>
      </c>
    </row>
    <row r="108" spans="2:12" ht="14.25">
      <c r="B108" s="3149">
        <v>107</v>
      </c>
      <c r="C108" s="3149">
        <v>63.63</v>
      </c>
    </row>
    <row r="109" spans="2:12" ht="14.25">
      <c r="B109" s="3149">
        <v>108</v>
      </c>
      <c r="C109" s="3149">
        <v>8.3000000000000007</v>
      </c>
    </row>
    <row r="110" spans="2:12" ht="14.25">
      <c r="B110" s="3149">
        <v>109</v>
      </c>
      <c r="C110" s="3149">
        <v>22.91</v>
      </c>
    </row>
    <row r="111" spans="2:12" ht="14.25">
      <c r="B111" s="3149">
        <v>110</v>
      </c>
      <c r="C111" s="3149">
        <v>16.07</v>
      </c>
    </row>
    <row r="112" spans="2:12" ht="14.25">
      <c r="B112" s="3149">
        <v>112</v>
      </c>
      <c r="C112" s="3149">
        <v>49.13</v>
      </c>
    </row>
    <row r="113" spans="2:3" ht="14.25">
      <c r="B113" s="3149">
        <v>113</v>
      </c>
      <c r="C113" s="3149">
        <v>126.59</v>
      </c>
    </row>
    <row r="114" spans="2:3" ht="14.25">
      <c r="B114" s="3149">
        <v>114</v>
      </c>
      <c r="C114" s="3149">
        <v>8.56</v>
      </c>
    </row>
    <row r="115" spans="2:3" ht="14.25">
      <c r="B115" s="3149">
        <v>115</v>
      </c>
      <c r="C115" s="3149">
        <v>28.54</v>
      </c>
    </row>
    <row r="116" spans="2:3" ht="14.25">
      <c r="B116" s="3149">
        <v>101</v>
      </c>
      <c r="C116" s="3149">
        <v>17.66</v>
      </c>
    </row>
    <row r="117" spans="2:3" ht="14.25">
      <c r="B117" s="3149">
        <v>103</v>
      </c>
      <c r="C117" s="3149">
        <v>152.38</v>
      </c>
    </row>
    <row r="118" spans="2:3" ht="14.25">
      <c r="B118" s="3149">
        <v>106</v>
      </c>
      <c r="C118" s="3149">
        <v>16.29</v>
      </c>
    </row>
    <row r="119" spans="2:3" ht="14.25">
      <c r="B119" s="3149">
        <v>107</v>
      </c>
      <c r="C119" s="3149">
        <v>34.81</v>
      </c>
    </row>
    <row r="120" spans="2:3" ht="14.25">
      <c r="B120" s="3149">
        <v>108</v>
      </c>
      <c r="C120" s="3149">
        <v>43.95</v>
      </c>
    </row>
    <row r="121" spans="2:3" ht="14.25">
      <c r="B121" s="3149">
        <v>109</v>
      </c>
      <c r="C121" s="3149">
        <v>10.89</v>
      </c>
    </row>
    <row r="122" spans="2:3" ht="14.25">
      <c r="B122" s="3149">
        <v>110</v>
      </c>
      <c r="C122" s="3149">
        <v>54.63</v>
      </c>
    </row>
    <row r="123" spans="2:3" ht="14.25">
      <c r="B123" s="3149">
        <v>111</v>
      </c>
      <c r="C123" s="3149">
        <v>39.67</v>
      </c>
    </row>
    <row r="124" spans="2:3" ht="14.25">
      <c r="B124" s="3149">
        <v>112</v>
      </c>
      <c r="C124" s="3149">
        <v>33.9</v>
      </c>
    </row>
    <row r="125" spans="2:3" ht="14.25">
      <c r="B125" s="3149">
        <v>113</v>
      </c>
      <c r="C125" s="3149">
        <v>10.86</v>
      </c>
    </row>
    <row r="126" spans="2:3" ht="14.25">
      <c r="B126" s="3149">
        <v>114</v>
      </c>
      <c r="C126" s="3149">
        <v>110.53</v>
      </c>
    </row>
    <row r="127" spans="2:3" ht="14.25">
      <c r="B127" s="3149">
        <v>115</v>
      </c>
      <c r="C127" s="3149">
        <v>7.01</v>
      </c>
    </row>
    <row r="128" spans="2:3" ht="14.25">
      <c r="B128" s="3149">
        <v>116</v>
      </c>
      <c r="C128" s="3149">
        <v>24.83</v>
      </c>
    </row>
    <row r="129" spans="2:3" ht="14.25">
      <c r="B129" s="3149">
        <v>117</v>
      </c>
      <c r="C129" s="3149">
        <v>32.14</v>
      </c>
    </row>
    <row r="130" spans="2:3" ht="14.25">
      <c r="B130" s="3149">
        <v>118</v>
      </c>
      <c r="C130" s="3149">
        <v>154.38</v>
      </c>
    </row>
    <row r="131" spans="2:3" ht="14.25">
      <c r="B131" s="3149">
        <v>101</v>
      </c>
      <c r="C131" s="3149">
        <v>34.56</v>
      </c>
    </row>
    <row r="132" spans="2:3" ht="14.25">
      <c r="B132" s="3149">
        <v>102</v>
      </c>
      <c r="C132" s="3149">
        <v>41.69</v>
      </c>
    </row>
    <row r="133" spans="2:3" ht="14.25">
      <c r="B133" s="3149">
        <v>101</v>
      </c>
      <c r="C133" s="3149">
        <v>76.33</v>
      </c>
    </row>
    <row r="134" spans="2:3" ht="14.25">
      <c r="B134" s="3149">
        <v>102</v>
      </c>
      <c r="C134" s="3149">
        <v>35.58</v>
      </c>
    </row>
    <row r="135" spans="2:3" ht="14.25">
      <c r="B135" s="3149">
        <v>103</v>
      </c>
      <c r="C135" s="3149">
        <v>21.6</v>
      </c>
    </row>
    <row r="136" spans="2:3" ht="14.25">
      <c r="B136" s="3149">
        <v>101</v>
      </c>
      <c r="C136" s="3149">
        <v>45.78</v>
      </c>
    </row>
    <row r="137" spans="2:3" ht="14.25">
      <c r="B137" s="3149">
        <v>102</v>
      </c>
      <c r="C137" s="3149">
        <v>68.84</v>
      </c>
    </row>
    <row r="138" spans="2:3" ht="14.25">
      <c r="B138" s="3149">
        <v>103</v>
      </c>
      <c r="C138" s="3149">
        <v>31.77</v>
      </c>
    </row>
    <row r="139" spans="2:3" ht="14.25">
      <c r="B139" s="3149">
        <v>104</v>
      </c>
      <c r="C139" s="3149">
        <v>68.84</v>
      </c>
    </row>
    <row r="140" spans="2:3" ht="14.25">
      <c r="B140" s="3149">
        <v>105</v>
      </c>
      <c r="C140" s="3149">
        <v>45.78</v>
      </c>
    </row>
    <row r="141" spans="2:3" ht="14.25">
      <c r="B141" s="3149">
        <v>101</v>
      </c>
      <c r="C141" s="3149">
        <v>45.78</v>
      </c>
    </row>
    <row r="142" spans="2:3" ht="14.25">
      <c r="B142" s="3149">
        <v>102</v>
      </c>
      <c r="C142" s="3149">
        <v>68.84</v>
      </c>
    </row>
    <row r="143" spans="2:3" ht="14.25">
      <c r="B143" s="3149">
        <v>103</v>
      </c>
      <c r="C143" s="3149">
        <v>31.77</v>
      </c>
    </row>
    <row r="144" spans="2:3" ht="14.25">
      <c r="B144" s="3149">
        <v>104</v>
      </c>
      <c r="C144" s="3149">
        <v>68.84</v>
      </c>
    </row>
    <row r="145" spans="2:3" ht="14.25">
      <c r="B145" s="3149">
        <v>105</v>
      </c>
      <c r="C145" s="3149">
        <v>45.78</v>
      </c>
    </row>
    <row r="146" spans="2:3" ht="14.25">
      <c r="B146" s="3149">
        <v>101</v>
      </c>
      <c r="C146" s="3149">
        <v>45.95</v>
      </c>
    </row>
    <row r="147" spans="2:3" ht="14.25">
      <c r="B147" s="3149">
        <v>102</v>
      </c>
      <c r="C147" s="3149">
        <v>68.989999999999995</v>
      </c>
    </row>
    <row r="148" spans="2:3" ht="14.25">
      <c r="B148" s="3149">
        <v>103</v>
      </c>
      <c r="C148" s="3149">
        <v>31.91</v>
      </c>
    </row>
    <row r="149" spans="2:3" ht="14.25">
      <c r="B149" s="3149">
        <v>104</v>
      </c>
      <c r="C149" s="3149">
        <v>68.989999999999995</v>
      </c>
    </row>
    <row r="150" spans="2:3" ht="14.25">
      <c r="B150" s="3149">
        <v>105</v>
      </c>
      <c r="C150" s="3149">
        <v>45.95</v>
      </c>
    </row>
    <row r="151" spans="2:3" ht="14.25">
      <c r="B151" s="3149">
        <v>101</v>
      </c>
      <c r="C151" s="3149">
        <v>152.96</v>
      </c>
    </row>
    <row r="152" spans="2:3" ht="14.25">
      <c r="B152" s="3149">
        <v>102</v>
      </c>
      <c r="C152" s="3149">
        <v>93.09</v>
      </c>
    </row>
    <row r="153" spans="2:3" ht="14.25">
      <c r="B153" s="3149">
        <v>103</v>
      </c>
      <c r="C153" s="3149">
        <v>93.09</v>
      </c>
    </row>
    <row r="154" spans="2:3" ht="14.25">
      <c r="B154" s="3149">
        <v>104</v>
      </c>
      <c r="C154" s="3149">
        <v>31.03</v>
      </c>
    </row>
    <row r="155" spans="2:3" ht="14.25">
      <c r="B155" s="3149">
        <v>105</v>
      </c>
      <c r="C155" s="3149">
        <v>31.03</v>
      </c>
    </row>
    <row r="156" spans="2:3" ht="14.25">
      <c r="B156" s="3149">
        <v>106</v>
      </c>
      <c r="C156" s="3149">
        <v>158.32</v>
      </c>
    </row>
    <row r="157" spans="2:3" ht="14.25">
      <c r="B157" s="3149">
        <v>107</v>
      </c>
      <c r="C157" s="3149">
        <v>41.43</v>
      </c>
    </row>
    <row r="158" spans="2:3" ht="14.25">
      <c r="B158" s="3150">
        <v>108</v>
      </c>
      <c r="C158" s="3150">
        <v>57.2</v>
      </c>
    </row>
    <row r="159" spans="2:3" ht="14.25">
      <c r="B159" s="3149">
        <v>101</v>
      </c>
      <c r="C159" s="3149">
        <v>41.43</v>
      </c>
    </row>
    <row r="160" spans="2:3" ht="14.25">
      <c r="B160" s="3149">
        <v>102</v>
      </c>
      <c r="C160" s="3149">
        <v>158.52000000000001</v>
      </c>
    </row>
    <row r="161" spans="2:3" ht="14.25">
      <c r="B161" s="3149">
        <v>103</v>
      </c>
      <c r="C161" s="3149">
        <v>31.03</v>
      </c>
    </row>
    <row r="162" spans="2:3" ht="14.25">
      <c r="B162" s="3149">
        <v>104</v>
      </c>
      <c r="C162" s="3149">
        <v>93.08</v>
      </c>
    </row>
    <row r="163" spans="2:3" ht="14.25">
      <c r="B163" s="3149">
        <v>105</v>
      </c>
      <c r="C163" s="3149">
        <v>93.08</v>
      </c>
    </row>
    <row r="164" spans="2:3" ht="14.25">
      <c r="B164" s="3149">
        <v>106</v>
      </c>
      <c r="C164" s="3149">
        <v>31.03</v>
      </c>
    </row>
    <row r="165" spans="2:3" ht="14.25">
      <c r="B165" s="3149">
        <v>107</v>
      </c>
      <c r="C165" s="3149">
        <v>153.16</v>
      </c>
    </row>
    <row r="166" spans="2:3" ht="14.25">
      <c r="B166" s="3150">
        <v>119</v>
      </c>
      <c r="C166" s="3150">
        <v>87.69</v>
      </c>
    </row>
    <row r="167" spans="2:3" ht="14.25">
      <c r="B167" s="3149">
        <v>101</v>
      </c>
      <c r="C167" s="3149">
        <v>62.17</v>
      </c>
    </row>
    <row r="168" spans="2:3" ht="14.25">
      <c r="B168" s="3149">
        <v>102</v>
      </c>
      <c r="C168" s="3149">
        <v>46.52</v>
      </c>
    </row>
    <row r="169" spans="2:3" ht="14.25">
      <c r="B169" s="3149">
        <v>103</v>
      </c>
      <c r="C169" s="3149">
        <v>24.35</v>
      </c>
    </row>
    <row r="170" spans="2:3">
      <c r="C170">
        <f>SUM(C62:C169)</f>
        <v>5869.9400000000005</v>
      </c>
    </row>
  </sheetData>
  <mergeCells count="106">
    <mergeCell ref="A1:T1"/>
    <mergeCell ref="U1:AJ1"/>
    <mergeCell ref="A2:D2"/>
    <mergeCell ref="E2:H2"/>
    <mergeCell ref="I2:L2"/>
    <mergeCell ref="M2:P2"/>
    <mergeCell ref="Q2:T2"/>
    <mergeCell ref="U2:X2"/>
    <mergeCell ref="Y2:AB2"/>
    <mergeCell ref="AC2:AF2"/>
    <mergeCell ref="AG2:AJ2"/>
    <mergeCell ref="A4:A9"/>
    <mergeCell ref="D4:D9"/>
    <mergeCell ref="E4:E6"/>
    <mergeCell ref="H4:H6"/>
    <mergeCell ref="I4:I10"/>
    <mergeCell ref="L4:L10"/>
    <mergeCell ref="M4:M20"/>
    <mergeCell ref="P4:P20"/>
    <mergeCell ref="Q4:Q11"/>
    <mergeCell ref="A10:A12"/>
    <mergeCell ref="D10:D12"/>
    <mergeCell ref="I11:I18"/>
    <mergeCell ref="L11:L18"/>
    <mergeCell ref="AJ4:AJ10"/>
    <mergeCell ref="E7:E8"/>
    <mergeCell ref="H7:H8"/>
    <mergeCell ref="E9:E13"/>
    <mergeCell ref="H9:H13"/>
    <mergeCell ref="U9:U13"/>
    <mergeCell ref="X9:X13"/>
    <mergeCell ref="T4:T11"/>
    <mergeCell ref="U4:U8"/>
    <mergeCell ref="X4:X8"/>
    <mergeCell ref="Y4:Y10"/>
    <mergeCell ref="AB4:AB10"/>
    <mergeCell ref="AG4:AG10"/>
    <mergeCell ref="U14:U18"/>
    <mergeCell ref="X14:X18"/>
    <mergeCell ref="A16:A23"/>
    <mergeCell ref="D16:D23"/>
    <mergeCell ref="I19:I21"/>
    <mergeCell ref="L19:L21"/>
    <mergeCell ref="U19:V19"/>
    <mergeCell ref="W19:X19"/>
    <mergeCell ref="E20:E24"/>
    <mergeCell ref="H20:H24"/>
    <mergeCell ref="U20:V20"/>
    <mergeCell ref="W20:AJ20"/>
    <mergeCell ref="M21:M26"/>
    <mergeCell ref="P21:P26"/>
    <mergeCell ref="I22:I28"/>
    <mergeCell ref="L22:L28"/>
    <mergeCell ref="AG12:AG18"/>
    <mergeCell ref="AJ12:AJ18"/>
    <mergeCell ref="A13:A15"/>
    <mergeCell ref="D13:D15"/>
    <mergeCell ref="E14:E19"/>
    <mergeCell ref="H14:H19"/>
    <mergeCell ref="Y19:Z19"/>
    <mergeCell ref="AA19:AB19"/>
    <mergeCell ref="A38:A44"/>
    <mergeCell ref="D38:D44"/>
    <mergeCell ref="AI19:AJ19"/>
    <mergeCell ref="A45:A47"/>
    <mergeCell ref="D45:D47"/>
    <mergeCell ref="A48:B48"/>
    <mergeCell ref="C48:D48"/>
    <mergeCell ref="A24:A31"/>
    <mergeCell ref="D24:D31"/>
    <mergeCell ref="M27:M33"/>
    <mergeCell ref="Q48:R48"/>
    <mergeCell ref="S48:T48"/>
    <mergeCell ref="P27:P33"/>
    <mergeCell ref="I29:I35"/>
    <mergeCell ref="L29:L35"/>
    <mergeCell ref="A32:A37"/>
    <mergeCell ref="D32:D37"/>
    <mergeCell ref="I36:I42"/>
    <mergeCell ref="L36:L42"/>
    <mergeCell ref="AC19:AD19"/>
    <mergeCell ref="AE19:AF19"/>
    <mergeCell ref="AG19:AH19"/>
    <mergeCell ref="A49:B49"/>
    <mergeCell ref="C49:T49"/>
    <mergeCell ref="A50:B50"/>
    <mergeCell ref="C50:P50"/>
    <mergeCell ref="E48:F48"/>
    <mergeCell ref="G48:H48"/>
    <mergeCell ref="I48:J48"/>
    <mergeCell ref="K48:L48"/>
    <mergeCell ref="M48:N48"/>
    <mergeCell ref="O48:P48"/>
    <mergeCell ref="L80:L84"/>
    <mergeCell ref="L86:L87"/>
    <mergeCell ref="L89:L91"/>
    <mergeCell ref="L93:L94"/>
    <mergeCell ref="L97:L98"/>
    <mergeCell ref="L99:L101"/>
    <mergeCell ref="L102:L103"/>
    <mergeCell ref="A51:B51"/>
    <mergeCell ref="C51:P51"/>
    <mergeCell ref="A52:B52"/>
    <mergeCell ref="C52:P52"/>
    <mergeCell ref="A53:B53"/>
    <mergeCell ref="C53:P53"/>
  </mergeCells>
  <phoneticPr fontId="280" type="noConversion"/>
  <pageMargins left="0.75" right="0.75" top="1" bottom="1" header="0.51180555555555596" footer="0.51180555555555596"/>
  <pageSetup paperSize="9" scale="4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2060"/>
  </sheetPr>
  <dimension ref="A1:J31"/>
  <sheetViews>
    <sheetView view="pageLayout"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866</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enableFormatConditionsCalculation="0">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0" customWidth="1"/>
    <col min="2" max="16384" width="14.5" style="1962"/>
  </cols>
  <sheetData>
    <row r="1" spans="1:7" s="1977" customFormat="1" ht="18.75">
      <c r="A1" s="1976" t="s">
        <v>1657</v>
      </c>
    </row>
    <row r="3" spans="1:7">
      <c r="A3" s="1978" t="s">
        <v>82</v>
      </c>
      <c r="B3" s="1962" t="s">
        <v>1658</v>
      </c>
      <c r="G3" s="1979"/>
    </row>
    <row r="4" spans="1:7">
      <c r="G4" s="1979"/>
    </row>
    <row r="5" spans="1:7">
      <c r="A5" s="1981" t="s">
        <v>73</v>
      </c>
      <c r="B5" s="1962" t="s">
        <v>1659</v>
      </c>
      <c r="G5" s="1979"/>
    </row>
    <row r="6" spans="1:7">
      <c r="G6" s="1979"/>
    </row>
    <row r="7" spans="1:7">
      <c r="A7" s="1982" t="s">
        <v>135</v>
      </c>
      <c r="B7" s="1962" t="s">
        <v>1660</v>
      </c>
      <c r="G7" s="1979"/>
    </row>
    <row r="8" spans="1:7">
      <c r="G8" s="1979"/>
    </row>
    <row r="9" spans="1:7">
      <c r="A9" s="1983" t="s">
        <v>74</v>
      </c>
      <c r="B9" s="1962" t="s">
        <v>1661</v>
      </c>
    </row>
    <row r="11" spans="1:7">
      <c r="A11" s="1984" t="s">
        <v>75</v>
      </c>
      <c r="B11" s="1985" t="s">
        <v>72</v>
      </c>
    </row>
    <row r="13" spans="1:7">
      <c r="A13" s="1986" t="s">
        <v>1662</v>
      </c>
    </row>
    <row r="15" spans="1:7" ht="13.5">
      <c r="A15" s="3305" t="s">
        <v>1663</v>
      </c>
      <c r="B15" s="3300" t="s">
        <v>136</v>
      </c>
      <c r="C15" s="3301"/>
    </row>
    <row r="16" spans="1:7" ht="13.5">
      <c r="A16" s="3306"/>
      <c r="B16" s="3300" t="s">
        <v>69</v>
      </c>
      <c r="C16" s="3301"/>
    </row>
    <row r="17" spans="1:3" ht="13.5">
      <c r="A17" s="3306"/>
      <c r="B17" s="3303" t="s">
        <v>1664</v>
      </c>
      <c r="C17" s="1987" t="s">
        <v>1663</v>
      </c>
    </row>
    <row r="18" spans="1:3" ht="13.5">
      <c r="A18" s="3306"/>
      <c r="B18" s="3303"/>
      <c r="C18" s="1987" t="s">
        <v>1665</v>
      </c>
    </row>
    <row r="19" spans="1:3" ht="13.5">
      <c r="A19" s="3306"/>
      <c r="B19" s="3303"/>
      <c r="C19" s="1987" t="s">
        <v>1666</v>
      </c>
    </row>
    <row r="20" spans="1:3" ht="13.5">
      <c r="A20" s="3307"/>
      <c r="B20" s="3302" t="s">
        <v>1667</v>
      </c>
      <c r="C20" s="3301"/>
    </row>
    <row r="21" spans="1:3" ht="13.5">
      <c r="A21" s="1988" t="s">
        <v>1668</v>
      </c>
      <c r="B21" s="1989"/>
      <c r="C21" s="1990"/>
    </row>
    <row r="22" spans="1:3" ht="13.5">
      <c r="A22" s="3304" t="s">
        <v>1669</v>
      </c>
      <c r="B22" s="3302" t="s">
        <v>1670</v>
      </c>
      <c r="C22" s="3301"/>
    </row>
    <row r="23" spans="1:3" ht="13.5">
      <c r="A23" s="3304"/>
      <c r="B23" s="3302" t="s">
        <v>1671</v>
      </c>
      <c r="C23" s="3301"/>
    </row>
    <row r="24" spans="1:3" ht="13.5">
      <c r="A24" s="3304"/>
      <c r="B24" s="3302" t="s">
        <v>1672</v>
      </c>
      <c r="C24" s="3301"/>
    </row>
    <row r="25" spans="1:3" ht="13.5">
      <c r="A25" s="3304"/>
      <c r="B25" s="3303" t="s">
        <v>1673</v>
      </c>
      <c r="C25" s="1987" t="s">
        <v>1674</v>
      </c>
    </row>
    <row r="26" spans="1:3" ht="13.5">
      <c r="A26" s="3304"/>
      <c r="B26" s="3303"/>
      <c r="C26" s="1987" t="s">
        <v>1675</v>
      </c>
    </row>
    <row r="27" spans="1:3" ht="13.5">
      <c r="A27" s="3304"/>
      <c r="B27" s="3303"/>
      <c r="C27" s="1987" t="s">
        <v>1676</v>
      </c>
    </row>
    <row r="28" spans="1:3" ht="13.5">
      <c r="A28" s="3304"/>
      <c r="B28" s="3303"/>
      <c r="C28" s="1987" t="s">
        <v>1677</v>
      </c>
    </row>
    <row r="29" spans="1:3" ht="13.5">
      <c r="A29" s="3304"/>
      <c r="B29" s="3303"/>
      <c r="C29" s="1987" t="s">
        <v>1678</v>
      </c>
    </row>
    <row r="30" spans="1:3" ht="13.5">
      <c r="A30" s="3304"/>
      <c r="B30" s="3303"/>
      <c r="C30" s="1987" t="s">
        <v>1679</v>
      </c>
    </row>
    <row r="31" spans="1:3" ht="13.5">
      <c r="A31" s="3304"/>
      <c r="B31" s="3303"/>
      <c r="C31" s="1987" t="s">
        <v>1680</v>
      </c>
    </row>
    <row r="32" spans="1:3" ht="13.5">
      <c r="A32" s="3304"/>
      <c r="B32" s="3303"/>
      <c r="C32" s="1987" t="s">
        <v>1681</v>
      </c>
    </row>
    <row r="33" spans="1:3" ht="13.5">
      <c r="A33" s="3304"/>
      <c r="B33" s="3303"/>
      <c r="C33" s="1987" t="s">
        <v>1682</v>
      </c>
    </row>
    <row r="34" spans="1:3">
      <c r="A34" s="1991" t="s">
        <v>76</v>
      </c>
    </row>
    <row r="37" spans="1:3">
      <c r="A37" s="1991" t="s">
        <v>1683</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2:G30"/>
  <sheetViews>
    <sheetView view="pageBreakPreview" zoomScale="70" zoomScaleSheetLayoutView="70" workbookViewId="0">
      <selection activeCell="C23" sqref="C23"/>
    </sheetView>
  </sheetViews>
  <sheetFormatPr defaultColWidth="22.625" defaultRowHeight="24" customHeight="1"/>
  <cols>
    <col min="1" max="2" width="22.625" style="1014"/>
    <col min="3" max="3" width="32.125" style="1014" customWidth="1"/>
    <col min="4" max="5" width="22.625" style="1014"/>
    <col min="6" max="6" width="25.625" style="1014" customWidth="1"/>
    <col min="7" max="16384" width="22.625" style="1014"/>
  </cols>
  <sheetData>
    <row r="2" spans="1:6" ht="24" customHeight="1">
      <c r="A2" s="1016" t="s">
        <v>825</v>
      </c>
      <c r="B2" s="1017">
        <f ca="1">TODAY()</f>
        <v>44152</v>
      </c>
      <c r="C2" s="1018" t="s">
        <v>826</v>
      </c>
      <c r="D2" s="1018"/>
    </row>
    <row r="3" spans="1:6" ht="24" customHeight="1">
      <c r="A3" s="1019" t="s">
        <v>827</v>
      </c>
      <c r="B3" s="1020" t="s">
        <v>828</v>
      </c>
      <c r="C3" s="2333" t="s">
        <v>829</v>
      </c>
      <c r="D3" s="2336" t="s">
        <v>830</v>
      </c>
      <c r="E3" s="1021" t="s">
        <v>831</v>
      </c>
      <c r="F3" s="1020" t="s">
        <v>829</v>
      </c>
    </row>
    <row r="4" spans="1:6" ht="24" customHeight="1">
      <c r="A4" s="1698" t="s">
        <v>832</v>
      </c>
      <c r="B4" s="1021">
        <f ca="1">IF(C4&lt;B2,"已过期",1119970066)</f>
        <v>1119970066</v>
      </c>
      <c r="C4" s="2915">
        <v>44876</v>
      </c>
      <c r="D4" s="2337" t="s">
        <v>832</v>
      </c>
      <c r="E4" s="1021">
        <f ca="1">IF(F4&lt;B2,"已过期",96010014)</f>
        <v>96010014</v>
      </c>
      <c r="F4" s="1029">
        <v>47118</v>
      </c>
    </row>
    <row r="5" spans="1:6" ht="24" customHeight="1">
      <c r="A5" s="1698"/>
      <c r="B5" s="1021"/>
      <c r="C5" s="2334"/>
      <c r="D5" s="2337"/>
      <c r="E5" s="1021"/>
      <c r="F5" s="1029"/>
    </row>
    <row r="6" spans="1:6" ht="24" customHeight="1">
      <c r="A6" s="1698" t="s">
        <v>833</v>
      </c>
      <c r="B6" s="1021">
        <f ca="1">IF(C6&lt;B2,"已过期",1119970111)</f>
        <v>1119970111</v>
      </c>
      <c r="C6" s="2334">
        <v>44876</v>
      </c>
      <c r="D6" s="2337" t="s">
        <v>833</v>
      </c>
      <c r="E6" s="1021">
        <f ca="1">IF(F6&lt;B2,"已过期",94010078)</f>
        <v>94010078</v>
      </c>
      <c r="F6" s="1029">
        <v>46387</v>
      </c>
    </row>
    <row r="7" spans="1:6" ht="24" customHeight="1">
      <c r="A7" s="1698" t="s">
        <v>834</v>
      </c>
      <c r="B7" s="1021">
        <f ca="1">IF(C7&lt;B2,"已过期",1120050019)</f>
        <v>1120050019</v>
      </c>
      <c r="C7" s="2334">
        <v>44395</v>
      </c>
      <c r="D7" s="2337" t="s">
        <v>834</v>
      </c>
      <c r="E7" s="1021">
        <f ca="1">IF(F7&lt;B2,"已过期",2002110030)</f>
        <v>2002110030</v>
      </c>
      <c r="F7" s="1029">
        <v>46387</v>
      </c>
    </row>
    <row r="8" spans="1:6" ht="24" customHeight="1">
      <c r="A8" s="1698" t="s">
        <v>835</v>
      </c>
      <c r="B8" s="1021">
        <f ca="1">IF(C8&lt;B2,"已过期",1120000080)</f>
        <v>1120000080</v>
      </c>
      <c r="C8" s="2915">
        <v>44876</v>
      </c>
      <c r="D8" s="2337" t="s">
        <v>835</v>
      </c>
      <c r="E8" s="1021">
        <f ca="1">IF(F8&lt;B2,"已过期",2000110082)</f>
        <v>2000110082</v>
      </c>
      <c r="F8" s="1029">
        <v>46387</v>
      </c>
    </row>
    <row r="9" spans="1:6" ht="24" customHeight="1">
      <c r="A9" s="1698" t="s">
        <v>836</v>
      </c>
      <c r="B9" s="1021">
        <f ca="1">IF(C9&lt;B2,"已过期",1419970001)</f>
        <v>1419970001</v>
      </c>
      <c r="C9" s="2915">
        <v>44899</v>
      </c>
      <c r="D9" s="2337" t="s">
        <v>836</v>
      </c>
      <c r="E9" s="1021">
        <f ca="1">IF(F9&lt;B2,"已过期",2002110125)</f>
        <v>2002110125</v>
      </c>
      <c r="F9" s="1029">
        <v>47118</v>
      </c>
    </row>
    <row r="10" spans="1:6" ht="24" customHeight="1">
      <c r="A10" s="1698" t="s">
        <v>837</v>
      </c>
      <c r="B10" s="1021">
        <f ca="1">IF(C10&lt;B2,"已过期",1120060040)</f>
        <v>1120060040</v>
      </c>
      <c r="C10" s="2334">
        <v>44554</v>
      </c>
      <c r="D10" s="2337" t="s">
        <v>837</v>
      </c>
      <c r="E10" s="1021">
        <f ca="1">IF(F10&lt;B2,"已过期",2004110096)</f>
        <v>2004110096</v>
      </c>
      <c r="F10" s="1029">
        <v>47118</v>
      </c>
    </row>
    <row r="11" spans="1:6" ht="24" customHeight="1">
      <c r="A11" s="1698" t="s">
        <v>838</v>
      </c>
      <c r="B11" s="1021">
        <f ca="1">IF(C11&lt;B2,"已过期",1120100036)</f>
        <v>1120100036</v>
      </c>
      <c r="C11" s="2334">
        <v>44675</v>
      </c>
      <c r="D11" s="2337" t="s">
        <v>838</v>
      </c>
      <c r="E11" s="1021">
        <f ca="1">IF(F11&lt;B2,"已过期",2010110070)</f>
        <v>2010110070</v>
      </c>
      <c r="F11" s="1029">
        <v>47907</v>
      </c>
    </row>
    <row r="12" spans="1:6" ht="24" customHeight="1">
      <c r="A12" s="1698"/>
      <c r="B12" s="1021"/>
      <c r="C12" s="2915"/>
      <c r="D12" s="1698"/>
      <c r="E12" s="1021"/>
      <c r="F12" s="1029"/>
    </row>
    <row r="13" spans="1:6" ht="24" customHeight="1">
      <c r="A13" s="1698" t="s">
        <v>839</v>
      </c>
      <c r="B13" s="1021">
        <f ca="1">IF(C13&lt;B2,"已过期",1120070131)</f>
        <v>1120070131</v>
      </c>
      <c r="C13" s="2334">
        <v>44849</v>
      </c>
      <c r="D13" s="2337" t="s">
        <v>839</v>
      </c>
      <c r="E13" s="1021">
        <f ca="1">IF(F13&lt;B2,"已过期",2014110011)</f>
        <v>2014110011</v>
      </c>
      <c r="F13" s="1029">
        <v>49302</v>
      </c>
    </row>
    <row r="14" spans="1:6" ht="24" customHeight="1">
      <c r="A14" s="1698" t="s">
        <v>3041</v>
      </c>
      <c r="B14" s="1021">
        <f ca="1">IF(C14&lt;B2,"已过期",1120040230)</f>
        <v>1120040230</v>
      </c>
      <c r="C14" s="2334">
        <v>44864</v>
      </c>
      <c r="D14" s="2337" t="s">
        <v>3041</v>
      </c>
      <c r="E14" s="1021">
        <f ca="1">IF(F14&lt;B2,"已过期",98030020)</f>
        <v>98030020</v>
      </c>
      <c r="F14" s="1029">
        <v>47118</v>
      </c>
    </row>
    <row r="15" spans="1:6" ht="24" customHeight="1">
      <c r="A15" s="1699"/>
      <c r="B15" s="1021"/>
      <c r="C15" s="2334"/>
      <c r="D15" s="2338"/>
      <c r="E15" s="1021"/>
      <c r="F15" s="1022"/>
    </row>
    <row r="16" spans="1:6" ht="24" customHeight="1">
      <c r="A16" s="1698"/>
      <c r="B16" s="1021"/>
      <c r="C16" s="2915"/>
      <c r="D16" s="2337"/>
      <c r="E16" s="1021"/>
      <c r="F16" s="1029"/>
    </row>
    <row r="17" spans="1:7" ht="24" customHeight="1">
      <c r="A17" s="1698"/>
      <c r="B17" s="1021"/>
      <c r="C17" s="2334"/>
      <c r="D17" s="2337"/>
      <c r="E17" s="1021"/>
      <c r="F17" s="1029"/>
    </row>
    <row r="18" spans="1:7" ht="24" customHeight="1">
      <c r="A18" s="1698" t="s">
        <v>3048</v>
      </c>
      <c r="B18" s="1021">
        <v>1120190079</v>
      </c>
      <c r="C18" s="2915">
        <v>44826</v>
      </c>
      <c r="D18" s="2337"/>
      <c r="E18" s="1021"/>
      <c r="F18" s="1029"/>
    </row>
    <row r="19" spans="1:7" ht="24" customHeight="1">
      <c r="A19" s="1698"/>
      <c r="B19" s="1021"/>
      <c r="C19" s="2334"/>
      <c r="D19" s="2337"/>
      <c r="E19" s="1021"/>
      <c r="F19" s="1021"/>
    </row>
    <row r="20" spans="1:7" ht="24" customHeight="1">
      <c r="A20" s="1698"/>
      <c r="B20" s="1021"/>
      <c r="C20" s="2334"/>
      <c r="D20" s="2337"/>
      <c r="E20" s="1021"/>
      <c r="F20" s="1021"/>
    </row>
    <row r="21" spans="1:7" ht="24" customHeight="1">
      <c r="A21" s="1698"/>
      <c r="B21" s="1021"/>
      <c r="C21" s="2334"/>
      <c r="D21" s="2337" t="s">
        <v>840</v>
      </c>
      <c r="E21" s="1021">
        <f ca="1">IF(F21&lt;B2,"已过期",2011110090)</f>
        <v>2011110090</v>
      </c>
      <c r="F21" s="1029">
        <v>48302</v>
      </c>
    </row>
    <row r="22" spans="1:7" ht="24" customHeight="1">
      <c r="A22" s="1698" t="s">
        <v>841</v>
      </c>
      <c r="B22" s="1021">
        <f ca="1">IF(C22&lt;B2,"已过期",1120020033)</f>
        <v>1120020033</v>
      </c>
      <c r="C22" s="2915">
        <v>44339</v>
      </c>
      <c r="D22" s="2337" t="s">
        <v>841</v>
      </c>
      <c r="E22" s="1021">
        <f ca="1">IF(F22&lt;B2,"已过期",2000110137)</f>
        <v>2000110137</v>
      </c>
      <c r="F22" s="1029">
        <v>46387</v>
      </c>
    </row>
    <row r="23" spans="1:7" ht="24" customHeight="1">
      <c r="A23" s="1698" t="s">
        <v>3050</v>
      </c>
      <c r="B23" s="1021">
        <v>1119980106</v>
      </c>
      <c r="C23" s="2334">
        <v>44969</v>
      </c>
      <c r="D23" s="2337"/>
      <c r="E23" s="1021"/>
      <c r="F23" s="1021"/>
    </row>
    <row r="24" spans="1:7" s="1023" customFormat="1" ht="24" customHeight="1">
      <c r="A24" s="1699" t="s">
        <v>1328</v>
      </c>
      <c r="B24" s="1699" t="s">
        <v>1328</v>
      </c>
      <c r="C24" s="2335" t="s">
        <v>1328</v>
      </c>
      <c r="D24" s="2338" t="s">
        <v>1328</v>
      </c>
      <c r="E24" s="1699" t="s">
        <v>1328</v>
      </c>
      <c r="F24" s="1699" t="s">
        <v>1328</v>
      </c>
    </row>
    <row r="25" spans="1:7" ht="24" customHeight="1">
      <c r="A25" s="3308" t="s">
        <v>842</v>
      </c>
      <c r="B25" s="3308"/>
      <c r="C25" s="3308"/>
      <c r="D25" s="3308"/>
      <c r="E25" s="3308"/>
      <c r="F25" s="3308"/>
      <c r="G25" s="3308"/>
    </row>
    <row r="26" spans="1:7" s="1024" customFormat="1" ht="24" customHeight="1">
      <c r="A26" s="3309" t="s">
        <v>843</v>
      </c>
      <c r="B26" s="3309"/>
      <c r="C26" s="3310"/>
      <c r="D26" s="3311" t="s">
        <v>844</v>
      </c>
      <c r="E26" s="3309"/>
      <c r="F26" s="3309"/>
    </row>
    <row r="27" spans="1:7" s="1026" customFormat="1" ht="24" customHeight="1">
      <c r="A27" s="1025" t="s">
        <v>845</v>
      </c>
      <c r="B27" s="1020" t="s">
        <v>846</v>
      </c>
      <c r="C27" s="2333" t="s">
        <v>847</v>
      </c>
      <c r="D27" s="2340" t="s">
        <v>845</v>
      </c>
      <c r="E27" s="1020" t="s">
        <v>846</v>
      </c>
      <c r="F27" s="1020" t="s">
        <v>847</v>
      </c>
    </row>
    <row r="28" spans="1:7" s="1026" customFormat="1" ht="24" customHeight="1">
      <c r="A28" s="1027" t="s">
        <v>848</v>
      </c>
      <c r="B28" s="1028" t="s">
        <v>849</v>
      </c>
      <c r="C28" s="1029">
        <v>44820</v>
      </c>
      <c r="D28" s="2341" t="s">
        <v>850</v>
      </c>
      <c r="E28" s="1027" t="s">
        <v>851</v>
      </c>
      <c r="F28" s="1057">
        <v>44377</v>
      </c>
    </row>
    <row r="29" spans="1:7" s="1026" customFormat="1" ht="24" customHeight="1">
      <c r="A29" s="1027"/>
      <c r="B29" s="1027"/>
      <c r="C29" s="2339"/>
      <c r="D29" s="2341" t="s">
        <v>852</v>
      </c>
      <c r="E29" s="1201" t="s">
        <v>3049</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135</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容积率设定</vt:lpstr>
      <vt:lpstr>土地级别</vt:lpstr>
      <vt:lpstr>项目基本情况</vt:lpstr>
      <vt:lpstr>抵押物清单（分楼）</vt:lpstr>
      <vt:lpstr>数据-基础表</vt:lpstr>
      <vt:lpstr>数据-汇总表</vt:lpstr>
      <vt:lpstr>结果汇总表-分租</vt:lpstr>
      <vt:lpstr>数据-取费表</vt:lpstr>
      <vt:lpstr>面积总表2020-11-12</vt:lpstr>
      <vt:lpstr>Sheet2</vt:lpstr>
      <vt:lpstr>结果表-分业态</vt:lpstr>
      <vt:lpstr>结果汇总表-整租</vt:lpstr>
      <vt:lpstr>地上商业测绘面积表</vt:lpstr>
      <vt:lpstr>地下商业面积依据</vt:lpstr>
      <vt:lpstr>估价对象房地状况</vt:lpstr>
      <vt:lpstr>收益法倒推租金</vt:lpstr>
      <vt:lpstr>结果表</vt:lpstr>
      <vt:lpstr>比较法-商业</vt:lpstr>
      <vt:lpstr>商业出售案例</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系统读取表</vt:lpstr>
      <vt:lpstr>委托人提供的面积表</vt:lpstr>
      <vt:lpstr>面积汇总表2020-6-30</vt:lpstr>
      <vt:lpstr>商业面积汇总表2020-7-13</vt:lpstr>
      <vt:lpstr>面积汇总表2020-11-12</vt:lpstr>
      <vt:lpstr>面积明细表2020-11-12</vt:lpstr>
      <vt:lpstr>估价师及机构信息!Print_Area</vt:lpstr>
      <vt:lpstr>收益法!Print_Area</vt:lpstr>
      <vt:lpstr>'收益法 (元)'!Print_Area</vt:lpstr>
      <vt:lpstr>收益法倒推租金!Print_Area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2020-11-17T02:45:50Z</dcterms:modified>
</cp:coreProperties>
</file>