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G:\高鹏\项目\司法-北京市朝阳区广渠门外大街三号院9号楼1层0103号住宅用房涉执房地产处置司法评估报告\测算\"/>
    </mc:Choice>
  </mc:AlternateContent>
  <xr:revisionPtr revIDLastSave="0" documentId="13_ncr:1_{1CFBE8AC-D374-4CCF-A8A6-203111FAC1CE}"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O34" i="80" l="1"/>
  <c r="AO26" i="80"/>
  <c r="S3" i="80"/>
  <c r="S4" i="80"/>
  <c r="S2" i="80"/>
  <c r="L59" i="21"/>
  <c r="K59" i="21"/>
  <c r="J59" i="21"/>
  <c r="G59" i="21"/>
  <c r="I59" i="21" s="1"/>
  <c r="F59" i="21"/>
  <c r="E59" i="21"/>
  <c r="D59" i="21"/>
  <c r="I47" i="21"/>
  <c r="G47" i="21"/>
  <c r="E47" i="21"/>
  <c r="L103" i="21"/>
  <c r="E104" i="21" s="1"/>
  <c r="D104" i="21" s="1"/>
  <c r="C104" i="21" s="1"/>
  <c r="G104" i="21"/>
  <c r="H104" i="21" s="1"/>
  <c r="I104" i="21" s="1"/>
  <c r="J104" i="21" s="1"/>
  <c r="I33" i="21"/>
  <c r="G33" i="21"/>
  <c r="E33" i="21"/>
  <c r="C33" i="21"/>
  <c r="D127" i="21"/>
  <c r="D87" i="21"/>
  <c r="E87" i="21" s="1"/>
  <c r="F87" i="21" s="1"/>
  <c r="G87" i="21" s="1"/>
  <c r="H87" i="21" s="1"/>
  <c r="I87" i="21" s="1"/>
  <c r="J87" i="21" s="1"/>
  <c r="G23" i="21"/>
  <c r="I23" i="21"/>
  <c r="G19" i="21"/>
  <c r="I19" i="21"/>
  <c r="G17" i="21"/>
  <c r="I17" i="21"/>
  <c r="I15" i="21"/>
  <c r="G15" i="21"/>
  <c r="E50" i="21"/>
  <c r="I7" i="21"/>
  <c r="G7" i="21"/>
  <c r="E7" i="21"/>
  <c r="I5" i="21"/>
  <c r="G5" i="21"/>
  <c r="E5" i="21"/>
  <c r="C121" i="80"/>
  <c r="C120" i="80"/>
  <c r="C106" i="80"/>
  <c r="C107" i="80"/>
  <c r="C108" i="80"/>
  <c r="C109" i="80"/>
  <c r="C110" i="80"/>
  <c r="C111" i="80"/>
  <c r="C112" i="80"/>
  <c r="C113" i="80"/>
  <c r="C114" i="80"/>
  <c r="C115" i="80"/>
  <c r="C116" i="80"/>
  <c r="C117" i="80"/>
  <c r="C118" i="80"/>
  <c r="C119" i="80"/>
  <c r="C105" i="80"/>
  <c r="H59" i="21" l="1"/>
  <c r="AS43" i="80" l="1"/>
  <c r="AS44" i="80"/>
  <c r="AS42" i="80"/>
  <c r="AR44" i="80"/>
  <c r="AR43" i="80"/>
  <c r="AR42" i="80"/>
  <c r="Y74" i="80"/>
  <c r="X74" i="80"/>
  <c r="T73" i="80"/>
  <c r="M74" i="80"/>
  <c r="B21" i="1"/>
  <c r="Y6" i="1"/>
  <c r="N6" i="1"/>
  <c r="O22" i="1"/>
  <c r="O21" i="1"/>
  <c r="N20" i="1"/>
  <c r="N21" i="1" s="1"/>
  <c r="F19" i="6" l="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8" i="79"/>
  <c r="AD36" i="79"/>
  <c r="AD37" i="79"/>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23" i="79"/>
  <c r="AK23" i="79" s="1"/>
  <c r="AH23" i="79"/>
  <c r="W12" i="79"/>
  <c r="AK12" i="79" s="1"/>
  <c r="AH12" i="79"/>
  <c r="W21" i="79"/>
  <c r="AK21" i="79" s="1"/>
  <c r="AH21" i="79"/>
  <c r="W47" i="79"/>
  <c r="AK47" i="79" s="1"/>
  <c r="AH47" i="79"/>
  <c r="W45" i="79"/>
  <c r="AK45" i="79" s="1"/>
  <c r="AH45" i="79"/>
  <c r="W19" i="79"/>
  <c r="AK19" i="79" s="1"/>
  <c r="AH19" i="79"/>
  <c r="W16" i="79"/>
  <c r="AK16" i="79" s="1"/>
  <c r="AH16" i="79"/>
  <c r="W50" i="79"/>
  <c r="AK50" i="79" s="1"/>
  <c r="AH50"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AH33" i="79"/>
  <c r="W33" i="79"/>
  <c r="AK33" i="79" s="1"/>
  <c r="W11" i="79"/>
  <c r="AK11" i="79" s="1"/>
  <c r="AH11" i="79"/>
  <c r="W39" i="79"/>
  <c r="AK39" i="79" s="1"/>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3" i="71" s="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X20" i="71" s="1"/>
  <c r="L3" i="71"/>
  <c r="AH3" i="71" s="1"/>
  <c r="K3" i="71"/>
  <c r="AG3" i="71" s="1"/>
  <c r="J3" i="71"/>
  <c r="AE3" i="71" s="1"/>
  <c r="I3" i="71"/>
  <c r="AD3" i="71" s="1"/>
  <c r="AH21" i="71"/>
  <c r="AG21" i="71"/>
  <c r="AE21" i="71"/>
  <c r="AF21" i="71" s="1"/>
  <c r="AD21" i="71"/>
  <c r="Q21" i="71"/>
  <c r="Q22" i="71"/>
  <c r="P21" i="71"/>
  <c r="P22" i="71"/>
  <c r="AA19" i="71" s="1"/>
  <c r="O21" i="71"/>
  <c r="O22" i="71"/>
  <c r="N21" i="71"/>
  <c r="N22" i="71"/>
  <c r="N23" i="71"/>
  <c r="AH22" i="71"/>
  <c r="AG22" i="71"/>
  <c r="AE22" i="71"/>
  <c r="AF22" i="71" s="1"/>
  <c r="AD22" i="71"/>
  <c r="Q23" i="71"/>
  <c r="P23" i="71"/>
  <c r="O23" i="71"/>
  <c r="Y19" i="71" s="1"/>
  <c r="Z19" i="71" s="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s="1"/>
  <c r="S25" i="40"/>
  <c r="S21" i="34"/>
  <c r="H25" i="40"/>
  <c r="J25" i="40"/>
  <c r="W25" i="40" s="1"/>
  <c r="H29" i="39"/>
  <c r="AB29" i="39" s="1"/>
  <c r="J29" i="39"/>
  <c r="AC29" i="39" s="1"/>
  <c r="J18" i="36"/>
  <c r="F68" i="35"/>
  <c r="G68" i="35" s="1"/>
  <c r="H18" i="35"/>
  <c r="AB18" i="35" s="1"/>
  <c r="J18" i="35"/>
  <c r="H21" i="37"/>
  <c r="F21" i="37"/>
  <c r="AA21" i="37" s="1"/>
  <c r="H21" i="34"/>
  <c r="H21" i="33"/>
  <c r="F21" i="33"/>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A167" i="3" s="1"/>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AZ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A318" i="3" s="1"/>
  <c r="AZ318" i="3" s="1"/>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R501" i="31"/>
  <c r="R502" i="31"/>
  <c r="R503" i="31"/>
  <c r="R504" i="31"/>
  <c r="S504" i="31" s="1"/>
  <c r="R505" i="31"/>
  <c r="R506" i="31"/>
  <c r="R507" i="31"/>
  <c r="R508" i="31"/>
  <c r="S508" i="31" s="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D113" i="33"/>
  <c r="E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G94" i="39" s="1"/>
  <c r="D92" i="39"/>
  <c r="E92" i="39" s="1"/>
  <c r="F92" i="39" s="1"/>
  <c r="G92" i="39" s="1"/>
  <c r="D90" i="39"/>
  <c r="E90" i="39" s="1"/>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H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F28" i="37" s="1"/>
  <c r="AA28" i="37" s="1"/>
  <c r="B84" i="37"/>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J25" i="36" s="1"/>
  <c r="W25" i="36" s="1"/>
  <c r="B73" i="36"/>
  <c r="J24" i="36"/>
  <c r="AC24" i="36" s="1"/>
  <c r="B71" i="36"/>
  <c r="D70" i="36"/>
  <c r="H22" i="36"/>
  <c r="AB22" i="36" s="1"/>
  <c r="D68" i="36"/>
  <c r="E68" i="36" s="1"/>
  <c r="F68" i="36"/>
  <c r="G68" i="36"/>
  <c r="D64" i="36"/>
  <c r="E64" i="36" s="1"/>
  <c r="F64" i="36"/>
  <c r="G64" i="36"/>
  <c r="J16" i="36"/>
  <c r="W16" i="36" s="1"/>
  <c r="D62" i="36"/>
  <c r="E62" i="36"/>
  <c r="F62" i="36"/>
  <c r="G62" i="36" s="1"/>
  <c r="B59" i="36"/>
  <c r="H13" i="36" s="1"/>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s="1"/>
  <c r="AC24" i="35"/>
  <c r="B73" i="35"/>
  <c r="B57" i="35"/>
  <c r="J11" i="35" s="1"/>
  <c r="W11" i="35" s="1"/>
  <c r="B61" i="35"/>
  <c r="B59" i="35"/>
  <c r="F12" i="35" s="1"/>
  <c r="B131" i="34"/>
  <c r="B129" i="34"/>
  <c r="B127" i="34"/>
  <c r="F45" i="34" s="1"/>
  <c r="S45" i="34" s="1"/>
  <c r="B99" i="34"/>
  <c r="B97" i="34"/>
  <c r="B95" i="34"/>
  <c r="H30" i="34" s="1"/>
  <c r="B93" i="34"/>
  <c r="J29" i="34" s="1"/>
  <c r="B75" i="34"/>
  <c r="B73" i="34"/>
  <c r="B71" i="34"/>
  <c r="B130" i="33"/>
  <c r="B128" i="33"/>
  <c r="H45" i="33" s="1"/>
  <c r="B126" i="33"/>
  <c r="B98" i="33"/>
  <c r="B96" i="33"/>
  <c r="B94" i="33"/>
  <c r="B74" i="33"/>
  <c r="B72" i="33"/>
  <c r="H13" i="33" s="1"/>
  <c r="U13" i="33" s="1"/>
  <c r="B70" i="33"/>
  <c r="J12" i="33"/>
  <c r="AC12" i="33" s="1"/>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J44" i="21" s="1"/>
  <c r="AC44" i="21" s="1"/>
  <c r="B98" i="21"/>
  <c r="H31" i="21" s="1"/>
  <c r="B96" i="21"/>
  <c r="B94" i="21"/>
  <c r="J29" i="21" s="1"/>
  <c r="AC29" i="21" s="1"/>
  <c r="B92" i="21"/>
  <c r="J28" i="21" s="1"/>
  <c r="W28" i="21" s="1"/>
  <c r="B90" i="21"/>
  <c r="H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AB41" i="21"/>
  <c r="S41" i="21"/>
  <c r="AA41" i="21"/>
  <c r="F45" i="39"/>
  <c r="S45" i="39" s="1"/>
  <c r="J45" i="39"/>
  <c r="W45" i="39" s="1"/>
  <c r="J44" i="39"/>
  <c r="W44" i="39" s="1"/>
  <c r="AC44" i="39"/>
  <c r="H36" i="39"/>
  <c r="AB36" i="39"/>
  <c r="J35" i="39"/>
  <c r="AC35" i="39" s="1"/>
  <c r="F35" i="39"/>
  <c r="AA35" i="39"/>
  <c r="J36" i="39"/>
  <c r="AC36" i="39" s="1"/>
  <c r="U9"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U34" i="35"/>
  <c r="F36" i="34"/>
  <c r="J35" i="34"/>
  <c r="U34" i="34"/>
  <c r="H39" i="33"/>
  <c r="AB39" i="33"/>
  <c r="F26" i="33"/>
  <c r="S26" i="33" s="1"/>
  <c r="AA26" i="33"/>
  <c r="U35" i="33"/>
  <c r="S40" i="33"/>
  <c r="W33" i="33"/>
  <c r="W39" i="33"/>
  <c r="H39" i="37"/>
  <c r="AB39" i="37"/>
  <c r="F11" i="40"/>
  <c r="AA11" i="40"/>
  <c r="H11" i="40"/>
  <c r="AB11" i="40"/>
  <c r="U9" i="40"/>
  <c r="U38" i="40"/>
  <c r="U34" i="40"/>
  <c r="F42" i="39"/>
  <c r="AA42" i="39" s="1"/>
  <c r="F41" i="39"/>
  <c r="S41" i="39" s="1"/>
  <c r="H40" i="39"/>
  <c r="H39" i="39"/>
  <c r="U39" i="39" s="1"/>
  <c r="S34" i="39"/>
  <c r="H34" i="39"/>
  <c r="E100"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F100" i="39"/>
  <c r="H27" i="39"/>
  <c r="J19" i="39"/>
  <c r="AC19" i="39" s="1"/>
  <c r="J17" i="39"/>
  <c r="J27" i="39"/>
  <c r="AC27" i="39"/>
  <c r="F27" i="39"/>
  <c r="AA27" i="39" s="1"/>
  <c r="F11" i="21"/>
  <c r="S11" i="21" s="1"/>
  <c r="H11" i="39"/>
  <c r="H32" i="33"/>
  <c r="H11" i="21"/>
  <c r="U11" i="21" s="1"/>
  <c r="J11" i="21"/>
  <c r="W11" i="21" s="1"/>
  <c r="H37" i="40"/>
  <c r="H36" i="40"/>
  <c r="F35" i="40"/>
  <c r="AA35" i="40"/>
  <c r="H23" i="40"/>
  <c r="AB23" i="40" s="1"/>
  <c r="H17" i="40"/>
  <c r="U17" i="40" s="1"/>
  <c r="J15" i="40"/>
  <c r="W15" i="40" s="1"/>
  <c r="J11" i="40"/>
  <c r="W11" i="40"/>
  <c r="AB8" i="39"/>
  <c r="W32" i="40"/>
  <c r="S44" i="39"/>
  <c r="J34" i="36"/>
  <c r="W34" i="36" s="1"/>
  <c r="U30" i="36"/>
  <c r="J30" i="35"/>
  <c r="W30" i="35" s="1"/>
  <c r="H30" i="35"/>
  <c r="AB30" i="35" s="1"/>
  <c r="F22" i="35"/>
  <c r="AA22" i="35"/>
  <c r="H10" i="35"/>
  <c r="U10" i="35" s="1"/>
  <c r="AA33" i="36"/>
  <c r="H16" i="36"/>
  <c r="AB16" i="36" s="1"/>
  <c r="E85" i="36"/>
  <c r="F85" i="36" s="1"/>
  <c r="G85" i="36" s="1"/>
  <c r="H85" i="36" s="1"/>
  <c r="I85" i="36" s="1"/>
  <c r="J85" i="36" s="1"/>
  <c r="K85" i="36" s="1"/>
  <c r="L85" i="36" s="1"/>
  <c r="M85" i="36" s="1"/>
  <c r="J29" i="36"/>
  <c r="AC29" i="36" s="1"/>
  <c r="F12" i="36"/>
  <c r="S12" i="36" s="1"/>
  <c r="F24" i="36"/>
  <c r="AA24" i="36"/>
  <c r="F34" i="36"/>
  <c r="S34" i="36" s="1"/>
  <c r="F14" i="35"/>
  <c r="J32" i="35"/>
  <c r="AC32" i="35" s="1"/>
  <c r="J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AA37" i="34" s="1"/>
  <c r="F25" i="34"/>
  <c r="S25" i="34" s="1"/>
  <c r="H23" i="34"/>
  <c r="U23" i="34" s="1"/>
  <c r="J23" i="34"/>
  <c r="F19" i="34"/>
  <c r="H17" i="34"/>
  <c r="F15" i="34"/>
  <c r="AA15" i="34" s="1"/>
  <c r="J15" i="34"/>
  <c r="AC15" i="34" s="1"/>
  <c r="H15" i="34"/>
  <c r="AB15" i="34" s="1"/>
  <c r="F41" i="33"/>
  <c r="AA41" i="33" s="1"/>
  <c r="S38" i="33"/>
  <c r="F32" i="33"/>
  <c r="AA32" i="33" s="1"/>
  <c r="J19" i="33"/>
  <c r="AC19" i="33" s="1"/>
  <c r="J15" i="33"/>
  <c r="AC15" i="33" s="1"/>
  <c r="F11" i="33"/>
  <c r="AA11" i="33" s="1"/>
  <c r="F37" i="40"/>
  <c r="AA37" i="40"/>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c r="H15" i="33"/>
  <c r="AB15" i="33" s="1"/>
  <c r="H11" i="33"/>
  <c r="AB11" i="33" s="1"/>
  <c r="F28" i="40"/>
  <c r="AA28" i="40"/>
  <c r="AC38" i="34"/>
  <c r="J37" i="34"/>
  <c r="AC37" i="34" s="1"/>
  <c r="J11" i="33"/>
  <c r="W11" i="33" s="1"/>
  <c r="J42" i="21"/>
  <c r="AC42" i="21" s="1"/>
  <c r="J44" i="34"/>
  <c r="W44" i="34" s="1"/>
  <c r="F44" i="34"/>
  <c r="AA44" i="34" s="1"/>
  <c r="J10" i="35"/>
  <c r="AC10" i="35" s="1"/>
  <c r="J14" i="21"/>
  <c r="W14" i="21" s="1"/>
  <c r="F14" i="21"/>
  <c r="S14" i="21" s="1"/>
  <c r="H14" i="21"/>
  <c r="U14" i="21" s="1"/>
  <c r="H30" i="21"/>
  <c r="F30" i="21"/>
  <c r="S30" i="21" s="1"/>
  <c r="J30" i="21"/>
  <c r="AC30" i="21" s="1"/>
  <c r="F44" i="21"/>
  <c r="AA44" i="21" s="1"/>
  <c r="J46" i="21"/>
  <c r="E119" i="21"/>
  <c r="F119" i="21" s="1"/>
  <c r="G119" i="21" s="1"/>
  <c r="H119" i="21" s="1"/>
  <c r="I119" i="21" s="1"/>
  <c r="J119" i="21" s="1"/>
  <c r="K119" i="21" s="1"/>
  <c r="L119" i="21" s="1"/>
  <c r="M119" i="21" s="1"/>
  <c r="H26" i="33"/>
  <c r="AB26" i="33" s="1"/>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F27" i="33"/>
  <c r="AA27" i="33"/>
  <c r="J13" i="33"/>
  <c r="F13" i="33"/>
  <c r="S13" i="33"/>
  <c r="J29" i="33"/>
  <c r="J31" i="33"/>
  <c r="W31" i="33" s="1"/>
  <c r="H31" i="33"/>
  <c r="F31" i="33"/>
  <c r="J45" i="33"/>
  <c r="W45" i="33" s="1"/>
  <c r="F30" i="34"/>
  <c r="S30" i="34"/>
  <c r="J30" i="34"/>
  <c r="H46" i="34"/>
  <c r="U46" i="34" s="1"/>
  <c r="F46" i="34"/>
  <c r="J46" i="34"/>
  <c r="H11" i="35"/>
  <c r="AB11" i="35" s="1"/>
  <c r="AC11" i="35"/>
  <c r="F11" i="35"/>
  <c r="S11" i="35" s="1"/>
  <c r="J26" i="36"/>
  <c r="W26" i="36" s="1"/>
  <c r="H28" i="36"/>
  <c r="U28" i="36" s="1"/>
  <c r="J32" i="36"/>
  <c r="W32" i="36" s="1"/>
  <c r="J89" i="37"/>
  <c r="K89" i="37" s="1"/>
  <c r="L89" i="37" s="1"/>
  <c r="M89" i="37" s="1"/>
  <c r="J29" i="37"/>
  <c r="W29" i="37" s="1"/>
  <c r="F29" i="37"/>
  <c r="S29" i="37"/>
  <c r="F105" i="37"/>
  <c r="G105" i="37" s="1"/>
  <c r="H36" i="37"/>
  <c r="AB36" i="37" s="1"/>
  <c r="J37" i="37"/>
  <c r="AC37" i="37" s="1"/>
  <c r="H37" i="37"/>
  <c r="U37" i="37" s="1"/>
  <c r="H40" i="37"/>
  <c r="U40" i="37" s="1"/>
  <c r="J40" i="37"/>
  <c r="AC40" i="37"/>
  <c r="H14" i="33"/>
  <c r="U14" i="33" s="1"/>
  <c r="F14" i="33"/>
  <c r="S14" i="33"/>
  <c r="J14" i="33"/>
  <c r="AC14" i="33" s="1"/>
  <c r="H30" i="33"/>
  <c r="AB30" i="33" s="1"/>
  <c r="F30" i="33"/>
  <c r="J30" i="33"/>
  <c r="H44" i="33"/>
  <c r="U44" i="33" s="1"/>
  <c r="J44" i="33"/>
  <c r="AC44" i="33"/>
  <c r="F44" i="33"/>
  <c r="S44" i="33" s="1"/>
  <c r="J46" i="33"/>
  <c r="AC46" i="33" s="1"/>
  <c r="F46" i="33"/>
  <c r="AA46" i="33" s="1"/>
  <c r="H46" i="33"/>
  <c r="AB46" i="33"/>
  <c r="H13" i="34"/>
  <c r="U13" i="34" s="1"/>
  <c r="J13" i="34"/>
  <c r="W13" i="34"/>
  <c r="F13" i="34"/>
  <c r="AA13" i="34" s="1"/>
  <c r="F29" i="34"/>
  <c r="S29" i="34" s="1"/>
  <c r="H29" i="34"/>
  <c r="AB29" i="34" s="1"/>
  <c r="J31" i="34"/>
  <c r="AC31" i="34"/>
  <c r="H31" i="34"/>
  <c r="F31" i="34"/>
  <c r="S31" i="34" s="1"/>
  <c r="H45" i="34"/>
  <c r="U45" i="34" s="1"/>
  <c r="J45" i="34"/>
  <c r="W45" i="34" s="1"/>
  <c r="H47" i="34"/>
  <c r="U47" i="34"/>
  <c r="F47" i="34"/>
  <c r="J47" i="34"/>
  <c r="AC47" i="34"/>
  <c r="F13" i="35"/>
  <c r="J13" i="35"/>
  <c r="AC13" i="35" s="1"/>
  <c r="H13" i="35"/>
  <c r="U13" i="35" s="1"/>
  <c r="J25" i="35"/>
  <c r="W25" i="35"/>
  <c r="F25" i="35"/>
  <c r="S25" i="35" s="1"/>
  <c r="H25" i="35"/>
  <c r="AB25" i="35"/>
  <c r="H25" i="36"/>
  <c r="AB25" i="36" s="1"/>
  <c r="J13" i="37"/>
  <c r="W13" i="37" s="1"/>
  <c r="J28" i="37"/>
  <c r="AC28" i="37"/>
  <c r="H28" i="37"/>
  <c r="AB38" i="37"/>
  <c r="J38" i="37"/>
  <c r="AC38" i="37" s="1"/>
  <c r="F38" i="37"/>
  <c r="S38" i="37" s="1"/>
  <c r="F12" i="40"/>
  <c r="S12" i="40" s="1"/>
  <c r="H30" i="40"/>
  <c r="AB30" i="40" s="1"/>
  <c r="F33" i="40"/>
  <c r="AA33" i="40" s="1"/>
  <c r="H33" i="40"/>
  <c r="U33" i="40" s="1"/>
  <c r="J35" i="40"/>
  <c r="W35" i="40" s="1"/>
  <c r="J37" i="40"/>
  <c r="AC37" i="40" s="1"/>
  <c r="H13" i="40"/>
  <c r="U13" i="40"/>
  <c r="J13" i="40"/>
  <c r="F13" i="40"/>
  <c r="AA13" i="40"/>
  <c r="F14" i="37"/>
  <c r="F27" i="37"/>
  <c r="AA27" i="37" s="1"/>
  <c r="F13" i="39"/>
  <c r="J13" i="39"/>
  <c r="W13" i="39" s="1"/>
  <c r="H13" i="39"/>
  <c r="U13" i="39" s="1"/>
  <c r="H14" i="40"/>
  <c r="AB14" i="40"/>
  <c r="F14" i="40"/>
  <c r="S14" i="40" s="1"/>
  <c r="AA14" i="40"/>
  <c r="J14" i="37"/>
  <c r="U46" i="33"/>
  <c r="AA14" i="33"/>
  <c r="J36" i="37"/>
  <c r="AC36" i="37"/>
  <c r="J10" i="36"/>
  <c r="AC10" i="36" s="1"/>
  <c r="W31" i="34"/>
  <c r="AB46" i="34"/>
  <c r="S44" i="34"/>
  <c r="F17" i="21"/>
  <c r="AA17" i="21" s="1"/>
  <c r="H17" i="21"/>
  <c r="AB17" i="21" s="1"/>
  <c r="F15" i="21"/>
  <c r="S15" i="21" s="1"/>
  <c r="J41" i="39"/>
  <c r="W41" i="39" s="1"/>
  <c r="U36" i="39"/>
  <c r="S35" i="39"/>
  <c r="G536" i="3"/>
  <c r="G535" i="3"/>
  <c r="G531" i="3"/>
  <c r="G528" i="3"/>
  <c r="G527" i="3"/>
  <c r="G518" i="3"/>
  <c r="G514" i="3"/>
  <c r="G500" i="3"/>
  <c r="G496" i="3"/>
  <c r="G580" i="3"/>
  <c r="G572" i="3"/>
  <c r="G564" i="3"/>
  <c r="G560" i="3"/>
  <c r="G554" i="3"/>
  <c r="BL584" i="3"/>
  <c r="BL580" i="3"/>
  <c r="BL564" i="3"/>
  <c r="BL560" i="3"/>
  <c r="BL538" i="3"/>
  <c r="BL530" i="3"/>
  <c r="BL512" i="3"/>
  <c r="BL506" i="3"/>
  <c r="BL582" i="3"/>
  <c r="BL578" i="3"/>
  <c r="BL562" i="3"/>
  <c r="BL552" i="3"/>
  <c r="G533" i="3"/>
  <c r="BL532" i="3"/>
  <c r="G529" i="3"/>
  <c r="BL524" i="3"/>
  <c r="BL518" i="3"/>
  <c r="BL500" i="3"/>
  <c r="G493" i="3"/>
  <c r="BA578" i="3"/>
  <c r="BA576" i="3"/>
  <c r="BA568" i="3"/>
  <c r="BA566" i="3"/>
  <c r="BA558" i="3"/>
  <c r="AZ558" i="3" s="1"/>
  <c r="BA556" i="3"/>
  <c r="BA552" i="3"/>
  <c r="AZ552" i="3" s="1"/>
  <c r="BA542" i="3"/>
  <c r="BA530" i="3"/>
  <c r="BA522" i="3"/>
  <c r="BA520" i="3"/>
  <c r="BA512" i="3"/>
  <c r="AZ512" i="3" s="1"/>
  <c r="BA510" i="3"/>
  <c r="BA504" i="3"/>
  <c r="BA496" i="3"/>
  <c r="BA583" i="3"/>
  <c r="BA579" i="3"/>
  <c r="BA571" i="3"/>
  <c r="BA569" i="3"/>
  <c r="BA561" i="3"/>
  <c r="BA559" i="3"/>
  <c r="BA547" i="3"/>
  <c r="BA543" i="3"/>
  <c r="BA535" i="3"/>
  <c r="BA533" i="3"/>
  <c r="BA525" i="3"/>
  <c r="BA523" i="3"/>
  <c r="BA513" i="3"/>
  <c r="BA507" i="3"/>
  <c r="BA499" i="3"/>
  <c r="BA497" i="3"/>
  <c r="AZ497" i="3" s="1"/>
  <c r="G583" i="3"/>
  <c r="G581" i="3"/>
  <c r="G573" i="3"/>
  <c r="G569" i="3"/>
  <c r="G561" i="3"/>
  <c r="BL558" i="3"/>
  <c r="AC557" i="3"/>
  <c r="BQ557" i="3"/>
  <c r="BL557" i="3" s="1"/>
  <c r="BQ583" i="3"/>
  <c r="BL583" i="3" s="1"/>
  <c r="AZ583" i="3" s="1"/>
  <c r="BQ581" i="3"/>
  <c r="BQ579" i="3"/>
  <c r="BL579" i="3"/>
  <c r="BQ577" i="3"/>
  <c r="BL577" i="3" s="1"/>
  <c r="BQ575" i="3"/>
  <c r="BQ573" i="3"/>
  <c r="BL573" i="3" s="1"/>
  <c r="BQ571" i="3"/>
  <c r="BQ569" i="3"/>
  <c r="BQ567" i="3"/>
  <c r="BL567" i="3"/>
  <c r="BQ565" i="3"/>
  <c r="BQ563" i="3"/>
  <c r="BL563" i="3"/>
  <c r="BQ561" i="3"/>
  <c r="BQ559" i="3"/>
  <c r="G555" i="3"/>
  <c r="G545" i="3"/>
  <c r="G543" i="3"/>
  <c r="G537" i="3"/>
  <c r="BQ555" i="3"/>
  <c r="BL555" i="3"/>
  <c r="BQ553" i="3"/>
  <c r="BQ551" i="3"/>
  <c r="BL551" i="3" s="1"/>
  <c r="BQ549" i="3"/>
  <c r="BQ547" i="3"/>
  <c r="BQ545" i="3"/>
  <c r="BL545" i="3" s="1"/>
  <c r="BQ543" i="3"/>
  <c r="BQ541" i="3"/>
  <c r="BL541" i="3" s="1"/>
  <c r="BQ539" i="3"/>
  <c r="BQ537" i="3"/>
  <c r="BL537" i="3"/>
  <c r="BQ535" i="3"/>
  <c r="BL535" i="3" s="1"/>
  <c r="AZ535" i="3" s="1"/>
  <c r="BQ533" i="3"/>
  <c r="BQ531" i="3"/>
  <c r="BL531" i="3" s="1"/>
  <c r="BQ529" i="3"/>
  <c r="BQ527" i="3"/>
  <c r="BQ525" i="3"/>
  <c r="BQ523" i="3"/>
  <c r="BL523" i="3" s="1"/>
  <c r="AC521" i="3"/>
  <c r="G521" i="3"/>
  <c r="BQ521" i="3"/>
  <c r="G519" i="3"/>
  <c r="G515" i="3"/>
  <c r="G513" i="3"/>
  <c r="G511" i="3"/>
  <c r="BQ519" i="3"/>
  <c r="BQ517" i="3"/>
  <c r="BL517" i="3"/>
  <c r="BQ515" i="3"/>
  <c r="BL515" i="3" s="1"/>
  <c r="BQ513" i="3"/>
  <c r="BQ511" i="3"/>
  <c r="BL511" i="3" s="1"/>
  <c r="BA509" i="3"/>
  <c r="AC509" i="3"/>
  <c r="BQ509" i="3"/>
  <c r="BL509" i="3"/>
  <c r="BL508" i="3"/>
  <c r="G507" i="3"/>
  <c r="G505" i="3"/>
  <c r="G503" i="3"/>
  <c r="G501" i="3"/>
  <c r="G499" i="3"/>
  <c r="G497" i="3"/>
  <c r="G495" i="3"/>
  <c r="BQ507" i="3"/>
  <c r="BQ505" i="3"/>
  <c r="BL505" i="3"/>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1" i="40"/>
  <c r="U31" i="40" s="1"/>
  <c r="F32" i="40"/>
  <c r="S32" i="40"/>
  <c r="H32" i="40"/>
  <c r="AB32" i="40" s="1"/>
  <c r="J36" i="40"/>
  <c r="W36" i="40"/>
  <c r="H19" i="37"/>
  <c r="AB19" i="37" s="1"/>
  <c r="H42" i="33"/>
  <c r="AB42" i="33" s="1"/>
  <c r="J43" i="33"/>
  <c r="AC43" i="33" s="1"/>
  <c r="S28" i="31"/>
  <c r="S27" i="31"/>
  <c r="S26" i="31"/>
  <c r="U14" i="40"/>
  <c r="U39" i="37"/>
  <c r="W47" i="34"/>
  <c r="AA13" i="33"/>
  <c r="AC31" i="33"/>
  <c r="AC45" i="33"/>
  <c r="W44" i="33"/>
  <c r="U11" i="33"/>
  <c r="U19" i="21"/>
  <c r="F43" i="33"/>
  <c r="AA43" i="33"/>
  <c r="W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C7" i="37"/>
  <c r="C52" i="37" s="1"/>
  <c r="D52" i="37" s="1"/>
  <c r="A118" i="9"/>
  <c r="A4" i="52"/>
  <c r="B41" i="72" s="1"/>
  <c r="J11" i="39"/>
  <c r="W11" i="39"/>
  <c r="F11" i="39"/>
  <c r="S11" i="39" s="1"/>
  <c r="AA11" i="39"/>
  <c r="G4" i="4"/>
  <c r="I4" i="4"/>
  <c r="A2" i="9"/>
  <c r="F61" i="43"/>
  <c r="H64" i="43" s="1"/>
  <c r="BL549" i="3"/>
  <c r="AZ530" i="3"/>
  <c r="G303" i="3"/>
  <c r="BL304" i="3"/>
  <c r="G305" i="3"/>
  <c r="BL306" i="3"/>
  <c r="BA308" i="3"/>
  <c r="AZ308" i="3" s="1"/>
  <c r="BA309" i="3"/>
  <c r="AZ309" i="3" s="1"/>
  <c r="BL309" i="3"/>
  <c r="G310" i="3"/>
  <c r="BA311"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A123" i="3"/>
  <c r="BL124" i="3"/>
  <c r="G125" i="3"/>
  <c r="BA127" i="3"/>
  <c r="AZ127" i="3"/>
  <c r="BL132" i="3"/>
  <c r="AZ132" i="3" s="1"/>
  <c r="G133" i="3"/>
  <c r="BA135" i="3"/>
  <c r="AZ135" i="3" s="1"/>
  <c r="BL136" i="3"/>
  <c r="G137" i="3"/>
  <c r="BA139" i="3"/>
  <c r="BL140" i="3"/>
  <c r="AZ140" i="3" s="1"/>
  <c r="G141" i="3"/>
  <c r="BA143" i="3"/>
  <c r="BL144" i="3"/>
  <c r="G145" i="3"/>
  <c r="BL148" i="3"/>
  <c r="AZ148" i="3"/>
  <c r="G149" i="3"/>
  <c r="BA151" i="3"/>
  <c r="BL152" i="3"/>
  <c r="G153" i="3"/>
  <c r="BA155" i="3"/>
  <c r="BL156" i="3"/>
  <c r="G157" i="3"/>
  <c r="BA159" i="3"/>
  <c r="BL160" i="3"/>
  <c r="AZ160" i="3" s="1"/>
  <c r="G161" i="3"/>
  <c r="BA163" i="3"/>
  <c r="AZ163" i="3"/>
  <c r="BL164" i="3"/>
  <c r="G165" i="3"/>
  <c r="BL168" i="3"/>
  <c r="G169" i="3"/>
  <c r="BA171" i="3"/>
  <c r="BL172" i="3"/>
  <c r="G173"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52" i="3"/>
  <c r="AZ168" i="3"/>
  <c r="G534" i="3"/>
  <c r="G516" i="3"/>
  <c r="G512" i="3"/>
  <c r="G506" i="3"/>
  <c r="G498" i="3"/>
  <c r="G494" i="3"/>
  <c r="G16" i="3"/>
  <c r="G15" i="3"/>
  <c r="BA304" i="3"/>
  <c r="BA305" i="3"/>
  <c r="AZ305" i="3" s="1"/>
  <c r="BL305" i="3"/>
  <c r="G306" i="3"/>
  <c r="G309" i="3"/>
  <c r="BL310" i="3"/>
  <c r="AZ310" i="3" s="1"/>
  <c r="BA312" i="3"/>
  <c r="BA313" i="3"/>
  <c r="BL313" i="3"/>
  <c r="G314" i="3"/>
  <c r="G317"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54" i="3"/>
  <c r="AZ162" i="3"/>
  <c r="AZ194" i="3"/>
  <c r="AZ198" i="3"/>
  <c r="BA16" i="3"/>
  <c r="AZ16" i="3"/>
  <c r="BL303" i="3"/>
  <c r="G304" i="3"/>
  <c r="BA306" i="3"/>
  <c r="BL307" i="3"/>
  <c r="G308" i="3"/>
  <c r="BA310" i="3"/>
  <c r="BL311" i="3"/>
  <c r="AZ311" i="3" s="1"/>
  <c r="G312" i="3"/>
  <c r="BA314" i="3"/>
  <c r="BL315" i="3"/>
  <c r="G316" i="3"/>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G359" i="3"/>
  <c r="BA361" i="3"/>
  <c r="BL362" i="3"/>
  <c r="AZ362" i="3" s="1"/>
  <c r="G363" i="3"/>
  <c r="BA365" i="3"/>
  <c r="BL366" i="3"/>
  <c r="G367" i="3"/>
  <c r="BA369" i="3"/>
  <c r="AZ369" i="3"/>
  <c r="BL370" i="3"/>
  <c r="G371" i="3"/>
  <c r="BA373" i="3"/>
  <c r="AZ373" i="3"/>
  <c r="BL374" i="3"/>
  <c r="G375" i="3"/>
  <c r="BA377" i="3"/>
  <c r="AZ241" i="3"/>
  <c r="BA379" i="3"/>
  <c r="AZ379" i="3" s="1"/>
  <c r="BL380" i="3"/>
  <c r="G381" i="3"/>
  <c r="BA383" i="3"/>
  <c r="BL384" i="3"/>
  <c r="AZ384" i="3" s="1"/>
  <c r="G385" i="3"/>
  <c r="BA387" i="3"/>
  <c r="AZ387" i="3" s="1"/>
  <c r="BL388" i="3"/>
  <c r="G389" i="3"/>
  <c r="BA391" i="3"/>
  <c r="BL392" i="3"/>
  <c r="G393" i="3"/>
  <c r="BJ5" i="3"/>
  <c r="AZ325" i="3"/>
  <c r="AZ341" i="3"/>
  <c r="G548" i="3"/>
  <c r="G520" i="3"/>
  <c r="G502" i="3"/>
  <c r="BS5" i="3"/>
  <c r="G17" i="3"/>
  <c r="BA17" i="3"/>
  <c r="AZ356" i="3"/>
  <c r="BA15" i="3"/>
  <c r="AZ509" i="3"/>
  <c r="G509" i="3"/>
  <c r="F83" i="43"/>
  <c r="H85" i="43" s="1"/>
  <c r="F50" i="43"/>
  <c r="H54" i="43" s="1"/>
  <c r="F72" i="43"/>
  <c r="H75" i="43" s="1"/>
  <c r="U17" i="39"/>
  <c r="AC11" i="39"/>
  <c r="W37" i="37"/>
  <c r="S15" i="37"/>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H32" i="37"/>
  <c r="AB32" i="37" s="1"/>
  <c r="F96" i="37"/>
  <c r="J27" i="40"/>
  <c r="AC27" i="40"/>
  <c r="J30" i="40"/>
  <c r="AC30" i="40" s="1"/>
  <c r="F30" i="40"/>
  <c r="AA30" i="40"/>
  <c r="AC21" i="40"/>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3"/>
  <c r="BL14" i="3"/>
  <c r="U30" i="33"/>
  <c r="AC13" i="34"/>
  <c r="W28" i="37"/>
  <c r="S19" i="39"/>
  <c r="F12" i="33"/>
  <c r="H12" i="39"/>
  <c r="AB12" i="39"/>
  <c r="F39" i="40"/>
  <c r="S39" i="40" s="1"/>
  <c r="BA14" i="3"/>
  <c r="AZ254" i="3"/>
  <c r="AZ297" i="3"/>
  <c r="AZ149" i="3"/>
  <c r="AZ181" i="3"/>
  <c r="B12" i="1"/>
  <c r="E12" i="1" s="1"/>
  <c r="B10" i="1"/>
  <c r="E10" i="1" s="1"/>
  <c r="K12" i="1"/>
  <c r="M12" i="1" s="1"/>
  <c r="S13" i="1"/>
  <c r="AR13" i="1" s="1"/>
  <c r="R13" i="1"/>
  <c r="J51" i="67"/>
  <c r="AC34" i="33"/>
  <c r="AA34" i="33"/>
  <c r="B41" i="1"/>
  <c r="F48" i="9" s="1"/>
  <c r="O52" i="9" s="1"/>
  <c r="S35" i="40"/>
  <c r="U35" i="40"/>
  <c r="AC36" i="40"/>
  <c r="AA32" i="40"/>
  <c r="S17" i="40"/>
  <c r="S23" i="40"/>
  <c r="AC17" i="40"/>
  <c r="AC15" i="40"/>
  <c r="S30" i="40"/>
  <c r="S28" i="40"/>
  <c r="AB19" i="40"/>
  <c r="U37" i="39"/>
  <c r="U35" i="39"/>
  <c r="F32" i="39"/>
  <c r="J21" i="39"/>
  <c r="W21" i="39" s="1"/>
  <c r="F21" i="39"/>
  <c r="H21" i="39"/>
  <c r="AB21" i="39" s="1"/>
  <c r="W19" i="39"/>
  <c r="S17" i="39"/>
  <c r="S15" i="39"/>
  <c r="AA12" i="39"/>
  <c r="AC13" i="39"/>
  <c r="U12" i="39"/>
  <c r="S23" i="36"/>
  <c r="U26" i="36"/>
  <c r="S33" i="36"/>
  <c r="AA34" i="36"/>
  <c r="AC26" i="36"/>
  <c r="AA22" i="36"/>
  <c r="W14" i="36"/>
  <c r="AB14" i="36"/>
  <c r="U22" i="36"/>
  <c r="S16" i="36"/>
  <c r="S24" i="36"/>
  <c r="AB20" i="36"/>
  <c r="U16" i="36"/>
  <c r="S14" i="36"/>
  <c r="AA25" i="35"/>
  <c r="W24" i="35"/>
  <c r="AB13" i="35"/>
  <c r="U29" i="35"/>
  <c r="U28" i="35"/>
  <c r="AB27" i="35"/>
  <c r="U36" i="35"/>
  <c r="AA33" i="35"/>
  <c r="AC30" i="35"/>
  <c r="S32" i="35"/>
  <c r="AA36" i="35"/>
  <c r="AB16" i="35"/>
  <c r="U22" i="35"/>
  <c r="S20" i="35"/>
  <c r="AC20" i="35"/>
  <c r="S22" i="35"/>
  <c r="U14" i="35"/>
  <c r="AA11" i="35"/>
  <c r="AC9" i="35"/>
  <c r="W9" i="35"/>
  <c r="W13" i="35"/>
  <c r="F9" i="35"/>
  <c r="S9" i="35" s="1"/>
  <c r="H9" i="35"/>
  <c r="U9" i="35" s="1"/>
  <c r="AC29" i="37"/>
  <c r="S32" i="37"/>
  <c r="AB31" i="37"/>
  <c r="W30" i="37"/>
  <c r="S36" i="37"/>
  <c r="AA38"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U27" i="34"/>
  <c r="S23" i="34"/>
  <c r="U15" i="34"/>
  <c r="S13" i="34"/>
  <c r="H10" i="34"/>
  <c r="AB10" i="34" s="1"/>
  <c r="F11" i="34"/>
  <c r="S11" i="34" s="1"/>
  <c r="F70" i="34"/>
  <c r="G70" i="34" s="1"/>
  <c r="H70" i="34" s="1"/>
  <c r="I70" i="34" s="1"/>
  <c r="J70" i="34" s="1"/>
  <c r="K70" i="34" s="1"/>
  <c r="L70" i="34" s="1"/>
  <c r="M70" i="34" s="1"/>
  <c r="W42" i="33"/>
  <c r="AA35" i="33"/>
  <c r="S27" i="33"/>
  <c r="S32" i="33"/>
  <c r="W38" i="33"/>
  <c r="H41" i="33"/>
  <c r="U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H23" i="33"/>
  <c r="AB23" i="33" s="1"/>
  <c r="F81" i="33"/>
  <c r="F19" i="33"/>
  <c r="S19" i="33" s="1"/>
  <c r="W19" i="33"/>
  <c r="J17" i="33"/>
  <c r="W17" i="33" s="1"/>
  <c r="F79" i="33"/>
  <c r="G79" i="33" s="1"/>
  <c r="S15" i="33"/>
  <c r="W15" i="33"/>
  <c r="U9" i="33"/>
  <c r="J10" i="33"/>
  <c r="W10" i="33" s="1"/>
  <c r="H10" i="33"/>
  <c r="U10" i="33" s="1"/>
  <c r="AC11" i="33"/>
  <c r="AB14" i="33"/>
  <c r="W43" i="21"/>
  <c r="W41" i="21"/>
  <c r="AA38" i="21"/>
  <c r="AA36" i="21"/>
  <c r="J15" i="21"/>
  <c r="AC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U32" i="40"/>
  <c r="AB31" i="40"/>
  <c r="S37" i="40"/>
  <c r="AB28" i="40"/>
  <c r="W28" i="40"/>
  <c r="W27" i="40"/>
  <c r="S36" i="40"/>
  <c r="W37" i="40"/>
  <c r="AC14" i="40"/>
  <c r="S13" i="40"/>
  <c r="S33" i="40"/>
  <c r="AA15" i="40"/>
  <c r="U11" i="40"/>
  <c r="AB13" i="40"/>
  <c r="U15" i="40"/>
  <c r="AB17" i="40"/>
  <c r="U8" i="40"/>
  <c r="S8" i="40"/>
  <c r="AA39" i="39"/>
  <c r="AC41" i="39"/>
  <c r="U42" i="39"/>
  <c r="U41" i="39"/>
  <c r="W25" i="39"/>
  <c r="AC25" i="39"/>
  <c r="AB13" i="39"/>
  <c r="AA13" i="39"/>
  <c r="S13" i="39"/>
  <c r="AB11" i="39"/>
  <c r="U11" i="39"/>
  <c r="W17" i="39"/>
  <c r="AC17" i="39"/>
  <c r="AA45" i="39"/>
  <c r="AB39" i="39"/>
  <c r="U38" i="39"/>
  <c r="S8" i="39"/>
  <c r="S20" i="36"/>
  <c r="W29" i="36"/>
  <c r="AC20" i="36"/>
  <c r="AB28" i="36"/>
  <c r="W22" i="36"/>
  <c r="AB20" i="35"/>
  <c r="AC25" i="35"/>
  <c r="U25" i="35"/>
  <c r="S24" i="35"/>
  <c r="U24"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29" i="34"/>
  <c r="W29" i="34"/>
  <c r="W46" i="34"/>
  <c r="AC46" i="34"/>
  <c r="U30" i="34"/>
  <c r="AB30" i="34"/>
  <c r="S37" i="34"/>
  <c r="U38" i="34"/>
  <c r="AC40" i="34"/>
  <c r="W40" i="34"/>
  <c r="AA19" i="34"/>
  <c r="S19" i="34"/>
  <c r="AA36" i="34"/>
  <c r="S36" i="34"/>
  <c r="AA8" i="34"/>
  <c r="S8" i="34"/>
  <c r="S46" i="34"/>
  <c r="AA46" i="34"/>
  <c r="AC43" i="34"/>
  <c r="W43" i="34"/>
  <c r="W23" i="34"/>
  <c r="AC23" i="34"/>
  <c r="AC35" i="34"/>
  <c r="W35" i="34"/>
  <c r="U12" i="34"/>
  <c r="AB12" i="34"/>
  <c r="AC37" i="33"/>
  <c r="U39" i="33"/>
  <c r="U38" i="33"/>
  <c r="S33" i="33"/>
  <c r="AB34" i="33"/>
  <c r="AB44" i="33"/>
  <c r="S30" i="33"/>
  <c r="AA30" i="33"/>
  <c r="W14" i="33"/>
  <c r="AC30" i="33"/>
  <c r="W30" i="33"/>
  <c r="S31" i="33"/>
  <c r="AA31" i="33"/>
  <c r="W13" i="33"/>
  <c r="AC13" i="33"/>
  <c r="U15" i="33"/>
  <c r="S11" i="33"/>
  <c r="U37" i="33"/>
  <c r="W9" i="33"/>
  <c r="F33" i="21"/>
  <c r="AA33" i="21" s="1"/>
  <c r="J33" i="21"/>
  <c r="AC33" i="21" s="1"/>
  <c r="H33" i="21"/>
  <c r="AB33" i="21" s="1"/>
  <c r="F37" i="21"/>
  <c r="AA37" i="21" s="1"/>
  <c r="U13" i="21"/>
  <c r="AB13" i="21"/>
  <c r="J37" i="21"/>
  <c r="W37" i="21" s="1"/>
  <c r="H15" i="21"/>
  <c r="AB15" i="21" s="1"/>
  <c r="J17" i="21"/>
  <c r="AC17" i="21" s="1"/>
  <c r="AC14" i="21"/>
  <c r="W30" i="21"/>
  <c r="H45" i="21"/>
  <c r="U45" i="21" s="1"/>
  <c r="F29" i="21"/>
  <c r="AA29" i="21" s="1"/>
  <c r="F13" i="21"/>
  <c r="AA13" i="21" s="1"/>
  <c r="H32" i="21"/>
  <c r="U32" i="21" s="1"/>
  <c r="H9" i="21"/>
  <c r="AB9" i="21" s="1"/>
  <c r="J9" i="21"/>
  <c r="W9" i="21" s="1"/>
  <c r="J32" i="21"/>
  <c r="W32" i="21" s="1"/>
  <c r="F32" i="21"/>
  <c r="S32" i="21" s="1"/>
  <c r="U17" i="21"/>
  <c r="S19" i="21"/>
  <c r="S9" i="21"/>
  <c r="AA9" i="21"/>
  <c r="K143" i="21"/>
  <c r="U27" i="21"/>
  <c r="AA30" i="21"/>
  <c r="F10" i="21"/>
  <c r="AA10" i="21" s="1"/>
  <c r="S27" i="21"/>
  <c r="W30" i="40"/>
  <c r="C19" i="39"/>
  <c r="C15" i="40"/>
  <c r="C17" i="40"/>
  <c r="C23" i="40"/>
  <c r="C21" i="40"/>
  <c r="U30" i="40"/>
  <c r="B56" i="43"/>
  <c r="B54" i="43"/>
  <c r="B65" i="43"/>
  <c r="D23" i="15"/>
  <c r="D22" i="15"/>
  <c r="E4" i="4"/>
  <c r="B5" i="62" s="1"/>
  <c r="B73" i="72" s="1"/>
  <c r="C4" i="4"/>
  <c r="F28" i="15"/>
  <c r="AA39" i="40"/>
  <c r="S12" i="33"/>
  <c r="AA12" i="33"/>
  <c r="D68" i="9"/>
  <c r="J32" i="39"/>
  <c r="H32" i="39"/>
  <c r="AB32" i="39" s="1"/>
  <c r="AA32" i="39"/>
  <c r="S32" i="39"/>
  <c r="U21" i="39"/>
  <c r="AA21" i="39"/>
  <c r="S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AA19" i="33"/>
  <c r="H19" i="33"/>
  <c r="G81" i="33"/>
  <c r="H17" i="33"/>
  <c r="U17" i="33" s="1"/>
  <c r="F17" i="33"/>
  <c r="S17" i="33" s="1"/>
  <c r="J23" i="21"/>
  <c r="W23" i="21" s="1"/>
  <c r="F85" i="21"/>
  <c r="G85" i="21" s="1"/>
  <c r="H23" i="21"/>
  <c r="AB23" i="21" s="1"/>
  <c r="D6" i="52"/>
  <c r="AP7" i="1"/>
  <c r="A18" i="62"/>
  <c r="B64" i="72" s="1"/>
  <c r="U32" i="39"/>
  <c r="AC32" i="39"/>
  <c r="W32" i="39"/>
  <c r="J11" i="37"/>
  <c r="AC11" i="37" s="1"/>
  <c r="J11" i="34"/>
  <c r="W11" i="34" s="1"/>
  <c r="AB36" i="33"/>
  <c r="W25" i="33"/>
  <c r="AB19" i="33"/>
  <c r="U19" i="33"/>
  <c r="AA17" i="33"/>
  <c r="AC23" i="21"/>
  <c r="H109" i="9"/>
  <c r="M49" i="9" s="1"/>
  <c r="H112" i="9"/>
  <c r="D21" i="53"/>
  <c r="B39" i="72" s="1"/>
  <c r="H111" i="9"/>
  <c r="D126" i="9" s="1"/>
  <c r="J1" i="73"/>
  <c r="D24" i="71"/>
  <c r="U24" i="71" s="1"/>
  <c r="S24" i="71"/>
  <c r="T24" i="71"/>
  <c r="AB22" i="71"/>
  <c r="AA20" i="71"/>
  <c r="X23" i="71"/>
  <c r="AB20" i="71"/>
  <c r="AB19" i="71"/>
  <c r="F21" i="71"/>
  <c r="F20" i="71" s="1"/>
  <c r="F19" i="71" s="1"/>
  <c r="F18" i="71" s="1"/>
  <c r="F17" i="71" s="1"/>
  <c r="Y20" i="71"/>
  <c r="Z20" i="71" s="1"/>
  <c r="M22" i="67"/>
  <c r="F3" i="73"/>
  <c r="E13" i="76"/>
  <c r="B10" i="76"/>
  <c r="F37" i="15"/>
  <c r="J15" i="67"/>
  <c r="AO13" i="1"/>
  <c r="B7" i="76"/>
  <c r="M28" i="67"/>
  <c r="F26" i="67"/>
  <c r="L47" i="67"/>
  <c r="F43" i="67"/>
  <c r="C76" i="67"/>
  <c r="F13" i="67"/>
  <c r="F7" i="15"/>
  <c r="M26" i="67"/>
  <c r="F40" i="67"/>
  <c r="F6" i="73"/>
  <c r="F5" i="73"/>
  <c r="F6" i="67"/>
  <c r="F37" i="67"/>
  <c r="E11" i="76"/>
  <c r="E2" i="68"/>
  <c r="M9" i="67"/>
  <c r="D35" i="9"/>
  <c r="B13" i="76"/>
  <c r="F42" i="67"/>
  <c r="F4" i="73"/>
  <c r="E7" i="76"/>
  <c r="E2" i="69"/>
  <c r="F7" i="67"/>
  <c r="F36" i="67"/>
  <c r="M8" i="67"/>
  <c r="E8" i="76"/>
  <c r="L48" i="67"/>
  <c r="M6" i="67"/>
  <c r="F38" i="67"/>
  <c r="B11" i="76"/>
  <c r="M24" i="67"/>
  <c r="F16" i="67"/>
  <c r="B9" i="76"/>
  <c r="M28" i="15"/>
  <c r="M22" i="15"/>
  <c r="D6" i="73"/>
  <c r="F20" i="31"/>
  <c r="D34" i="9"/>
  <c r="F9" i="67"/>
  <c r="E9" i="76"/>
  <c r="M29" i="67"/>
  <c r="E10" i="76"/>
  <c r="E12" i="76"/>
  <c r="B8" i="76"/>
  <c r="B12" i="76"/>
  <c r="F8" i="67"/>
  <c r="M23" i="67"/>
  <c r="F7" i="73"/>
  <c r="F16" i="15"/>
  <c r="AC26" i="21" l="1"/>
  <c r="F26" i="21"/>
  <c r="S26" i="21" s="1"/>
  <c r="H26" i="21"/>
  <c r="AB26" i="21" s="1"/>
  <c r="S44" i="21"/>
  <c r="H43" i="21"/>
  <c r="AB43" i="21" s="1"/>
  <c r="AA43" i="21"/>
  <c r="H42" i="21"/>
  <c r="F42" i="21"/>
  <c r="AA42" i="21" s="1"/>
  <c r="U40" i="21"/>
  <c r="AC38" i="21"/>
  <c r="U34" i="21"/>
  <c r="AC34" i="21"/>
  <c r="U31" i="21"/>
  <c r="AB31" i="21"/>
  <c r="F28" i="21"/>
  <c r="AB29" i="21"/>
  <c r="AC40" i="21"/>
  <c r="F31" i="21"/>
  <c r="H28" i="21"/>
  <c r="U15" i="21"/>
  <c r="AB14" i="21"/>
  <c r="J31" i="21"/>
  <c r="W44" i="21"/>
  <c r="W42" i="21"/>
  <c r="S42" i="21"/>
  <c r="W39" i="21"/>
  <c r="S39" i="21"/>
  <c r="AB39" i="21"/>
  <c r="U38" i="21"/>
  <c r="AB36" i="21"/>
  <c r="W36" i="21"/>
  <c r="U35" i="21"/>
  <c r="S35" i="21"/>
  <c r="AC35" i="21"/>
  <c r="AA32" i="21"/>
  <c r="AB32" i="21"/>
  <c r="H44" i="21"/>
  <c r="U44" i="21" s="1"/>
  <c r="W25" i="21"/>
  <c r="AB25" i="21"/>
  <c r="U23" i="21"/>
  <c r="AC19" i="21"/>
  <c r="S17" i="21"/>
  <c r="W15" i="21"/>
  <c r="AA15" i="21"/>
  <c r="AA23" i="21"/>
  <c r="B69" i="43"/>
  <c r="B58" i="43"/>
  <c r="S13" i="21"/>
  <c r="AC9" i="21"/>
  <c r="S37" i="21"/>
  <c r="B67" i="43"/>
  <c r="F30" i="69"/>
  <c r="F48" i="69" s="1"/>
  <c r="F52" i="9"/>
  <c r="F28" i="67"/>
  <c r="F32" i="15"/>
  <c r="F60" i="15" s="1"/>
  <c r="F31" i="12"/>
  <c r="F54" i="9"/>
  <c r="F32" i="67"/>
  <c r="F60" i="67" s="1"/>
  <c r="F30" i="68"/>
  <c r="F48" i="68" s="1"/>
  <c r="M18" i="15"/>
  <c r="M18" i="67"/>
  <c r="F30" i="11"/>
  <c r="C48" i="11" s="1"/>
  <c r="BK5" i="3"/>
  <c r="BH5" i="3"/>
  <c r="H5" i="3"/>
  <c r="BI5" i="3"/>
  <c r="BR5" i="3"/>
  <c r="C7" i="21"/>
  <c r="G23" i="43"/>
  <c r="C23" i="43" s="1"/>
  <c r="C7" i="33"/>
  <c r="C42" i="1"/>
  <c r="C24" i="12" s="1"/>
  <c r="C7" i="36"/>
  <c r="C46" i="36" s="1"/>
  <c r="D46" i="36" s="1"/>
  <c r="E46" i="36" s="1"/>
  <c r="F46" i="36" s="1"/>
  <c r="G46" i="36" s="1"/>
  <c r="H46" i="36" s="1"/>
  <c r="I46" i="36" s="1"/>
  <c r="M47" i="9"/>
  <c r="C7" i="35"/>
  <c r="C48" i="35" s="1"/>
  <c r="D48" i="35" s="1"/>
  <c r="AB26" i="37"/>
  <c r="U26" i="37"/>
  <c r="S25" i="21"/>
  <c r="AA25" i="21"/>
  <c r="U12" i="35"/>
  <c r="AB12" i="35"/>
  <c r="H29" i="33"/>
  <c r="F29" i="33"/>
  <c r="U45" i="33"/>
  <c r="AB45" i="33"/>
  <c r="J14" i="34"/>
  <c r="F14" i="34"/>
  <c r="H32" i="34"/>
  <c r="J32" i="34"/>
  <c r="F35" i="35"/>
  <c r="H35" i="35"/>
  <c r="H9" i="36"/>
  <c r="AB9" i="36" s="1"/>
  <c r="J9" i="36"/>
  <c r="AB30" i="37"/>
  <c r="U30" i="37"/>
  <c r="H31" i="39"/>
  <c r="J31" i="39"/>
  <c r="F31" i="39"/>
  <c r="BA120" i="3"/>
  <c r="BD5" i="3"/>
  <c r="BL120" i="3"/>
  <c r="BM5" i="3"/>
  <c r="BE5" i="3"/>
  <c r="C55" i="71"/>
  <c r="D54" i="71"/>
  <c r="N65" i="71"/>
  <c r="N66" i="71"/>
  <c r="F79" i="71"/>
  <c r="F78" i="71" s="1"/>
  <c r="V80" i="71"/>
  <c r="Y26" i="71"/>
  <c r="Z26" i="71" s="1"/>
  <c r="Y25" i="71"/>
  <c r="Z25" i="71" s="1"/>
  <c r="S14" i="37"/>
  <c r="AA14" i="37"/>
  <c r="H28" i="33"/>
  <c r="J28" i="33"/>
  <c r="F28" i="33"/>
  <c r="AB29" i="36"/>
  <c r="U29" i="36"/>
  <c r="AC31" i="37"/>
  <c r="W31" i="37"/>
  <c r="BL130" i="3"/>
  <c r="BO5" i="3"/>
  <c r="BG5" i="3"/>
  <c r="S36" i="33"/>
  <c r="U25" i="39"/>
  <c r="U21" i="40"/>
  <c r="AC44" i="34"/>
  <c r="BC5" i="3"/>
  <c r="AZ344" i="3"/>
  <c r="G121" i="3"/>
  <c r="AZ523" i="3"/>
  <c r="F25" i="36"/>
  <c r="F13" i="36"/>
  <c r="F32" i="34"/>
  <c r="H14" i="34"/>
  <c r="AB23" i="34"/>
  <c r="W36" i="34"/>
  <c r="AC36" i="34"/>
  <c r="AC16" i="35"/>
  <c r="W16" i="35"/>
  <c r="AB12" i="36"/>
  <c r="U27" i="39"/>
  <c r="AB27" i="39"/>
  <c r="AB40" i="39"/>
  <c r="U40" i="39"/>
  <c r="S27" i="35"/>
  <c r="BL587" i="3"/>
  <c r="BA587" i="3"/>
  <c r="AZ587" i="3" s="1"/>
  <c r="BA585" i="3"/>
  <c r="J45" i="21"/>
  <c r="F45" i="21"/>
  <c r="B101" i="43"/>
  <c r="B79" i="43"/>
  <c r="J12" i="35"/>
  <c r="J11" i="36"/>
  <c r="AC11" i="36" s="1"/>
  <c r="F11" i="36"/>
  <c r="H23" i="36"/>
  <c r="J23" i="36"/>
  <c r="J31" i="40"/>
  <c r="F31" i="40"/>
  <c r="BL575" i="3"/>
  <c r="BL574" i="3"/>
  <c r="BA570" i="3"/>
  <c r="BL556" i="3"/>
  <c r="AZ556" i="3" s="1"/>
  <c r="BA553" i="3"/>
  <c r="BA551" i="3"/>
  <c r="AZ551" i="3" s="1"/>
  <c r="BA550" i="3"/>
  <c r="BL548" i="3"/>
  <c r="BA548" i="3"/>
  <c r="BL546" i="3"/>
  <c r="BL544" i="3"/>
  <c r="BA544" i="3"/>
  <c r="AZ544" i="3" s="1"/>
  <c r="BL542" i="3"/>
  <c r="AZ542" i="3" s="1"/>
  <c r="BA541" i="3"/>
  <c r="AZ541" i="3" s="1"/>
  <c r="BL540" i="3"/>
  <c r="BA540" i="3"/>
  <c r="BA539" i="3"/>
  <c r="BA538" i="3"/>
  <c r="AZ538" i="3" s="1"/>
  <c r="BA537" i="3"/>
  <c r="AZ537" i="3" s="1"/>
  <c r="BA536" i="3"/>
  <c r="BL534" i="3"/>
  <c r="BA534" i="3"/>
  <c r="AZ534" i="3" s="1"/>
  <c r="BL533" i="3"/>
  <c r="AZ533" i="3" s="1"/>
  <c r="BA531" i="3"/>
  <c r="AZ531" i="3" s="1"/>
  <c r="BA529" i="3"/>
  <c r="BA528" i="3"/>
  <c r="BA527" i="3"/>
  <c r="BL526" i="3"/>
  <c r="BA526" i="3"/>
  <c r="BL525" i="3"/>
  <c r="AZ525" i="3" s="1"/>
  <c r="BA524" i="3"/>
  <c r="AZ524" i="3" s="1"/>
  <c r="BL522" i="3"/>
  <c r="AZ522" i="3" s="1"/>
  <c r="BL521" i="3"/>
  <c r="BA521" i="3"/>
  <c r="BL520" i="3"/>
  <c r="AZ520" i="3" s="1"/>
  <c r="BA517" i="3"/>
  <c r="BL516" i="3"/>
  <c r="BA516" i="3"/>
  <c r="AZ516" i="3" s="1"/>
  <c r="BA515" i="3"/>
  <c r="AZ515" i="3" s="1"/>
  <c r="BA514" i="3"/>
  <c r="BL513" i="3"/>
  <c r="BL510" i="3"/>
  <c r="BA508" i="3"/>
  <c r="AZ508" i="3" s="1"/>
  <c r="BA506" i="3"/>
  <c r="AZ506" i="3" s="1"/>
  <c r="BA505" i="3"/>
  <c r="AZ505" i="3" s="1"/>
  <c r="BL504" i="3"/>
  <c r="AZ504" i="3" s="1"/>
  <c r="BA503" i="3"/>
  <c r="AZ503" i="3" s="1"/>
  <c r="BL502" i="3"/>
  <c r="AZ502" i="3" s="1"/>
  <c r="BA502" i="3"/>
  <c r="BA501" i="3"/>
  <c r="AZ501" i="3" s="1"/>
  <c r="BA500" i="3"/>
  <c r="AZ500" i="3" s="1"/>
  <c r="BL499" i="3"/>
  <c r="AZ499" i="3" s="1"/>
  <c r="BL498" i="3"/>
  <c r="BA498" i="3"/>
  <c r="AZ498" i="3" s="1"/>
  <c r="BL496" i="3"/>
  <c r="AZ496" i="3" s="1"/>
  <c r="BL495" i="3"/>
  <c r="BA495" i="3"/>
  <c r="BL494" i="3"/>
  <c r="BA494" i="3"/>
  <c r="BA493" i="3"/>
  <c r="AZ493" i="3" s="1"/>
  <c r="AZ510" i="3"/>
  <c r="U30" i="21"/>
  <c r="AB30" i="21"/>
  <c r="AA40" i="21"/>
  <c r="S40" i="21"/>
  <c r="AB13" i="36"/>
  <c r="U13" i="36"/>
  <c r="AC43" i="39"/>
  <c r="W43" i="39"/>
  <c r="J12" i="40"/>
  <c r="H12" i="40"/>
  <c r="BN5" i="3"/>
  <c r="BF5" i="3"/>
  <c r="BP5" i="3"/>
  <c r="X19" i="71"/>
  <c r="AC27" i="33"/>
  <c r="AC23" i="37"/>
  <c r="U9" i="21"/>
  <c r="AC17" i="33"/>
  <c r="AB33" i="34"/>
  <c r="S23" i="39"/>
  <c r="W23" i="40"/>
  <c r="U23" i="33"/>
  <c r="AB25" i="33"/>
  <c r="AA19" i="37"/>
  <c r="B62" i="43"/>
  <c r="W17" i="21"/>
  <c r="K141" i="21"/>
  <c r="W29" i="21"/>
  <c r="W46" i="33"/>
  <c r="U25" i="36"/>
  <c r="AC25" i="36"/>
  <c r="W34" i="39"/>
  <c r="S27" i="39"/>
  <c r="W19" i="40"/>
  <c r="AC39" i="34"/>
  <c r="AB17" i="37"/>
  <c r="S25" i="37"/>
  <c r="U32" i="35"/>
  <c r="S19" i="40"/>
  <c r="AA19" i="40"/>
  <c r="AZ579" i="3"/>
  <c r="AC28" i="21"/>
  <c r="AA44" i="33"/>
  <c r="H43" i="39"/>
  <c r="S47" i="34"/>
  <c r="AA47" i="34"/>
  <c r="J13" i="36"/>
  <c r="U26" i="33"/>
  <c r="AB36" i="40"/>
  <c r="U36" i="40"/>
  <c r="AB32" i="33"/>
  <c r="U32" i="33"/>
  <c r="U34" i="39"/>
  <c r="AB34" i="39"/>
  <c r="BA586" i="3"/>
  <c r="AZ586" i="3" s="1"/>
  <c r="H46" i="21"/>
  <c r="F46" i="21"/>
  <c r="AB40" i="33"/>
  <c r="U40" i="33"/>
  <c r="F9" i="34"/>
  <c r="AA9" i="34" s="1"/>
  <c r="H9" i="34"/>
  <c r="J9" i="34"/>
  <c r="F28" i="34"/>
  <c r="J28" i="34"/>
  <c r="S9" i="40"/>
  <c r="AA9" i="40"/>
  <c r="AB34" i="37"/>
  <c r="U34" i="37"/>
  <c r="BA581" i="3"/>
  <c r="BA580" i="3"/>
  <c r="AZ580" i="3" s="1"/>
  <c r="BA577" i="3"/>
  <c r="G577" i="3"/>
  <c r="BL576" i="3"/>
  <c r="AZ576" i="3" s="1"/>
  <c r="G576" i="3"/>
  <c r="BA575" i="3"/>
  <c r="AZ575" i="3" s="1"/>
  <c r="BA574" i="3"/>
  <c r="AZ574" i="3" s="1"/>
  <c r="BA573" i="3"/>
  <c r="AZ573" i="3" s="1"/>
  <c r="BA572" i="3"/>
  <c r="BL570" i="3"/>
  <c r="BL568" i="3"/>
  <c r="BA567" i="3"/>
  <c r="G567" i="3"/>
  <c r="BL566" i="3"/>
  <c r="AZ566" i="3" s="1"/>
  <c r="G565" i="3"/>
  <c r="BA563" i="3"/>
  <c r="AZ563" i="3" s="1"/>
  <c r="BA562" i="3"/>
  <c r="BL561" i="3"/>
  <c r="AZ561" i="3" s="1"/>
  <c r="BA560" i="3"/>
  <c r="AZ560" i="3" s="1"/>
  <c r="BA557" i="3"/>
  <c r="AZ557" i="3" s="1"/>
  <c r="BA555" i="3"/>
  <c r="BA554" i="3"/>
  <c r="BA549" i="3"/>
  <c r="AZ549" i="3" s="1"/>
  <c r="BA546" i="3"/>
  <c r="AZ546" i="3" s="1"/>
  <c r="BA545" i="3"/>
  <c r="F32" i="36"/>
  <c r="H32" i="36"/>
  <c r="AA40" i="39"/>
  <c r="S40" i="39"/>
  <c r="BL214" i="3"/>
  <c r="AZ244" i="3"/>
  <c r="AC5" i="3"/>
  <c r="AZ130" i="3"/>
  <c r="BT5" i="3"/>
  <c r="B51" i="43"/>
  <c r="K144" i="21"/>
  <c r="S42" i="33"/>
  <c r="S28" i="35"/>
  <c r="AA26" i="36"/>
  <c r="AB45" i="21"/>
  <c r="W13" i="21"/>
  <c r="W8" i="33"/>
  <c r="W34" i="40"/>
  <c r="AA29" i="34"/>
  <c r="U29" i="37"/>
  <c r="AB40" i="37"/>
  <c r="U24" i="36"/>
  <c r="S9" i="39"/>
  <c r="U19" i="39"/>
  <c r="AZ14" i="3"/>
  <c r="AC26" i="33"/>
  <c r="AA12" i="40"/>
  <c r="BB5" i="3"/>
  <c r="E5" i="6" s="1"/>
  <c r="D9" i="11" s="1"/>
  <c r="C9" i="11" s="1"/>
  <c r="AZ577" i="3"/>
  <c r="AZ513" i="3"/>
  <c r="AZ568" i="3"/>
  <c r="W13" i="40"/>
  <c r="AC13" i="40"/>
  <c r="AC35" i="40"/>
  <c r="F43" i="39"/>
  <c r="J35" i="35"/>
  <c r="H11" i="36"/>
  <c r="U11" i="36" s="1"/>
  <c r="F45" i="33"/>
  <c r="S41" i="33"/>
  <c r="AA14" i="35"/>
  <c r="S14" i="35"/>
  <c r="U37" i="40"/>
  <c r="AB37" i="40"/>
  <c r="C15" i="39"/>
  <c r="AA21" i="40"/>
  <c r="S21" i="40"/>
  <c r="G587" i="3"/>
  <c r="AC8" i="34"/>
  <c r="W8" i="34"/>
  <c r="J23" i="35"/>
  <c r="H23" i="35"/>
  <c r="F23" i="35"/>
  <c r="AC22" i="35"/>
  <c r="W22" i="35"/>
  <c r="H13" i="37"/>
  <c r="F13" i="37"/>
  <c r="F14" i="39"/>
  <c r="J14" i="39"/>
  <c r="AC14" i="39" s="1"/>
  <c r="H14" i="39"/>
  <c r="J37" i="39"/>
  <c r="F37" i="39"/>
  <c r="AA38" i="39"/>
  <c r="S38" i="39"/>
  <c r="H27" i="40"/>
  <c r="F27" i="40"/>
  <c r="AA42" i="34"/>
  <c r="S42" i="34"/>
  <c r="AC30" i="36"/>
  <c r="W30" i="36"/>
  <c r="BA584" i="3"/>
  <c r="AZ584" i="3" s="1"/>
  <c r="BA582" i="3"/>
  <c r="AZ582" i="3" s="1"/>
  <c r="AZ402" i="3"/>
  <c r="AZ406" i="3"/>
  <c r="AZ444" i="3"/>
  <c r="AZ469" i="3"/>
  <c r="AZ15" i="3"/>
  <c r="AZ391" i="3"/>
  <c r="AZ331" i="3"/>
  <c r="AZ364" i="3"/>
  <c r="AZ346" i="3"/>
  <c r="AZ329" i="3"/>
  <c r="AZ304" i="3"/>
  <c r="AZ306" i="3"/>
  <c r="BL547" i="3"/>
  <c r="AZ547" i="3" s="1"/>
  <c r="BL559" i="3"/>
  <c r="AZ559" i="3" s="1"/>
  <c r="U17" i="34"/>
  <c r="AB17" i="34"/>
  <c r="BL585" i="3"/>
  <c r="J27" i="21"/>
  <c r="AB33" i="33"/>
  <c r="U33" i="33"/>
  <c r="AC40" i="33"/>
  <c r="W40" i="33"/>
  <c r="H27" i="37"/>
  <c r="J27" i="37"/>
  <c r="AC40" i="39"/>
  <c r="W40" i="39"/>
  <c r="AC8" i="40"/>
  <c r="W8" i="40"/>
  <c r="BL581" i="3"/>
  <c r="G579" i="3"/>
  <c r="BL572" i="3"/>
  <c r="BL571" i="3"/>
  <c r="AZ571" i="3" s="1"/>
  <c r="G571" i="3"/>
  <c r="G568" i="3"/>
  <c r="BA565" i="3"/>
  <c r="AZ565" i="3" s="1"/>
  <c r="BA564" i="3"/>
  <c r="AZ564" i="3" s="1"/>
  <c r="G559" i="3"/>
  <c r="G558" i="3"/>
  <c r="AZ400" i="3"/>
  <c r="AZ483" i="3"/>
  <c r="AZ357" i="3"/>
  <c r="AZ322" i="3"/>
  <c r="AZ313" i="3"/>
  <c r="AZ394" i="3"/>
  <c r="BL519" i="3"/>
  <c r="BL527" i="3"/>
  <c r="BL569" i="3"/>
  <c r="AZ569" i="3" s="1"/>
  <c r="S29" i="35"/>
  <c r="AA29" i="35"/>
  <c r="AA35" i="34"/>
  <c r="S35" i="34"/>
  <c r="J12" i="34"/>
  <c r="F12" i="34"/>
  <c r="S12" i="34" s="1"/>
  <c r="J38" i="40"/>
  <c r="J39" i="40"/>
  <c r="H39" i="40"/>
  <c r="BL554" i="3"/>
  <c r="BL536" i="3"/>
  <c r="BA532" i="3"/>
  <c r="AZ532" i="3" s="1"/>
  <c r="BL529" i="3"/>
  <c r="BL528" i="3"/>
  <c r="BA519" i="3"/>
  <c r="BA518" i="3"/>
  <c r="AZ518" i="3" s="1"/>
  <c r="BL514" i="3"/>
  <c r="BA511" i="3"/>
  <c r="AZ511" i="3" s="1"/>
  <c r="AZ403" i="3"/>
  <c r="AZ407" i="3"/>
  <c r="G399" i="3"/>
  <c r="BL400" i="3"/>
  <c r="BL408" i="3"/>
  <c r="BL411" i="3"/>
  <c r="BL413" i="3"/>
  <c r="AZ413" i="3" s="1"/>
  <c r="G416" i="3"/>
  <c r="BL417" i="3"/>
  <c r="BL418" i="3"/>
  <c r="BL420" i="3"/>
  <c r="G423" i="3"/>
  <c r="BL424" i="3"/>
  <c r="G427" i="3"/>
  <c r="BL428" i="3"/>
  <c r="BL429" i="3"/>
  <c r="BL432" i="3"/>
  <c r="BL435" i="3"/>
  <c r="BL436" i="3"/>
  <c r="BA446" i="3"/>
  <c r="BL448" i="3"/>
  <c r="G451" i="3"/>
  <c r="AZ458" i="3"/>
  <c r="BL460" i="3"/>
  <c r="BL461" i="3"/>
  <c r="BL464" i="3"/>
  <c r="BL476" i="3"/>
  <c r="BL477" i="3"/>
  <c r="BL478" i="3"/>
  <c r="BL317" i="3"/>
  <c r="BA333" i="3"/>
  <c r="BL346" i="3"/>
  <c r="BL398" i="3"/>
  <c r="G402" i="3"/>
  <c r="BL403" i="3"/>
  <c r="G406" i="3"/>
  <c r="BA408" i="3"/>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3" i="3"/>
  <c r="BL444" i="3"/>
  <c r="G447" i="3"/>
  <c r="BL453" i="3"/>
  <c r="BL454" i="3"/>
  <c r="AZ454" i="3" s="1"/>
  <c r="BL457" i="3"/>
  <c r="BA459" i="3"/>
  <c r="AZ459" i="3" s="1"/>
  <c r="BA460" i="3"/>
  <c r="AZ460" i="3" s="1"/>
  <c r="BA461" i="3"/>
  <c r="AZ461" i="3" s="1"/>
  <c r="BA466" i="3"/>
  <c r="AZ466" i="3" s="1"/>
  <c r="BA467" i="3"/>
  <c r="BA468" i="3"/>
  <c r="BA471" i="3"/>
  <c r="AZ471" i="3" s="1"/>
  <c r="BA480" i="3"/>
  <c r="AZ480" i="3" s="1"/>
  <c r="BA481" i="3"/>
  <c r="BL489" i="3"/>
  <c r="BL491" i="3"/>
  <c r="AZ491" i="3" s="1"/>
  <c r="BL492" i="3"/>
  <c r="BA315" i="3"/>
  <c r="AZ315" i="3" s="1"/>
  <c r="BA366" i="3"/>
  <c r="AZ366" i="3" s="1"/>
  <c r="BA368" i="3"/>
  <c r="AZ368" i="3" s="1"/>
  <c r="BL368" i="3"/>
  <c r="BL385" i="3"/>
  <c r="BA392" i="3"/>
  <c r="AZ392" i="3" s="1"/>
  <c r="BA397" i="3"/>
  <c r="AZ397" i="3" s="1"/>
  <c r="BL397" i="3"/>
  <c r="BA214" i="3"/>
  <c r="AZ214" i="3" s="1"/>
  <c r="BA225" i="3"/>
  <c r="BL267" i="3"/>
  <c r="AZ137" i="3"/>
  <c r="C31" i="71"/>
  <c r="D30" i="71"/>
  <c r="BL539" i="3"/>
  <c r="AZ539" i="3" s="1"/>
  <c r="BL543" i="3"/>
  <c r="AZ543" i="3" s="1"/>
  <c r="BL553" i="3"/>
  <c r="BL565" i="3"/>
  <c r="G557" i="3"/>
  <c r="G551" i="3"/>
  <c r="BL550" i="3"/>
  <c r="G542" i="3"/>
  <c r="BL15" i="3"/>
  <c r="BA398" i="3"/>
  <c r="AZ398" i="3" s="1"/>
  <c r="BA399" i="3"/>
  <c r="AZ399" i="3" s="1"/>
  <c r="BL401" i="3"/>
  <c r="AZ401" i="3" s="1"/>
  <c r="BL404" i="3"/>
  <c r="AZ404" i="3" s="1"/>
  <c r="BL405" i="3"/>
  <c r="AZ405" i="3" s="1"/>
  <c r="BL407" i="3"/>
  <c r="BA412" i="3"/>
  <c r="AZ412" i="3" s="1"/>
  <c r="BA414" i="3"/>
  <c r="BA415" i="3"/>
  <c r="AZ415" i="3" s="1"/>
  <c r="BA416" i="3"/>
  <c r="AZ416" i="3" s="1"/>
  <c r="BA418" i="3"/>
  <c r="AZ418" i="3" s="1"/>
  <c r="BA421" i="3"/>
  <c r="AZ421" i="3" s="1"/>
  <c r="BA423" i="3"/>
  <c r="AZ423" i="3" s="1"/>
  <c r="BA425" i="3"/>
  <c r="BA426" i="3"/>
  <c r="BA427" i="3"/>
  <c r="AZ427" i="3" s="1"/>
  <c r="BA433" i="3"/>
  <c r="AZ433" i="3" s="1"/>
  <c r="BA435" i="3"/>
  <c r="BL437" i="3"/>
  <c r="AZ437" i="3" s="1"/>
  <c r="G440" i="3"/>
  <c r="BL441" i="3"/>
  <c r="BL442" i="3"/>
  <c r="BA448" i="3"/>
  <c r="AZ448" i="3" s="1"/>
  <c r="BA449" i="3"/>
  <c r="BA453" i="3"/>
  <c r="AZ453" i="3" s="1"/>
  <c r="BA455" i="3"/>
  <c r="AZ455" i="3" s="1"/>
  <c r="BA457" i="3"/>
  <c r="AZ457" i="3" s="1"/>
  <c r="BL462" i="3"/>
  <c r="AZ462" i="3" s="1"/>
  <c r="BA465" i="3"/>
  <c r="AZ465" i="3" s="1"/>
  <c r="BA476" i="3"/>
  <c r="BA477" i="3"/>
  <c r="BA478" i="3"/>
  <c r="BA486" i="3"/>
  <c r="BA331" i="3"/>
  <c r="BA335" i="3"/>
  <c r="AZ335" i="3" s="1"/>
  <c r="BA339" i="3"/>
  <c r="AZ339" i="3" s="1"/>
  <c r="G343" i="3"/>
  <c r="G347" i="3"/>
  <c r="BA348" i="3"/>
  <c r="BA350" i="3"/>
  <c r="AZ350" i="3" s="1"/>
  <c r="BA354" i="3"/>
  <c r="BA358" i="3"/>
  <c r="AZ358" i="3" s="1"/>
  <c r="G362" i="3"/>
  <c r="BL365" i="3"/>
  <c r="AZ365" i="3" s="1"/>
  <c r="G366" i="3"/>
  <c r="BL383" i="3"/>
  <c r="AZ383" i="3" s="1"/>
  <c r="BA208" i="3"/>
  <c r="AZ208" i="3" s="1"/>
  <c r="BA212" i="3"/>
  <c r="BL213" i="3"/>
  <c r="BA157" i="3"/>
  <c r="AZ157" i="3" s="1"/>
  <c r="BL173" i="3"/>
  <c r="AZ173" i="3" s="1"/>
  <c r="P65" i="71"/>
  <c r="P66" i="71"/>
  <c r="D75" i="71"/>
  <c r="C74" i="71"/>
  <c r="D74" i="71" s="1"/>
  <c r="D60" i="71"/>
  <c r="T60" i="71"/>
  <c r="C44" i="71"/>
  <c r="D43" i="71"/>
  <c r="BA374" i="3"/>
  <c r="AZ374" i="3" s="1"/>
  <c r="BA388" i="3"/>
  <c r="AZ388" i="3" s="1"/>
  <c r="BA396" i="3"/>
  <c r="BA209" i="3"/>
  <c r="BL217" i="3"/>
  <c r="AZ217" i="3" s="1"/>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BA267" i="3"/>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BL141" i="3"/>
  <c r="BL143" i="3"/>
  <c r="AZ143" i="3" s="1"/>
  <c r="BL157" i="3"/>
  <c r="BL159" i="3"/>
  <c r="AZ159" i="3" s="1"/>
  <c r="BL177" i="3"/>
  <c r="AZ177" i="3" s="1"/>
  <c r="AB21" i="37"/>
  <c r="U21" i="37"/>
  <c r="AC18" i="36"/>
  <c r="W18" i="36"/>
  <c r="AB25" i="40"/>
  <c r="U25" i="40"/>
  <c r="Y29" i="71"/>
  <c r="Z29" i="71" s="1"/>
  <c r="B71" i="71"/>
  <c r="B70" i="71" s="1"/>
  <c r="S72" i="71"/>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G159" i="3"/>
  <c r="BL167" i="3"/>
  <c r="AZ167" i="3" s="1"/>
  <c r="BA22" i="3"/>
  <c r="BA30" i="3"/>
  <c r="BA40" i="3"/>
  <c r="BL74" i="3"/>
  <c r="BL79"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L69" i="3"/>
  <c r="BA97" i="3"/>
  <c r="AZ97" i="3" s="1"/>
  <c r="S18" i="35"/>
  <c r="AA18" i="35"/>
  <c r="AB26" i="71"/>
  <c r="AB27" i="71"/>
  <c r="C34" i="71"/>
  <c r="Y30" i="71"/>
  <c r="Z30" i="71" s="1"/>
  <c r="Y28" i="71"/>
  <c r="Z28" i="71" s="1"/>
  <c r="C47" i="71"/>
  <c r="D47" i="71" s="1"/>
  <c r="D46" i="71"/>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BA66" i="3"/>
  <c r="AZ66" i="3" s="1"/>
  <c r="BA71" i="3"/>
  <c r="G76" i="3"/>
  <c r="BL77" i="3"/>
  <c r="AZ77" i="3" s="1"/>
  <c r="BA79" i="3"/>
  <c r="AZ79" i="3" s="1"/>
  <c r="G82" i="3"/>
  <c r="G83" i="3"/>
  <c r="BA84" i="3"/>
  <c r="AZ84" i="3" s="1"/>
  <c r="BL88" i="3"/>
  <c r="AZ88" i="3" s="1"/>
  <c r="G90" i="3"/>
  <c r="BL90" i="3"/>
  <c r="G95" i="3"/>
  <c r="G96" i="3"/>
  <c r="G99" i="3"/>
  <c r="G103" i="3"/>
  <c r="BA103" i="3"/>
  <c r="F3" i="35"/>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78" i="3"/>
  <c r="BA180" i="3"/>
  <c r="AZ180" i="3" s="1"/>
  <c r="BL182" i="3"/>
  <c r="AZ182" i="3" s="1"/>
  <c r="BA185" i="3"/>
  <c r="BL191" i="3"/>
  <c r="AZ191" i="3" s="1"/>
  <c r="BA193" i="3"/>
  <c r="BA196" i="3"/>
  <c r="AZ196" i="3" s="1"/>
  <c r="BA205" i="3"/>
  <c r="AZ205" i="3" s="1"/>
  <c r="BL20" i="3"/>
  <c r="BA21" i="3"/>
  <c r="BA25" i="3"/>
  <c r="BA26" i="3"/>
  <c r="BL28" i="3"/>
  <c r="BA29" i="3"/>
  <c r="AZ29" i="3" s="1"/>
  <c r="BA36" i="3"/>
  <c r="BL38" i="3"/>
  <c r="BA39" i="3"/>
  <c r="AZ39" i="3" s="1"/>
  <c r="BL47" i="3"/>
  <c r="AZ47" i="3" s="1"/>
  <c r="BA52" i="3"/>
  <c r="AZ52" i="3" s="1"/>
  <c r="BA53" i="3"/>
  <c r="AZ53" i="3" s="1"/>
  <c r="BA54" i="3"/>
  <c r="BL57" i="3"/>
  <c r="BL62" i="3"/>
  <c r="AZ62" i="3" s="1"/>
  <c r="BL63" i="3"/>
  <c r="BL65" i="3"/>
  <c r="AZ65" i="3" s="1"/>
  <c r="BL66" i="3"/>
  <c r="BL67" i="3"/>
  <c r="AZ67" i="3" s="1"/>
  <c r="BL70" i="3"/>
  <c r="AZ70" i="3" s="1"/>
  <c r="BL71" i="3"/>
  <c r="BL72" i="3"/>
  <c r="AZ72" i="3" s="1"/>
  <c r="BL75" i="3"/>
  <c r="BL81" i="3"/>
  <c r="BA82" i="3"/>
  <c r="AZ82" i="3" s="1"/>
  <c r="BL83" i="3"/>
  <c r="BA90" i="3"/>
  <c r="BA92" i="3"/>
  <c r="BA101" i="3"/>
  <c r="AZ101" i="3" s="1"/>
  <c r="BL106" i="3"/>
  <c r="BA108" i="3"/>
  <c r="BA110" i="3"/>
  <c r="AZ110" i="3" s="1"/>
  <c r="B13" i="1"/>
  <c r="E13" i="1" s="1"/>
  <c r="K13" i="1"/>
  <c r="M13" i="1" s="1"/>
  <c r="O13" i="1" s="1"/>
  <c r="P13" i="1" s="1"/>
  <c r="C40" i="68"/>
  <c r="W21" i="37"/>
  <c r="AC21" i="37"/>
  <c r="AB21" i="34"/>
  <c r="U21" i="34"/>
  <c r="C86" i="71"/>
  <c r="D86" i="71" s="1"/>
  <c r="D87" i="71"/>
  <c r="O68" i="71"/>
  <c r="C52" i="71"/>
  <c r="D51" i="71"/>
  <c r="X26" i="71"/>
  <c r="AB34" i="71"/>
  <c r="C63" i="71"/>
  <c r="D62" i="71"/>
  <c r="F66" i="71"/>
  <c r="Q67" i="71"/>
  <c r="P68" i="71"/>
  <c r="U68" i="71"/>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91" i="3"/>
  <c r="AZ91" i="3" s="1"/>
  <c r="BL103" i="3"/>
  <c r="G104" i="3"/>
  <c r="BA106" i="3"/>
  <c r="BL108" i="3"/>
  <c r="G110" i="3"/>
  <c r="BL111" i="3"/>
  <c r="W21" i="21"/>
  <c r="C29" i="39"/>
  <c r="AB25" i="71"/>
  <c r="AB28" i="71"/>
  <c r="X25" i="71"/>
  <c r="T28" i="71"/>
  <c r="D28" i="71"/>
  <c r="U28" i="71" s="1"/>
  <c r="C27" i="71"/>
  <c r="X33" i="71"/>
  <c r="X34" i="71"/>
  <c r="X36" i="71"/>
  <c r="AB37" i="71"/>
  <c r="AB35" i="71"/>
  <c r="V72" i="71"/>
  <c r="F71" i="71"/>
  <c r="F70" i="71" s="1"/>
  <c r="V24" i="71"/>
  <c r="E23" i="71"/>
  <c r="E22" i="71" s="1"/>
  <c r="E21" i="71" s="1"/>
  <c r="E20" i="71" s="1"/>
  <c r="V20" i="71" s="1"/>
  <c r="F35" i="71"/>
  <c r="F36" i="71" s="1"/>
  <c r="V36" i="71" s="1"/>
  <c r="AA34" i="71"/>
  <c r="B51" i="71"/>
  <c r="B52" i="71" s="1"/>
  <c r="S52" i="71" s="1"/>
  <c r="BL94" i="3"/>
  <c r="AZ94" i="3" s="1"/>
  <c r="BA100" i="3"/>
  <c r="AZ100" i="3" s="1"/>
  <c r="BA102" i="3"/>
  <c r="AZ102" i="3" s="1"/>
  <c r="BL105" i="3"/>
  <c r="AZ105" i="3" s="1"/>
  <c r="G107" i="3"/>
  <c r="BL107" i="3"/>
  <c r="BA111" i="3"/>
  <c r="AZ111" i="3" s="1"/>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K14"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9"/>
  <c r="J15" i="15"/>
  <c r="D5" i="73"/>
  <c r="M23" i="15"/>
  <c r="L48" i="15"/>
  <c r="M26" i="15"/>
  <c r="M6" i="15"/>
  <c r="D4" i="73"/>
  <c r="M29" i="15"/>
  <c r="F42" i="15"/>
  <c r="F13" i="15"/>
  <c r="F26" i="15"/>
  <c r="C16" i="15"/>
  <c r="F36" i="15"/>
  <c r="D7" i="73"/>
  <c r="C16" i="67"/>
  <c r="F38" i="15"/>
  <c r="L47" i="15"/>
  <c r="F8" i="15"/>
  <c r="C76" i="15"/>
  <c r="F40" i="15"/>
  <c r="M9" i="15"/>
  <c r="M8" i="15"/>
  <c r="D3" i="73"/>
  <c r="F43" i="15"/>
  <c r="F9" i="15"/>
  <c r="M24" i="15"/>
  <c r="F6" i="15"/>
  <c r="AA26" i="21" l="1"/>
  <c r="U43" i="21"/>
  <c r="U42" i="21"/>
  <c r="AB42" i="21"/>
  <c r="AB28" i="21"/>
  <c r="U28" i="21"/>
  <c r="AA28" i="21"/>
  <c r="S28" i="21"/>
  <c r="AC31" i="21"/>
  <c r="W31" i="21"/>
  <c r="AA31" i="21"/>
  <c r="S31" i="21"/>
  <c r="AB44" i="21"/>
  <c r="C30" i="11"/>
  <c r="D9" i="69"/>
  <c r="C9" i="69" s="1"/>
  <c r="B29" i="1" s="1"/>
  <c r="C8" i="68" s="1"/>
  <c r="C5" i="68" s="1"/>
  <c r="D19" i="12"/>
  <c r="C19" i="12" s="1"/>
  <c r="E8" i="6"/>
  <c r="F27" i="6" s="1"/>
  <c r="E11" i="6"/>
  <c r="E60" i="39" s="1"/>
  <c r="N94" i="46"/>
  <c r="E15" i="6"/>
  <c r="E64" i="39" s="1"/>
  <c r="E12" i="6"/>
  <c r="E57" i="40" s="1"/>
  <c r="D9" i="68"/>
  <c r="C9" i="68" s="1"/>
  <c r="E10" i="6"/>
  <c r="P6" i="1"/>
  <c r="C13" i="12" s="1"/>
  <c r="G26" i="43"/>
  <c r="E14" i="6"/>
  <c r="G29" i="6"/>
  <c r="G30" i="6" s="1"/>
  <c r="G31" i="6" s="1"/>
  <c r="J26" i="43"/>
  <c r="N370" i="46"/>
  <c r="F26" i="43"/>
  <c r="D26" i="43" s="1"/>
  <c r="C25" i="43" s="1"/>
  <c r="E26" i="43"/>
  <c r="E13" i="6"/>
  <c r="C48" i="69"/>
  <c r="C30" i="69"/>
  <c r="C31" i="12"/>
  <c r="C36" i="68"/>
  <c r="C77" i="9"/>
  <c r="C74" i="9" s="1"/>
  <c r="J7" i="36"/>
  <c r="C30" i="68"/>
  <c r="C28" i="67"/>
  <c r="C48" i="68"/>
  <c r="C28" i="15"/>
  <c r="L58" i="15"/>
  <c r="Q60" i="15" s="1"/>
  <c r="M59" i="15"/>
  <c r="L59" i="15"/>
  <c r="Q61" i="15" s="1"/>
  <c r="N59" i="15"/>
  <c r="F71" i="15"/>
  <c r="F64" i="15"/>
  <c r="F31" i="15"/>
  <c r="C6" i="15"/>
  <c r="C32" i="15" s="1"/>
  <c r="F66" i="15"/>
  <c r="C27" i="15"/>
  <c r="J53" i="15"/>
  <c r="L56" i="15" s="1"/>
  <c r="J57" i="15"/>
  <c r="J55" i="15" s="1"/>
  <c r="J58" i="15" s="1"/>
  <c r="Q50" i="15" s="1"/>
  <c r="I54" i="15"/>
  <c r="F68" i="15"/>
  <c r="Q71" i="15"/>
  <c r="F51" i="15"/>
  <c r="C49" i="15" s="1"/>
  <c r="AZ178" i="3"/>
  <c r="AZ21" i="3"/>
  <c r="D23" i="71"/>
  <c r="C22" i="71"/>
  <c r="D67" i="71"/>
  <c r="C66" i="71"/>
  <c r="O67" i="71"/>
  <c r="AZ71" i="3"/>
  <c r="D34" i="71"/>
  <c r="C35" i="71"/>
  <c r="AZ249" i="3"/>
  <c r="AZ126" i="3"/>
  <c r="AZ274" i="3"/>
  <c r="AZ267" i="3"/>
  <c r="AZ223" i="3"/>
  <c r="AZ476" i="3"/>
  <c r="AZ435" i="3"/>
  <c r="AZ425" i="3"/>
  <c r="D31" i="71"/>
  <c r="C32" i="71"/>
  <c r="AZ428" i="3"/>
  <c r="AZ411" i="3"/>
  <c r="AZ519" i="3"/>
  <c r="AC27" i="37"/>
  <c r="W27" i="37"/>
  <c r="AC23" i="35"/>
  <c r="W23" i="35"/>
  <c r="AA45" i="33"/>
  <c r="S45" i="33"/>
  <c r="AB32" i="36"/>
  <c r="U32" i="36"/>
  <c r="U9" i="34"/>
  <c r="AB9" i="34"/>
  <c r="AA46" i="21"/>
  <c r="S46" i="21"/>
  <c r="AZ521" i="3"/>
  <c r="AZ526" i="3"/>
  <c r="AZ529" i="3"/>
  <c r="AZ548" i="3"/>
  <c r="AZ553" i="3"/>
  <c r="U23" i="36"/>
  <c r="AB23" i="36"/>
  <c r="AZ585" i="3"/>
  <c r="S13" i="36"/>
  <c r="AA13" i="36"/>
  <c r="U28" i="33"/>
  <c r="AB28" i="33"/>
  <c r="W31" i="39"/>
  <c r="AC31" i="39"/>
  <c r="AC9" i="36"/>
  <c r="W9" i="36"/>
  <c r="W32" i="34"/>
  <c r="AC32" i="34"/>
  <c r="G5" i="3"/>
  <c r="B3" i="3" s="1"/>
  <c r="AZ263" i="3"/>
  <c r="D44" i="71"/>
  <c r="T44" i="71"/>
  <c r="U39" i="40"/>
  <c r="AB39" i="40"/>
  <c r="W12" i="34"/>
  <c r="AC12" i="34"/>
  <c r="U27" i="37"/>
  <c r="AB27" i="37"/>
  <c r="S27" i="40"/>
  <c r="AA27" i="40"/>
  <c r="AA37" i="39"/>
  <c r="S37" i="39"/>
  <c r="S14" i="39"/>
  <c r="AA14" i="39"/>
  <c r="AA32" i="36"/>
  <c r="S32" i="36"/>
  <c r="AC28" i="34"/>
  <c r="W28" i="34"/>
  <c r="AB46" i="21"/>
  <c r="U46" i="21"/>
  <c r="U43" i="39"/>
  <c r="AB43" i="39"/>
  <c r="AZ514" i="3"/>
  <c r="AZ536" i="3"/>
  <c r="S31" i="40"/>
  <c r="AA31" i="40"/>
  <c r="AA11" i="36"/>
  <c r="S11" i="36"/>
  <c r="S25" i="36"/>
  <c r="AA25" i="36"/>
  <c r="C56" i="71"/>
  <c r="D55" i="71"/>
  <c r="AB31" i="39"/>
  <c r="U31" i="39"/>
  <c r="AB32" i="34"/>
  <c r="U32" i="34"/>
  <c r="G16" i="1"/>
  <c r="F10" i="39" s="1"/>
  <c r="AA10" i="39" s="1"/>
  <c r="C26" i="71"/>
  <c r="D26" i="71" s="1"/>
  <c r="D27" i="71"/>
  <c r="AZ20" i="3"/>
  <c r="AZ38" i="3"/>
  <c r="AZ103" i="3"/>
  <c r="AZ63" i="3"/>
  <c r="AZ57" i="3"/>
  <c r="AZ251" i="3"/>
  <c r="AZ247" i="3"/>
  <c r="AZ271" i="3"/>
  <c r="AZ238" i="3"/>
  <c r="AZ414" i="3"/>
  <c r="AZ408" i="3"/>
  <c r="AC39" i="40"/>
  <c r="W39" i="40"/>
  <c r="W27" i="21"/>
  <c r="AC27" i="21"/>
  <c r="U27" i="40"/>
  <c r="AB27" i="40"/>
  <c r="AC37" i="39"/>
  <c r="W37" i="39"/>
  <c r="S13" i="37"/>
  <c r="AA13" i="37"/>
  <c r="AA23" i="35"/>
  <c r="S23" i="35"/>
  <c r="AC35" i="35"/>
  <c r="W35" i="35"/>
  <c r="AZ554" i="3"/>
  <c r="AA28" i="34"/>
  <c r="S28" i="34"/>
  <c r="AB12" i="40"/>
  <c r="U12" i="40"/>
  <c r="AZ494" i="3"/>
  <c r="AZ527" i="3"/>
  <c r="AZ540" i="3"/>
  <c r="AZ550" i="3"/>
  <c r="AZ570" i="3"/>
  <c r="AC31" i="40"/>
  <c r="W31" i="40"/>
  <c r="AA45" i="21"/>
  <c r="S45" i="21"/>
  <c r="U14" i="34"/>
  <c r="AB14" i="34"/>
  <c r="S28" i="33"/>
  <c r="AA28" i="33"/>
  <c r="AZ120" i="3"/>
  <c r="AA14" i="34"/>
  <c r="S14" i="34"/>
  <c r="S29" i="33"/>
  <c r="AA29" i="33"/>
  <c r="J6" i="15"/>
  <c r="J18" i="15" s="1"/>
  <c r="AZ28" i="3"/>
  <c r="C64" i="71"/>
  <c r="D63" i="71"/>
  <c r="T52" i="71"/>
  <c r="D52" i="71"/>
  <c r="AZ108" i="3"/>
  <c r="AZ25" i="3"/>
  <c r="B19" i="71"/>
  <c r="B18" i="71" s="1"/>
  <c r="B17" i="71" s="1"/>
  <c r="B16" i="71" s="1"/>
  <c r="S20" i="71"/>
  <c r="T40" i="71"/>
  <c r="D40" i="71"/>
  <c r="AZ197" i="3"/>
  <c r="AZ441" i="3"/>
  <c r="AC38" i="40"/>
  <c r="W38" i="40"/>
  <c r="U14" i="39"/>
  <c r="AB14" i="39"/>
  <c r="AB13" i="37"/>
  <c r="U13" i="37"/>
  <c r="U23" i="35"/>
  <c r="AB23" i="35"/>
  <c r="AA43" i="39"/>
  <c r="S43" i="39"/>
  <c r="AZ572" i="3"/>
  <c r="AC9" i="34"/>
  <c r="W9" i="34"/>
  <c r="AC12" i="40"/>
  <c r="W12" i="40"/>
  <c r="AZ528" i="3"/>
  <c r="AC23" i="36"/>
  <c r="W23" i="36"/>
  <c r="W12" i="35"/>
  <c r="AC12" i="35"/>
  <c r="W45" i="21"/>
  <c r="AC45" i="21"/>
  <c r="S32" i="34"/>
  <c r="AA32" i="34"/>
  <c r="AC28" i="33"/>
  <c r="W28" i="33"/>
  <c r="F29" i="6"/>
  <c r="AA31" i="39"/>
  <c r="S31" i="39"/>
  <c r="S35" i="35"/>
  <c r="AA35" i="35"/>
  <c r="W14" i="34"/>
  <c r="AC14" i="34"/>
  <c r="U29" i="33"/>
  <c r="AB29" i="33"/>
  <c r="J7" i="37"/>
  <c r="K1" i="73"/>
  <c r="E510" i="3"/>
  <c r="E539" i="3"/>
  <c r="E152" i="3"/>
  <c r="E363" i="3"/>
  <c r="E310" i="3"/>
  <c r="E84" i="3"/>
  <c r="E391" i="3"/>
  <c r="AL6" i="3"/>
  <c r="E308" i="3"/>
  <c r="E197" i="3"/>
  <c r="E420" i="3"/>
  <c r="E41" i="3"/>
  <c r="E329" i="3"/>
  <c r="E16" i="3"/>
  <c r="E419" i="3"/>
  <c r="E25" i="3"/>
  <c r="E38" i="3"/>
  <c r="E194" i="3"/>
  <c r="E265" i="3"/>
  <c r="E365" i="3"/>
  <c r="E222" i="3"/>
  <c r="E416" i="3"/>
  <c r="E297" i="3"/>
  <c r="E266" i="3"/>
  <c r="E413" i="3"/>
  <c r="E187" i="3"/>
  <c r="W6" i="3"/>
  <c r="E54" i="3"/>
  <c r="E207" i="3"/>
  <c r="E367" i="3"/>
  <c r="E317" i="3"/>
  <c r="E53" i="3"/>
  <c r="S6" i="3"/>
  <c r="E523" i="3"/>
  <c r="E17" i="3"/>
  <c r="E303" i="3"/>
  <c r="E156" i="3"/>
  <c r="E434" i="3"/>
  <c r="E330" i="3"/>
  <c r="Q6" i="3"/>
  <c r="E429" i="3"/>
  <c r="E55" i="3"/>
  <c r="E580" i="3"/>
  <c r="E32" i="3"/>
  <c r="E576" i="3"/>
  <c r="E448" i="3"/>
  <c r="E444" i="3"/>
  <c r="E121" i="3"/>
  <c r="E30" i="3"/>
  <c r="E480" i="3"/>
  <c r="E239" i="3"/>
  <c r="E516" i="3"/>
  <c r="E358" i="3"/>
  <c r="V6" i="3"/>
  <c r="E130" i="3"/>
  <c r="E415" i="3"/>
  <c r="E290" i="3"/>
  <c r="E61" i="3"/>
  <c r="E336" i="3"/>
  <c r="E253" i="3"/>
  <c r="E45" i="3"/>
  <c r="E193" i="3"/>
  <c r="E457" i="3"/>
  <c r="E571" i="3"/>
  <c r="E150" i="3"/>
  <c r="E318" i="3"/>
  <c r="E271" i="3"/>
  <c r="E107" i="3"/>
  <c r="E414" i="3"/>
  <c r="E477" i="3"/>
  <c r="E447" i="3"/>
  <c r="E162" i="3"/>
  <c r="E384" i="3"/>
  <c r="E44" i="3"/>
  <c r="E343" i="3"/>
  <c r="E305" i="3"/>
  <c r="E410" i="3"/>
  <c r="E143" i="3"/>
  <c r="E561" i="3"/>
  <c r="E538" i="3"/>
  <c r="E216" i="3"/>
  <c r="E185" i="3"/>
  <c r="E361" i="3"/>
  <c r="E180" i="3"/>
  <c r="E350" i="3"/>
  <c r="E586" i="3"/>
  <c r="E347" i="3"/>
  <c r="E77" i="3"/>
  <c r="AK6" i="3"/>
  <c r="E277" i="3"/>
  <c r="E472" i="3"/>
  <c r="E406" i="3"/>
  <c r="E468" i="3"/>
  <c r="E454" i="3"/>
  <c r="E214" i="3"/>
  <c r="E362" i="3"/>
  <c r="E89" i="3"/>
  <c r="E204" i="3"/>
  <c r="E485" i="3"/>
  <c r="E400" i="3"/>
  <c r="E489" i="3"/>
  <c r="E70" i="3"/>
  <c r="E377" i="3"/>
  <c r="E572" i="3"/>
  <c r="E268" i="3"/>
  <c r="E322" i="3"/>
  <c r="E431" i="3"/>
  <c r="E201" i="3"/>
  <c r="M6" i="3"/>
  <c r="AB6" i="3"/>
  <c r="E189" i="3"/>
  <c r="E69" i="3"/>
  <c r="E445" i="3"/>
  <c r="E161" i="3"/>
  <c r="E423" i="3"/>
  <c r="AI6" i="3"/>
  <c r="X6" i="3"/>
  <c r="E100" i="3"/>
  <c r="E119" i="3"/>
  <c r="E132" i="3"/>
  <c r="E242" i="3"/>
  <c r="E483" i="3"/>
  <c r="AA26" i="37"/>
  <c r="S26" i="37"/>
  <c r="BA5" i="3"/>
  <c r="E27" i="6" s="1"/>
  <c r="K26" i="6" s="1"/>
  <c r="M26" i="6" s="1"/>
  <c r="I26" i="6" s="1"/>
  <c r="S26" i="6"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E72" i="43"/>
  <c r="B70" i="43" s="1"/>
  <c r="C29" i="69"/>
  <c r="D27" i="69" s="1"/>
  <c r="F45" i="69"/>
  <c r="F27" i="11"/>
  <c r="C29" i="11" s="1"/>
  <c r="D27" i="11" s="1"/>
  <c r="F28" i="12"/>
  <c r="C29" i="12" s="1"/>
  <c r="D28" i="12" s="1"/>
  <c r="E60" i="40"/>
  <c r="E51" i="40"/>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AE6" i="1"/>
  <c r="F41" i="67"/>
  <c r="G1" i="73"/>
  <c r="F59" i="15" l="1"/>
  <c r="S10" i="39"/>
  <c r="F10" i="40"/>
  <c r="S10" i="40" s="1"/>
  <c r="E499" i="3"/>
  <c r="E286" i="3"/>
  <c r="E491" i="3"/>
  <c r="E349" i="3"/>
  <c r="E160" i="3"/>
  <c r="E184" i="3"/>
  <c r="E309" i="3"/>
  <c r="E482" i="3"/>
  <c r="AF6" i="3"/>
  <c r="E173" i="3"/>
  <c r="E556" i="3"/>
  <c r="E356" i="3"/>
  <c r="E49" i="3"/>
  <c r="E116" i="3"/>
  <c r="E376" i="3"/>
  <c r="E108" i="3"/>
  <c r="E540" i="3"/>
  <c r="E325" i="3"/>
  <c r="E340" i="3"/>
  <c r="E165" i="3"/>
  <c r="E386" i="3"/>
  <c r="E500" i="3"/>
  <c r="E323" i="3"/>
  <c r="E542" i="3"/>
  <c r="AD6" i="3"/>
  <c r="E307" i="3"/>
  <c r="E529" i="3"/>
  <c r="E168" i="3"/>
  <c r="U6" i="3"/>
  <c r="E291" i="3"/>
  <c r="E328" i="3"/>
  <c r="E338" i="3"/>
  <c r="E159" i="3"/>
  <c r="AA6" i="3"/>
  <c r="E262" i="3"/>
  <c r="E481" i="3"/>
  <c r="E496" i="3"/>
  <c r="E274" i="3"/>
  <c r="E252" i="3"/>
  <c r="P6" i="3"/>
  <c r="E404" i="3"/>
  <c r="E334" i="3"/>
  <c r="E553" i="3"/>
  <c r="E569" i="3"/>
  <c r="E551" i="3"/>
  <c r="E230" i="3"/>
  <c r="E260" i="3"/>
  <c r="E382" i="3"/>
  <c r="E583" i="3"/>
  <c r="E511" i="3"/>
  <c r="E458" i="3"/>
  <c r="E450" i="3"/>
  <c r="E279"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466" i="3"/>
  <c r="E479" i="3"/>
  <c r="E59" i="3"/>
  <c r="E371" i="3"/>
  <c r="E233" i="3"/>
  <c r="E494" i="3"/>
  <c r="E174" i="3"/>
  <c r="E102" i="3"/>
  <c r="T6" i="3"/>
  <c r="E470" i="3"/>
  <c r="E428" i="3"/>
  <c r="E80" i="3"/>
  <c r="E564" i="3"/>
  <c r="AH6" i="3"/>
  <c r="E226" i="3"/>
  <c r="E79" i="3"/>
  <c r="E392" i="3"/>
  <c r="E20" i="3"/>
  <c r="E566" i="3"/>
  <c r="E24" i="3"/>
  <c r="E110" i="3"/>
  <c r="E436" i="3"/>
  <c r="E374" i="3"/>
  <c r="E195" i="3"/>
  <c r="E461" i="3"/>
  <c r="E474" i="3"/>
  <c r="E118" i="3"/>
  <c r="E487" i="3"/>
  <c r="E275" i="3"/>
  <c r="E148" i="3"/>
  <c r="E246" i="3"/>
  <c r="E191" i="3"/>
  <c r="E172" i="3"/>
  <c r="E215" i="3"/>
  <c r="E514" i="3"/>
  <c r="E579" i="3"/>
  <c r="E526" i="3"/>
  <c r="E211" i="3"/>
  <c r="E531" i="3"/>
  <c r="AO6" i="3"/>
  <c r="E227" i="3"/>
  <c r="E171" i="3"/>
  <c r="E577" i="3"/>
  <c r="K6" i="3"/>
  <c r="E545" i="3"/>
  <c r="E399" i="3"/>
  <c r="E134" i="3"/>
  <c r="E183" i="3"/>
  <c r="E231" i="3"/>
  <c r="E533" i="3"/>
  <c r="E555" i="3"/>
  <c r="E530" i="3"/>
  <c r="E210" i="3"/>
  <c r="E476" i="3"/>
  <c r="E478" i="3"/>
  <c r="E567" i="3"/>
  <c r="E111" i="3"/>
  <c r="E527" i="3"/>
  <c r="E314" i="3"/>
  <c r="E518" i="3"/>
  <c r="E117" i="3"/>
  <c r="E294" i="3"/>
  <c r="E151" i="3"/>
  <c r="E282" i="3"/>
  <c r="E295" i="3"/>
  <c r="E581" i="3"/>
  <c r="E164" i="3"/>
  <c r="E256" i="3"/>
  <c r="E344" i="3"/>
  <c r="E177" i="3"/>
  <c r="E280" i="3"/>
  <c r="E304" i="3"/>
  <c r="E359" i="3"/>
  <c r="E71" i="3"/>
  <c r="E196" i="3"/>
  <c r="E157" i="3"/>
  <c r="E179" i="3"/>
  <c r="E48" i="3"/>
  <c r="E348" i="3"/>
  <c r="E289" i="3"/>
  <c r="L6" i="3"/>
  <c r="E507" i="3"/>
  <c r="E35" i="3"/>
  <c r="E408" i="3"/>
  <c r="E86" i="3"/>
  <c r="E283" i="3"/>
  <c r="E64" i="3"/>
  <c r="I3" i="6"/>
  <c r="E16" i="6"/>
  <c r="E142" i="3"/>
  <c r="E240" i="3"/>
  <c r="E296" i="3"/>
  <c r="E200" i="3"/>
  <c r="E385" i="3"/>
  <c r="E135" i="3"/>
  <c r="E563" i="3"/>
  <c r="E387" i="3"/>
  <c r="E311" i="3"/>
  <c r="E509" i="3"/>
  <c r="E109" i="3"/>
  <c r="E182" i="3"/>
  <c r="E557" i="3"/>
  <c r="E327" i="3"/>
  <c r="E74" i="3"/>
  <c r="E146" i="3"/>
  <c r="E465" i="3"/>
  <c r="E133" i="3"/>
  <c r="E181" i="3"/>
  <c r="E495" i="3"/>
  <c r="E91" i="3"/>
  <c r="E528" i="3"/>
  <c r="E439" i="3"/>
  <c r="E270" i="3"/>
  <c r="E388" i="3"/>
  <c r="E441" i="3"/>
  <c r="E186" i="3"/>
  <c r="AS6" i="3"/>
  <c r="E585" i="3"/>
  <c r="E31" i="3"/>
  <c r="E433" i="3"/>
  <c r="E519" i="3"/>
  <c r="E85" i="3"/>
  <c r="E578" i="3"/>
  <c r="E395" i="3"/>
  <c r="E407" i="3"/>
  <c r="E229" i="3"/>
  <c r="E366" i="3"/>
  <c r="E166" i="3"/>
  <c r="E443" i="3"/>
  <c r="I6" i="3"/>
  <c r="E203" i="3"/>
  <c r="E424" i="3"/>
  <c r="E128" i="3"/>
  <c r="AN6" i="3"/>
  <c r="E237" i="3"/>
  <c r="E426" i="3"/>
  <c r="E547" i="3"/>
  <c r="E357" i="3"/>
  <c r="E136" i="3"/>
  <c r="E462" i="3"/>
  <c r="E354" i="3"/>
  <c r="E460" i="3"/>
  <c r="E36" i="3"/>
  <c r="E372" i="3"/>
  <c r="E543" i="3"/>
  <c r="E190" i="3"/>
  <c r="E512" i="3"/>
  <c r="E235" i="3"/>
  <c r="E68" i="3"/>
  <c r="E467" i="3"/>
  <c r="E541" i="3"/>
  <c r="F1" i="15"/>
  <c r="E3" i="6"/>
  <c r="D37" i="11" s="1"/>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192" i="3"/>
  <c r="AP6" i="3"/>
  <c r="E536" i="3"/>
  <c r="E199" i="3"/>
  <c r="E502" i="3"/>
  <c r="E255" i="3"/>
  <c r="E435" i="3"/>
  <c r="E37" i="3"/>
  <c r="E292"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212" i="3"/>
  <c r="R6" i="3"/>
  <c r="E430" i="3"/>
  <c r="E517" i="3"/>
  <c r="E56" i="3"/>
  <c r="E258"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63" i="39"/>
  <c r="E65" i="39" s="1"/>
  <c r="E59" i="40"/>
  <c r="H10" i="39"/>
  <c r="U10" i="39" s="1"/>
  <c r="H10" i="40"/>
  <c r="AB10" i="40" s="1"/>
  <c r="J10" i="40"/>
  <c r="AC10" i="40" s="1"/>
  <c r="J10" i="39"/>
  <c r="W10" i="39" s="1"/>
  <c r="Q73" i="15"/>
  <c r="S7" i="36"/>
  <c r="Q74" i="15"/>
  <c r="Q52" i="15"/>
  <c r="J5" i="15"/>
  <c r="J24" i="15" s="1"/>
  <c r="E29" i="6"/>
  <c r="F30" i="6"/>
  <c r="F31" i="6" s="1"/>
  <c r="T32" i="71"/>
  <c r="D32" i="71"/>
  <c r="C21" i="71"/>
  <c r="D22" i="71"/>
  <c r="D64" i="71"/>
  <c r="T64" i="71"/>
  <c r="D56" i="71"/>
  <c r="T56" i="71"/>
  <c r="C36" i="71"/>
  <c r="D35" i="71"/>
  <c r="O65" i="71"/>
  <c r="D66" i="71"/>
  <c r="O66" i="71"/>
  <c r="E389" i="3"/>
  <c r="E241" i="3"/>
  <c r="E95" i="3"/>
  <c r="E417" i="3"/>
  <c r="E554" i="3"/>
  <c r="E449" i="3"/>
  <c r="E442" i="3"/>
  <c r="E575" i="3"/>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14" i="12"/>
  <c r="M18" i="9"/>
  <c r="B118" i="9" s="1"/>
  <c r="B1" i="74" s="1"/>
  <c r="D3" i="34"/>
  <c r="L18" i="9"/>
  <c r="C17" i="4"/>
  <c r="B4" i="52" s="1"/>
  <c r="B43" i="72" s="1"/>
  <c r="D3" i="33"/>
  <c r="C39" i="43"/>
  <c r="C42" i="43"/>
  <c r="E42" i="43" s="1"/>
  <c r="C38" i="43"/>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5" i="12" l="1"/>
  <c r="D3" i="37"/>
  <c r="D19" i="11"/>
  <c r="C19" i="11" s="1"/>
  <c r="C20" i="11" s="1"/>
  <c r="C28" i="11" s="1"/>
  <c r="C27" i="11" s="1"/>
  <c r="H6" i="3"/>
  <c r="E6" i="3" s="1"/>
  <c r="AC10" i="39"/>
  <c r="AC6" i="3"/>
  <c r="AB10" i="39"/>
  <c r="D36" i="71"/>
  <c r="T36" i="71"/>
  <c r="D116" i="43"/>
  <c r="F22" i="68"/>
  <c r="C44" i="68" s="1"/>
  <c r="D41" i="68" s="1"/>
  <c r="D21" i="71"/>
  <c r="C20" i="71"/>
  <c r="K15" i="1"/>
  <c r="K16" i="1" s="1"/>
  <c r="E30" i="6"/>
  <c r="E31" i="6"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15"/>
  <c r="C14" i="67"/>
  <c r="C17" i="67"/>
  <c r="H24" i="6" l="1"/>
  <c r="E54" i="34"/>
  <c r="F54" i="34" s="1"/>
  <c r="C44" i="11"/>
  <c r="D41" i="11" s="1"/>
  <c r="C26" i="11"/>
  <c r="D22" i="11" s="1"/>
  <c r="C26" i="68"/>
  <c r="D22" i="68" s="1"/>
  <c r="F41" i="68"/>
  <c r="C23" i="68"/>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19" i="9"/>
  <c r="L51" i="15"/>
  <c r="D2" i="34"/>
  <c r="D2" i="35"/>
  <c r="D2" i="36"/>
  <c r="D2" i="37"/>
  <c r="C102" i="9" l="1"/>
  <c r="C21" i="9"/>
  <c r="D102" i="9"/>
  <c r="D22" i="9"/>
  <c r="D21" i="9"/>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1" i="1"/>
  <c r="AO9" i="1"/>
  <c r="AO6" i="1"/>
  <c r="AO10" i="1"/>
  <c r="AO12" i="1"/>
  <c r="AO8" i="1"/>
  <c r="AO7" i="1"/>
  <c r="C103" i="9" l="1"/>
  <c r="D103" i="9"/>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G19" i="9"/>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1" i="9" l="1"/>
  <c r="J20"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32" i="72"/>
  <c r="D14" i="53"/>
  <c r="B21" i="72"/>
  <c r="D7" i="53"/>
  <c r="B47" i="72"/>
  <c r="D4" i="52"/>
  <c r="B48" i="72"/>
  <c r="E4" i="52"/>
  <c r="M55" i="9"/>
  <c r="D59" i="9"/>
  <c r="H102" i="9"/>
  <c r="C5" i="74"/>
  <c r="D13" i="53"/>
  <c r="B30" i="72"/>
  <c r="B52" i="72"/>
  <c r="G4" i="52"/>
  <c r="C73" i="9"/>
  <c r="C78" i="9"/>
  <c r="B22" i="72"/>
  <c r="D6" i="53"/>
  <c r="C97" i="9"/>
  <c r="D58" i="9"/>
  <c r="D56" i="9"/>
  <c r="M54" i="9"/>
  <c r="D8" i="52"/>
  <c r="C81" i="9"/>
  <c r="D5" i="53"/>
  <c r="B20" i="72"/>
  <c r="H5" i="52"/>
  <c r="H119" i="9"/>
  <c r="B51" i="72"/>
  <c r="F4" i="52"/>
  <c r="D122" i="9"/>
  <c r="D123" i="9"/>
  <c r="D9" i="52"/>
  <c r="C6" i="74"/>
  <c r="G118" i="9"/>
  <c r="F118" i="9"/>
  <c r="F119" i="9"/>
  <c r="F5" i="52"/>
  <c r="B53" i="72"/>
  <c r="C104" i="9"/>
  <c r="H4" i="52"/>
  <c r="D53" i="9"/>
  <c r="D52" i="9"/>
  <c r="N61" i="9"/>
  <c r="N59" i="9"/>
  <c r="N60" i="9"/>
  <c r="M48" i="9"/>
  <c r="P57" i="9"/>
  <c r="D55" i="9"/>
  <c r="M53" i="9"/>
  <c r="N57" i="9"/>
  <c r="N58" i="9"/>
  <c r="C93" i="9"/>
  <c r="C86" i="9"/>
  <c r="D54" i="9"/>
  <c r="C64" i="9"/>
  <c r="C63" i="9"/>
  <c r="C67" i="9"/>
  <c r="C68" i="9"/>
  <c r="C72" i="9"/>
  <c r="C79" i="9"/>
  <c r="C80" i="9"/>
  <c r="E80" i="9"/>
  <c r="E81" i="9"/>
  <c r="C105" i="9"/>
  <c r="I4" i="52"/>
  <c r="E118" i="9"/>
  <c r="D118" i="9"/>
  <c r="D119" i="9"/>
  <c r="D5" i="52"/>
  <c r="B49" i="72"/>
  <c r="D45" i="9"/>
  <c r="C85" i="9"/>
  <c r="C95" i="9"/>
  <c r="C96" i="9"/>
  <c r="E96" i="9"/>
  <c r="E97"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<sst xmlns="http://schemas.openxmlformats.org/spreadsheetml/2006/main" count="8022" uniqueCount="3536">
  <si>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</si>
  <si>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</si>
  <si>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</si>
  <si>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</si>
  <si>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</si>
  <si>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</si>
  <si>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</si>
  <si>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</si>
  <si>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</si>
  <si>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</si>
  <si>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</si>
  <si>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</si>
  <si>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</si>
  <si>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</si>
  <si>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</si>
  <si>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</si>
  <si>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</si>
  <si>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</si>
  <si>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</si>
  <si>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</si>
  <si>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</si>
  <si>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</si>
  <si>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</si>
  <si>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</si>
  <si>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</si>
  <si>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</si>
  <si>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</si>
  <si>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</si>
  <si>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</si>
  <si>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</si>
  <si>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</si>
  <si>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</si>
  <si>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</si>
  <si>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</si>
  <si>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</si>
  <si>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</si>
  <si>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</si>
  <si>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</si>
  <si>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</si>
  <si>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</si>
  <si>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</si>
  <si>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</si>
  <si>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</si>
  <si>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</si>
  <si>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</si>
  <si>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</si>
  <si>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</si>
  <si>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</si>
  <si>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</si>
  <si>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</si>
  <si>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</si>
  <si>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</si>
  <si>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</si>
  <si>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</si>
  <si>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</si>
  <si>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</si>
  <si>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</si>
  <si>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</si>
  <si>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</si>
  <si>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</si>
  <si>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</si>
  <si>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</si>
  <si>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</si>
  <si>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</si>
  <si>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</si>
  <si>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</si>
  <si>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</si>
  <si>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</si>
  <si>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</si>
  <si>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</si>
  <si>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</si>
  <si>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</si>
  <si>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</si>
  <si>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</si>
  <si>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</si>
  <si>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</si>
  <si>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</si>
  <si>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</si>
  <si>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</si>
  <si>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</si>
  <si>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</si>
  <si>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</si>
  <si>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</si>
  <si>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</si>
  <si>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</si>
  <si>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</si>
  <si>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</si>
  <si>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</si>
  <si>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</si>
  <si>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</si>
  <si>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</si>
  <si>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</si>
  <si>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</si>
  <si>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</si>
  <si>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</si>
  <si>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</si>
  <si>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</si>
  <si>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</si>
  <si>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</si>
  <si>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</si>
  <si>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</si>
  <si>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</si>
  <si>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</si>
  <si>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</si>
  <si>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</si>
  <si>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</si>
  <si>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</si>
  <si>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</si>
  <si>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</si>
  <si>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</si>
  <si>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</si>
  <si>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</si>
  <si>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</si>
  <si>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</si>
  <si>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</si>
  <si>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</si>
  <si>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</si>
  <si>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</si>
  <si>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</si>
  <si>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</si>
  <si>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</si>
  <si>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</si>
  <si>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</si>
  <si>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</si>
  <si>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</si>
  <si>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</si>
  <si>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</si>
  <si>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</si>
  <si>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</si>
  <si>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</si>
  <si>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</si>
  <si>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</si>
  <si>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</si>
  <si>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</si>
  <si>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</si>
  <si>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</si>
  <si>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</si>
  <si>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</si>
  <si>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</si>
  <si>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</si>
  <si>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</si>
  <si>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</si>
  <si>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</si>
  <si>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</si>
  <si>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</si>
  <si>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</si>
  <si>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</si>
  <si>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</si>
  <si>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</si>
  <si>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</si>
  <si>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</si>
  <si>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</si>
  <si>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</si>
  <si>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</si>
  <si>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</si>
  <si>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</si>
  <si>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</si>
  <si>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</si>
  <si>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</si>
  <si>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</si>
  <si>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</si>
  <si>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</si>
  <si>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</si>
  <si>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</si>
  <si>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</si>
  <si>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</si>
  <si>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</si>
  <si>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</si>
  <si>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</si>
  <si>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</si>
  <si>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</si>
  <si>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</si>
  <si>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</si>
  <si>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</si>
  <si>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</si>
  <si>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</si>
  <si>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</si>
  <si>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</si>
  <si>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</si>
  <si>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</si>
  <si>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</si>
  <si>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</si>
  <si>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</si>
  <si>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</si>
  <si>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</si>
  <si>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</si>
  <si>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</si>
  <si>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</si>
  <si>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</si>
  <si>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</si>
  <si>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</si>
  <si>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</si>
  <si>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</si>
  <si>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</si>
  <si>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</si>
  <si>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</si>
  <si>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</si>
  <si>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</si>
  <si>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</si>
  <si>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</si>
  <si>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</si>
  <si>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</si>
  <si>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</si>
  <si>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</si>
  <si>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</si>
  <si>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</si>
  <si>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</si>
  <si>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</si>
  <si>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</si>
  <si>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</si>
  <si>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</si>
  <si>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</si>
  <si>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</si>
  <si>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</si>
  <si>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</si>
  <si>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</si>
  <si>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</si>
  <si>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</si>
  <si>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</si>
  <si>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</si>
  <si>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</si>
  <si>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</si>
  <si>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</si>
  <si>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</si>
  <si>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</si>
  <si>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</si>
  <si>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</si>
  <si>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</si>
  <si>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</si>
  <si>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</si>
  <si>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</si>
  <si>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</si>
  <si>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</si>
  <si>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</si>
  <si>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</si>
  <si>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</si>
  <si>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</si>
  <si>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</si>
  <si>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</si>
  <si>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</si>
  <si>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</si>
  <si>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</si>
  <si>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</si>
  <si>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</si>
  <si>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</si>
  <si>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</si>
  <si>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</si>
  <si>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</si>
  <si>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</si>
  <si>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</si>
  <si>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</si>
  <si>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</si>
  <si>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</si>
  <si>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</si>
  <si>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</si>
  <si>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</si>
  <si>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</si>
  <si>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</si>
  <si>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</si>
  <si>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</si>
  <si>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</si>
  <si>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</si>
  <si>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</si>
  <si>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</si>
  <si>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</si>
  <si>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</si>
  <si>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</si>
  <si>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</si>
  <si>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</si>
  <si>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</si>
  <si>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</si>
  <si>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</si>
  <si>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</si>
  <si>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</si>
  <si>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</si>
  <si>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</si>
  <si>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</si>
  <si>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</si>
  <si>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</si>
  <si>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</si>
  <si>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</si>
  <si>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</si>
  <si>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</si>
  <si>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</si>
  <si>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</si>
  <si>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</si>
  <si>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</si>
  <si>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</si>
  <si>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</si>
  <si>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</si>
  <si>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</si>
  <si>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</si>
  <si>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</si>
  <si>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</si>
  <si>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</si>
  <si>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</si>
  <si>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</si>
  <si>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</si>
  <si>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</si>
  <si>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</si>
  <si>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</si>
  <si>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</si>
  <si>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</si>
  <si>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</si>
  <si>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</si>
  <si>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</si>
  <si>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</si>
  <si>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</si>
  <si>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</si>
  <si>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</si>
  <si>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</si>
  <si>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</si>
  <si>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</si>
  <si>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</si>
  <si>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</si>
  <si>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</si>
  <si>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</si>
  <si>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</si>
  <si>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</si>
  <si>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</si>
  <si>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</si>
  <si>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</si>
  <si>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</si>
  <si>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</si>
  <si>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</si>
  <si>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</si>
  <si>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</si>
  <si>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</si>
  <si>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</si>
  <si>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</si>
  <si>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</si>
  <si>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</si>
  <si>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</si>
  <si>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</si>
  <si>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</si>
  <si>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</si>
  <si>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</si>
  <si>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</si>
  <si>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</si>
  <si>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</si>
  <si>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</si>
  <si>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</si>
  <si>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</si>
  <si>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</si>
  <si>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</si>
  <si>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</si>
  <si>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</si>
  <si>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</si>
  <si>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</si>
  <si>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</si>
  <si>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</si>
  <si>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</si>
  <si>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</si>
  <si>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</si>
  <si>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</si>
  <si>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</si>
  <si>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</si>
  <si>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</si>
  <si>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</si>
  <si>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</si>
  <si>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</si>
  <si>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</si>
  <si>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</si>
  <si>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</si>
  <si>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</si>
  <si>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</si>
  <si>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</si>
  <si>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</si>
  <si>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</si>
  <si>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</si>
  <si>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</si>
  <si>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</si>
  <si>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</si>
  <si>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</si>
  <si>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</si>
  <si>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</si>
  <si>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</si>
  <si>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</si>
  <si>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</si>
  <si>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</si>
  <si>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</si>
  <si>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</si>
  <si>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</si>
  <si>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</si>
  <si>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</si>
  <si>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</si>
  <si>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</si>
  <si>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</si>
  <si>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</si>
  <si>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</si>
  <si>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</si>
  <si>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</si>
  <si>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</si>
  <si>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</si>
  <si>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</si>
  <si>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</si>
  <si>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</si>
  <si>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</si>
  <si>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</si>
  <si>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</si>
  <si>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</si>
  <si>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</si>
  <si>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</si>
  <si>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</si>
  <si>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</si>
  <si>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</si>
  <si>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</si>
  <si>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</si>
  <si>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</si>
  <si>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</si>
  <si>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</si>
  <si>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</si>
  <si>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</si>
  <si>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</si>
  <si>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</si>
  <si>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</si>
  <si>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</si>
  <si>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</si>
  <si>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</si>
  <si>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</si>
  <si>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</si>
  <si>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</si>
  <si>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</si>
  <si>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</si>
  <si>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</si>
  <si>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</si>
  <si>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</si>
  <si>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</si>
  <si>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</si>
  <si>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</si>
  <si>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</si>
  <si>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</si>
  <si>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</si>
  <si>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</si>
  <si>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</si>
  <si>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</si>
  <si>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</si>
  <si>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</si>
  <si>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</si>
  <si>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</si>
  <si>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</si>
  <si>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</si>
  <si>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</si>
  <si>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</si>
  <si>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</si>
  <si>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</si>
  <si>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</si>
  <si>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</si>
  <si>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</si>
  <si>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</si>
  <si>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</si>
  <si>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</si>
  <si>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</si>
  <si>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</si>
  <si>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</si>
  <si>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</si>
  <si>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</si>
  <si>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</si>
  <si>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</si>
  <si>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</si>
  <si>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</si>
  <si>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</si>
  <si>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</si>
  <si>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</si>
  <si>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</si>
  <si>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</si>
  <si>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</si>
  <si>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</si>
  <si>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</si>
  <si>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</si>
  <si>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</si>
  <si>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</si>
  <si>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</si>
  <si>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</si>
  <si>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</si>
  <si>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</si>
  <si>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</si>
  <si>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</si>
  <si>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</si>
  <si>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</si>
  <si>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</si>
  <si>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</si>
  <si>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</si>
  <si>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</si>
  <si>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</si>
  <si>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</si>
  <si>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</si>
  <si>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</si>
  <si>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</si>
  <si>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</si>
  <si>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</si>
  <si>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</si>
  <si>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</si>
  <si>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</si>
  <si>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</si>
  <si>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</si>
  <si>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</si>
  <si>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</si>
  <si>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</si>
  <si>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</si>
  <si>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</si>
  <si>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</si>
  <si>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</si>
  <si>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</si>
  <si>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</si>
  <si>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</si>
  <si>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</si>
  <si>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</si>
  <si>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</si>
  <si>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</si>
  <si>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</si>
  <si>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</si>
  <si>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</si>
  <si>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</si>
  <si>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</si>
  <si>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</si>
  <si>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</si>
  <si>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</si>
  <si>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</si>
  <si>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</si>
  <si>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</si>
  <si>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</si>
  <si>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</si>
  <si>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</si>
  <si>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</si>
  <si>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</si>
  <si>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</si>
  <si>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</si>
  <si>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</si>
  <si>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</si>
  <si>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</si>
  <si>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</si>
  <si>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</si>
  <si>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</si>
  <si>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</si>
  <si>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</si>
  <si>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</si>
  <si>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</si>
  <si>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</si>
  <si>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</si>
  <si>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</si>
  <si>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</si>
  <si>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</si>
  <si>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</si>
  <si>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</si>
  <si>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</si>
  <si>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</si>
  <si>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</si>
  <si>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</si>
  <si>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</si>
  <si>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</si>
  <si>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</si>
  <si>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</si>
  <si>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</si>
  <si>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</si>
  <si>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</si>
  <si>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</si>
  <si>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</si>
  <si>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</si>
  <si>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</si>
  <si>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</si>
  <si>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</si>
  <si>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</si>
  <si>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</si>
  <si>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</si>
  <si>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</si>
  <si>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</si>
  <si>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</si>
  <si>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</si>
  <si>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</si>
  <si>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</si>
  <si>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</si>
  <si>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</si>
  <si>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</si>
  <si>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</si>
  <si>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</si>
  <si>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</si>
  <si>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</si>
  <si>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</si>
  <si>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</si>
  <si>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</si>
  <si>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</si>
  <si>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</si>
  <si>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</si>
  <si>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</si>
  <si>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</si>
  <si>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</si>
  <si>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</si>
  <si>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</si>
  <si>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</si>
  <si>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</si>
  <si>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</si>
  <si>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</si>
  <si>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</si>
  <si>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</si>
  <si>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</si>
  <si>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</si>
  <si>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</si>
  <si>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</si>
  <si>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</si>
  <si>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</si>
  <si>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</si>
  <si>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</si>
  <si>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</si>
  <si>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</si>
  <si>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</si>
  <si>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</si>
  <si>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</si>
  <si>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</si>
  <si>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</si>
  <si>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</si>
  <si>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</si>
  <si>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</si>
  <si>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</si>
  <si>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</si>
  <si>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</si>
  <si>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</si>
  <si>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</si>
  <si>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</si>
  <si>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</si>
  <si>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</si>
  <si>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</si>
  <si>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</si>
  <si>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</si>
  <si>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</si>
  <si>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</si>
  <si>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</si>
  <si>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</si>
  <si>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</si>
  <si>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</si>
  <si>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</si>
  <si>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</si>
  <si>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</si>
  <si>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</si>
  <si>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</si>
  <si>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</si>
  <si>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</si>
  <si>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</si>
  <si>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</si>
  <si>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</si>
  <si>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</si>
  <si>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</si>
  <si>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</si>
  <si>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</si>
  <si>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</si>
  <si>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</si>
  <si>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</si>
  <si>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</si>
  <si>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</si>
  <si>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</si>
  <si>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</si>
  <si>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</si>
  <si>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</si>
  <si>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</si>
  <si>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</si>
  <si>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</si>
  <si>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</si>
  <si>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</si>
  <si>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</si>
  <si>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</si>
  <si>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</si>
  <si>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</si>
  <si>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</si>
  <si>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</si>
  <si>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</si>
  <si>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</si>
  <si>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</si>
  <si>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</si>
  <si>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</si>
  <si>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</si>
  <si>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</si>
  <si>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</si>
  <si>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</si>
  <si>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</si>
  <si>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</si>
  <si>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</si>
  <si>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</si>
  <si>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</si>
  <si>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</si>
  <si>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</si>
  <si>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</si>
  <si>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</si>
  <si>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</si>
  <si>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</si>
  <si>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</si>
  <si>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</si>
  <si>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</si>
  <si>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</si>
  <si>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</si>
  <si>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</si>
  <si>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</si>
  <si>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</si>
  <si>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</si>
  <si>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</si>
  <si>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</si>
  <si>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</si>
  <si>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</si>
  <si>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</si>
  <si>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</si>
  <si>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</si>
  <si>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</si>
  <si>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</si>
  <si>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</si>
  <si>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</si>
  <si>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</si>
  <si>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</si>
  <si>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</si>
  <si>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</si>
  <si>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</si>
  <si>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</si>
  <si>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</si>
  <si>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</si>
  <si>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</si>
  <si>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</si>
  <si>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</si>
  <si>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</si>
  <si>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</si>
  <si>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</si>
  <si>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</si>
  <si>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</si>
  <si>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</si>
  <si>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</si>
  <si>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</si>
  <si>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</si>
  <si>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</si>
  <si>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</si>
  <si>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</si>
  <si>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</si>
  <si>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</si>
  <si>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</si>
  <si>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</si>
  <si>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</si>
  <si>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</si>
  <si>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</si>
  <si>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</si>
  <si>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</si>
  <si>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</si>
  <si>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</si>
  <si>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</si>
  <si>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</si>
  <si>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</si>
  <si>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</si>
  <si>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</si>
  <si>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</si>
  <si>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</si>
  <si>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</si>
  <si>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</si>
  <si>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</si>
  <si>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</si>
  <si>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</si>
  <si>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</si>
  <si>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</si>
  <si>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</si>
  <si>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</si>
  <si>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</si>
  <si>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</si>
  <si>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</si>
  <si>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</si>
  <si>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</si>
  <si>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</si>
  <si>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</si>
  <si>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</si>
  <si>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</si>
  <si>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</si>
  <si>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</si>
  <si>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</si>
  <si>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</si>
  <si>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</si>
  <si>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</si>
  <si>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</si>
  <si>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</si>
  <si>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</si>
  <si>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</si>
  <si>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</si>
  <si>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</si>
  <si>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</si>
  <si>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</si>
  <si>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</si>
  <si>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</si>
  <si>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</si>
  <si>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</si>
  <si>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</si>
  <si>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</si>
  <si>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</si>
  <si>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</si>
  <si>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</si>
  <si>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</si>
  <si>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</si>
  <si>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</si>
  <si>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</si>
  <si>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</si>
  <si>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</si>
  <si>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</si>
  <si>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</si>
  <si>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</si>
  <si>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</si>
  <si>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</si>
  <si>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</si>
  <si>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</si>
  <si>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</si>
  <si>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</si>
  <si>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</si>
  <si>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</si>
  <si>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</si>
  <si>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</si>
  <si>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</si>
  <si>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</si>
  <si>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</si>
  <si>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</si>
  <si>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</si>
  <si>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</si>
  <si>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</si>
  <si>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</si>
  <si>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</si>
  <si>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</si>
  <si>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</si>
  <si>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</si>
  <si>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</si>
  <si>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</si>
  <si>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</si>
  <si>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</si>
  <si>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</si>
  <si>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</si>
  <si>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</si>
  <si>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</si>
  <si>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</si>
  <si>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</si>
  <si>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</si>
  <si>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</si>
  <si>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</si>
  <si>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</si>
  <si>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</si>
  <si>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</si>
  <si>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</si>
  <si>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</si>
  <si>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</si>
  <si>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</si>
  <si>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</si>
  <si>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</si>
  <si>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</si>
  <si>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</si>
  <si>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</si>
  <si>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</si>
  <si>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</si>
  <si>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</si>
  <si>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</si>
  <si>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</si>
  <si>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</si>
  <si>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</si>
  <si>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</si>
  <si>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</si>
  <si>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</si>
  <si>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</si>
  <si>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</si>
  <si>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</si>
  <si>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</si>
  <si>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</si>
  <si>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</si>
  <si>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</si>
  <si>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</si>
  <si>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</si>
  <si>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</si>
  <si>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</si>
  <si>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</si>
  <si>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</si>
  <si>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</si>
  <si>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</si>
  <si>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</si>
  <si>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</si>
  <si>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</si>
  <si>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</si>
  <si>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</si>
  <si>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</si>
  <si>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</si>
  <si>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</si>
  <si>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</si>
  <si>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</si>
  <si>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</si>
  <si>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</si>
  <si>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</si>
  <si>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</si>
  <si>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</si>
  <si>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</si>
  <si>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</si>
  <si>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</si>
  <si>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</si>
  <si>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</si>
  <si>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</si>
  <si>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</si>
  <si>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</si>
  <si>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</si>
  <si>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</si>
  <si>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</si>
  <si>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</si>
  <si>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</si>
  <si>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</si>
  <si>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</si>
  <si>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</si>
  <si>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</si>
  <si>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</si>
  <si>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</si>
  <si>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</si>
  <si>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</si>
  <si>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</si>
  <si>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</si>
  <si>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</si>
  <si>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</si>
  <si>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</si>
  <si>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</si>
  <si>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</si>
  <si>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</si>
  <si>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</si>
  <si>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</si>
  <si>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</si>
  <si>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</si>
  <si>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</si>
  <si>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</si>
  <si>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</si>
  <si>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</si>
  <si>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</si>
  <si>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</si>
  <si>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</si>
  <si>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</si>
  <si>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</si>
  <si>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</si>
  <si>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</si>
  <si>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</si>
  <si>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</si>
  <si>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</si>
  <si>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</si>
  <si>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</si>
  <si>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</si>
  <si>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</si>
  <si>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</si>
  <si>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</si>
  <si>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</si>
  <si>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</si>
  <si>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</si>
  <si>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</si>
  <si>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</si>
  <si>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</si>
  <si>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</si>
  <si>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</si>
  <si>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</si>
  <si>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</si>
  <si>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</si>
  <si>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</si>
  <si>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</si>
  <si>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</si>
  <si>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</si>
  <si>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</si>
  <si>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</si>
  <si>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</si>
  <si>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</si>
  <si>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</si>
  <si>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</si>
  <si>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</si>
  <si>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</si>
  <si>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</si>
  <si>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</si>
  <si>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</si>
  <si>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</si>
  <si>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</si>
  <si>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</si>
  <si>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</si>
  <si>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</si>
  <si>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</si>
  <si>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</si>
  <si>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</si>
  <si>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</si>
  <si>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</si>
  <si>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</si>
  <si>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</si>
  <si>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</si>
  <si>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</si>
  <si>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</si>
  <si>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</si>
  <si>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</si>
  <si>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</si>
  <si>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</si>
  <si>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</si>
  <si>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</si>
  <si>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</si>
  <si>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</si>
  <si>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</si>
  <si>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</si>
  <si>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</si>
  <si>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</si>
  <si>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</si>
  <si>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</si>
  <si>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</si>
  <si>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</si>
  <si>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</si>
  <si>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</si>
  <si>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</si>
  <si>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</si>
  <si>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</si>
  <si>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</si>
  <si>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</si>
  <si>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</si>
  <si>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</si>
  <si>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</si>
  <si>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</si>
  <si>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</si>
  <si>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</si>
  <si>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</si>
  <si>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</si>
  <si>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</si>
  <si>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</si>
  <si>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</si>
  <si>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</si>
  <si>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</si>
  <si>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</si>
  <si>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</si>
  <si>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</si>
  <si>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</si>
  <si>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</si>
  <si>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</si>
  <si>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</si>
  <si>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</si>
  <si>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</si>
  <si>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</si>
  <si>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</si>
  <si>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</si>
  <si>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</si>
  <si>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</si>
  <si>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</si>
  <si>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</si>
  <si>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</si>
  <si>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</si>
  <si>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</si>
  <si>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</si>
  <si>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</si>
  <si>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</si>
  <si>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</si>
  <si>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</si>
  <si>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</si>
  <si>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</si>
  <si>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</si>
  <si>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</si>
  <si>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</si>
  <si>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</si>
  <si>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</si>
  <si>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</si>
  <si>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</si>
  <si>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</si>
  <si>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</si>
  <si>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</si>
  <si>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</si>
  <si>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</si>
  <si>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</si>
  <si>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</si>
  <si>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</si>
  <si>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</si>
  <si>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</si>
  <si>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</si>
  <si>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</si>
  <si>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</si>
  <si>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</si>
  <si>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</si>
  <si>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</si>
  <si>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</si>
  <si>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</si>
  <si>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</si>
  <si>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</si>
  <si>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</si>
  <si>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</si>
  <si>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</si>
  <si>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</si>
  <si>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</si>
  <si>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</si>
  <si>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</si>
  <si>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</si>
  <si>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</si>
  <si>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</si>
  <si>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</si>
  <si>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</si>
  <si>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</si>
  <si>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</si>
  <si>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</si>
  <si>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</si>
  <si>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</si>
  <si>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</si>
  <si>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</si>
  <si>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</si>
  <si>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</si>
  <si>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</si>
  <si>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</si>
  <si>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</si>
  <si>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</si>
  <si>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</si>
  <si>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</si>
  <si>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</si>
  <si>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</si>
  <si>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</si>
  <si>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</si>
  <si>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</si>
  <si>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</si>
  <si>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</si>
  <si>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</si>
  <si>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</si>
  <si>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</si>
  <si>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</si>
  <si>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</si>
  <si>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</si>
  <si>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</si>
  <si>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</si>
  <si>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</si>
  <si>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</si>
  <si>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</si>
  <si>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</si>
  <si>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</si>
  <si>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</si>
  <si>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</si>
  <si>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</si>
  <si>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</si>
  <si>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</si>
  <si>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</si>
  <si>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</si>
  <si>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</si>
  <si>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</si>
  <si>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</si>
  <si>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</si>
  <si>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</si>
  <si>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</si>
  <si>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</si>
  <si>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</si>
  <si>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</si>
  <si>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</si>
  <si>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</si>
  <si>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</si>
  <si>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</si>
  <si>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</si>
  <si>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</si>
  <si>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</si>
  <si>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</si>
  <si>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</si>
  <si>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</si>
  <si>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</si>
  <si>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</si>
  <si>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</si>
  <si>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</si>
  <si>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</si>
  <si>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</si>
  <si>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</si>
  <si>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</si>
  <si>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</si>
  <si>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</si>
  <si>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</si>
  <si>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</si>
  <si>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</si>
  <si>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</si>
  <si>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</si>
  <si>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</si>
  <si>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</si>
  <si>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</si>
  <si>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</si>
  <si>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</si>
  <si>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</si>
  <si>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</si>
  <si>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</si>
  <si>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</si>
  <si>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</si>
  <si>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</si>
  <si>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</si>
  <si>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</si>
  <si>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</si>
  <si>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</si>
  <si>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</si>
  <si>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</si>
  <si>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</si>
  <si>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</si>
  <si>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</si>
  <si>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</si>
  <si>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</si>
  <si>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</si>
  <si>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</si>
  <si>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</si>
  <si>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</si>
  <si>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</si>
  <si>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</si>
  <si>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</si>
  <si>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</si>
  <si>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</si>
  <si>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</si>
  <si>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</si>
  <si>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</si>
  <si>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</si>
  <si>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</si>
  <si>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</si>
  <si>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</si>
  <si>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</si>
  <si>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</si>
  <si>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</si>
  <si>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</si>
  <si>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</si>
  <si>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</si>
  <si>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</si>
  <si>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</si>
  <si>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</si>
  <si>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</si>
  <si>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</si>
  <si>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</si>
  <si>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</si>
  <si>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</si>
  <si>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</si>
  <si>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</si>
  <si>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</si>
  <si>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</si>
  <si>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</si>
  <si>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</si>
  <si>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</si>
  <si>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</si>
  <si>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</si>
  <si>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</si>
  <si>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</si>
  <si>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</si>
  <si>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</si>
  <si>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</si>
  <si>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</si>
  <si>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</si>
  <si>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</si>
  <si>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</si>
  <si>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</si>
  <si>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</si>
  <si>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</si>
  <si>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</si>
  <si>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</si>
  <si>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</si>
  <si>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</si>
  <si>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</si>
  <si>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</si>
  <si>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</si>
  <si>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</si>
  <si>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</si>
  <si>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</si>
  <si>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</si>
  <si>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</si>
  <si>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</si>
  <si>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</si>
  <si>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</si>
  <si>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</si>
  <si>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</si>
  <si>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</si>
  <si>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</si>
  <si>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</si>
  <si>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</si>
  <si>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</si>
  <si>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</si>
  <si>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</si>
  <si>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</si>
  <si>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</si>
  <si>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</si>
  <si>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</si>
  <si>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</si>
  <si>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</si>
  <si>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</si>
  <si>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</si>
  <si>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</si>
  <si>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</si>
  <si>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</si>
  <si>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</si>
  <si>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</si>
  <si>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</si>
  <si>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</si>
  <si>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</si>
  <si>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</si>
  <si>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</si>
  <si>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</si>
  <si>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</si>
  <si>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</si>
  <si>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</si>
  <si>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</si>
  <si>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</si>
  <si>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</si>
  <si>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</si>
  <si>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</si>
  <si>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</si>
  <si>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</si>
  <si>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</si>
  <si>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</si>
  <si>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</si>
  <si>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</si>
  <si>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</si>
  <si>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</si>
  <si>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</si>
  <si>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</si>
  <si>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</si>
  <si>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</si>
  <si>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</si>
  <si>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</si>
  <si>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</si>
  <si>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</si>
  <si>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</si>
  <si>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</si>
  <si>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</si>
  <si>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</si>
  <si>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</si>
  <si>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</si>
  <si>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</si>
  <si>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</si>
  <si>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</si>
  <si>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</si>
  <si>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</si>
  <si>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</si>
  <si>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</si>
  <si>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</si>
  <si>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</si>
  <si>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</si>
  <si>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</si>
  <si>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</si>
  <si>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</si>
  <si>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</si>
  <si>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</si>
  <si>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</si>
  <si>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</si>
  <si>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</si>
  <si>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</si>
  <si>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</si>
  <si>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</si>
  <si>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</si>
  <si>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</si>
  <si>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</si>
  <si>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</si>
  <si>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</si>
  <si>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</si>
  <si>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</si>
  <si>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</si>
  <si>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</si>
  <si>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</si>
  <si>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</si>
  <si>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</si>
  <si>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</si>
  <si>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</si>
  <si>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</si>
  <si>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</si>
  <si>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</si>
  <si>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</si>
  <si>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</si>
  <si>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</si>
  <si>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</si>
  <si>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</si>
  <si>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</si>
  <si>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</si>
  <si>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</si>
  <si>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</si>
  <si>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</si>
  <si>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</si>
  <si>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</si>
  <si>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</si>
  <si>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</si>
  <si>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</si>
  <si>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</si>
  <si>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</si>
  <si>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</si>
  <si>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</si>
  <si>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</si>
  <si>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</si>
  <si>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</si>
  <si>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</si>
  <si>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</si>
  <si>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</si>
  <si>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</si>
  <si>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</si>
  <si>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</si>
  <si>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</si>
  <si>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</si>
  <si>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</si>
  <si>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</si>
  <si>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</si>
  <si>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</si>
  <si>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</si>
  <si>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</si>
  <si>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</si>
  <si>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</si>
  <si>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</si>
  <si>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</si>
  <si>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</si>
  <si>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</si>
  <si>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</si>
  <si>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</si>
  <si>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</si>
  <si>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</si>
  <si>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</si>
  <si>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</si>
  <si>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</si>
  <si>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</si>
  <si>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</si>
  <si>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</si>
  <si>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</si>
  <si>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</si>
  <si>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</si>
  <si>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</si>
  <si>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</si>
  <si>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</si>
  <si>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</si>
  <si>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</si>
  <si>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</si>
  <si>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</si>
  <si>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</si>
  <si>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</si>
  <si>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</si>
  <si>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</si>
  <si>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</si>
  <si>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</si>
  <si>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</si>
  <si>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</si>
  <si>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</si>
  <si>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</si>
  <si>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</si>
  <si>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</si>
  <si>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</si>
  <si>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</si>
  <si>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</si>
  <si>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</si>
  <si>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</si>
  <si>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</si>
  <si>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</si>
  <si>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</si>
  <si>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</si>
  <si>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</si>
  <si>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</si>
  <si>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</si>
  <si>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</si>
  <si>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</si>
  <si>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</si>
  <si>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</si>
  <si>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</si>
  <si>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</si>
  <si>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</si>
  <si>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</si>
  <si>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</si>
  <si>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</si>
  <si>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</si>
  <si>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</si>
  <si>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</si>
  <si>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</si>
  <si>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</si>
  <si>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</si>
  <si>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</si>
  <si>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</si>
  <si>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</si>
  <si>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</si>
  <si>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</si>
  <si>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</si>
  <si>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</si>
  <si>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</si>
  <si>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</si>
  <si>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</si>
  <si>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</si>
  <si>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</si>
  <si>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</si>
  <si>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</si>
  <si>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</si>
  <si>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</si>
  <si>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</si>
  <si>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</si>
  <si>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</si>
  <si>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</si>
  <si>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</si>
  <si>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</si>
  <si>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</si>
  <si>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</si>
  <si>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</si>
  <si>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</si>
  <si>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</si>
  <si>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</si>
  <si>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</si>
  <si>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</si>
  <si>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</si>
  <si>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</si>
  <si>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</si>
  <si>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</si>
  <si>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</si>
  <si>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</si>
  <si>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</si>
  <si>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</si>
  <si>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</si>
  <si>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</si>
  <si>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</si>
  <si>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</si>
  <si>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</si>
  <si>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</si>
  <si>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</si>
  <si>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</si>
  <si>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</si>
  <si>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</si>
  <si>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</si>
  <si>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</si>
  <si>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</si>
  <si>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</si>
  <si>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</si>
  <si>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</si>
  <si>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</si>
  <si>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</si>
  <si>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</si>
  <si>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</si>
  <si>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</si>
  <si>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</si>
  <si>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</si>
  <si>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</si>
  <si>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</si>
  <si>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</si>
  <si>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</si>
  <si>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</si>
  <si>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</si>
  <si>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</si>
  <si>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</si>
  <si>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</si>
  <si>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</si>
  <si>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</si>
  <si>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</si>
  <si>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</si>
  <si>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</si>
  <si>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</si>
  <si>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</si>
  <si>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</si>
  <si>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</si>
  <si>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</si>
  <si>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</si>
  <si>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</si>
  <si>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</si>
  <si>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</si>
  <si>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</si>
  <si>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</si>
  <si>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</si>
  <si>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</si>
  <si>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</si>
  <si>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</si>
  <si>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</si>
  <si>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</si>
  <si>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</si>
  <si>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</si>
  <si>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</si>
  <si>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</si>
  <si>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</si>
  <si>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</si>
  <si>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</si>
  <si>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</si>
  <si>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</si>
  <si>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</si>
  <si>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</si>
  <si>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</si>
  <si>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</si>
  <si>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</si>
  <si>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</si>
  <si>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</si>
  <si>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</si>
  <si>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</si>
  <si>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</si>
  <si>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</si>
  <si>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</si>
  <si>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</si>
  <si>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</si>
  <si>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</si>
  <si>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</si>
  <si>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</si>
  <si>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</si>
  <si>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</si>
  <si>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</si>
  <si>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</si>
  <si>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</si>
  <si>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</si>
  <si>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</si>
  <si>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</si>
  <si>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</si>
  <si>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</si>
  <si>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</si>
  <si>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</si>
  <si>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</si>
  <si>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</si>
  <si>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</si>
  <si>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</si>
  <si>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</si>
  <si>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</si>
  <si>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</si>
  <si>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</si>
  <si>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</si>
  <si>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</si>
  <si>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</si>
  <si>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</si>
  <si>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</si>
  <si>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</si>
  <si>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</si>
  <si>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</si>
  <si>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</si>
  <si>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</si>
  <si>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</si>
  <si>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</si>
  <si>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</si>
  <si>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</si>
  <si>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</si>
  <si>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</si>
  <si>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</si>
  <si>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</si>
  <si>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</si>
  <si>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</si>
  <si>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</si>
  <si>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</si>
  <si>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</si>
  <si>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</si>
  <si>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</si>
  <si>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</si>
  <si>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</si>
  <si>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</si>
  <si>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</si>
  <si>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</si>
  <si>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</si>
  <si>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</si>
  <si>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</si>
  <si>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</si>
  <si>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</si>
  <si>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</si>
  <si>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</si>
  <si>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</si>
  <si>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</si>
  <si>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</si>
  <si>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</si>
  <si>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</si>
  <si>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</si>
  <si>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</si>
  <si>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</si>
  <si>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</si>
  <si>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</si>
  <si>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</si>
  <si>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</si>
  <si>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</si>
  <si>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</si>
  <si>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</si>
  <si>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</si>
  <si>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</si>
  <si>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</si>
  <si>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</si>
  <si>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</si>
  <si>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</si>
  <si>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</si>
  <si>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</si>
  <si>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</si>
  <si>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</si>
  <si>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</si>
  <si>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</si>
  <si>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</si>
  <si>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</si>
  <si>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</si>
  <si>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</si>
  <si>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</si>
  <si>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</si>
  <si>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</si>
  <si>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</si>
  <si>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</si>
  <si>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</si>
  <si>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</si>
  <si>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</si>
  <si>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</si>
  <si>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</si>
  <si>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</si>
  <si>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</si>
  <si>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</si>
  <si>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</si>
  <si>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</si>
  <si>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</si>
  <si>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</si>
  <si>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</si>
  <si>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</si>
  <si>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</si>
  <si>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</si>
  <si>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</si>
  <si>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</si>
  <si>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</si>
  <si>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</si>
  <si>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</si>
  <si>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</si>
  <si>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</si>
  <si>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</si>
  <si>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</si>
  <si>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</si>
  <si>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</si>
  <si>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</si>
  <si>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</si>
  <si>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</si>
  <si>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</si>
  <si>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</si>
  <si>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</si>
  <si>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</si>
  <si>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</si>
  <si>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</si>
  <si>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</si>
  <si>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</si>
  <si>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</si>
  <si>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</si>
  <si>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</si>
  <si>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</si>
  <si>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</si>
  <si>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</si>
  <si>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</si>
  <si>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</si>
  <si>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</si>
  <si>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</si>
  <si>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</si>
  <si>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</si>
  <si>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</si>
  <si>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</si>
  <si>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</si>
  <si>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</si>
  <si>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</si>
  <si>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</si>
  <si>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</si>
  <si>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</si>
  <si>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</si>
  <si>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</si>
  <si>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</si>
  <si>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</si>
  <si>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</si>
  <si>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</si>
  <si>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</si>
  <si>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</si>
  <si>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</si>
  <si>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</si>
  <si>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</si>
  <si>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</si>
  <si>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</si>
  <si>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</si>
  <si>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</si>
  <si>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</si>
  <si>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</si>
  <si>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</si>
  <si>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</si>
  <si>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</si>
  <si>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</si>
  <si>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</si>
  <si>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</si>
  <si>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</si>
  <si>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</si>
  <si>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</si>
  <si>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</si>
  <si>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</si>
  <si>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</si>
  <si>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</si>
  <si>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</si>
  <si>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</si>
  <si>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</si>
  <si>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</si>
  <si>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</si>
  <si>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</si>
  <si>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</si>
  <si>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</si>
  <si>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</si>
  <si>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</si>
  <si>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</si>
  <si>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</si>
  <si>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</si>
  <si>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</si>
  <si>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</si>
  <si>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</si>
  <si>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</si>
  <si>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</si>
  <si>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</si>
  <si>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</si>
  <si>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</si>
  <si>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</si>
  <si>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</si>
  <si>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</si>
  <si>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</si>
  <si>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</si>
  <si>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</si>
  <si>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</si>
  <si>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</si>
  <si>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</si>
  <si>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</si>
  <si>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</si>
  <si>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</si>
  <si>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</si>
  <si>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</si>
  <si>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</si>
  <si>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</si>
  <si>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</si>
  <si>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</si>
  <si>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</si>
  <si>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</si>
  <si>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</si>
  <si>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</si>
  <si>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</si>
  <si>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</si>
  <si>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</si>
  <si>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</si>
  <si>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</si>
  <si>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</si>
  <si>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</si>
  <si>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</si>
  <si>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</si>
  <si>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</si>
  <si>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</si>
  <si>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</si>
  <si>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</si>
  <si>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</si>
  <si>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</si>
  <si>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</si>
  <si>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</si>
  <si>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</si>
  <si>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</si>
  <si>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</si>
  <si>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</si>
  <si>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</si>
  <si>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</si>
  <si>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</si>
  <si>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</si>
  <si>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</si>
  <si>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</si>
  <si>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</si>
  <si>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</si>
  <si>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</si>
  <si>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</si>
  <si>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</si>
  <si>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</si>
  <si>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</si>
  <si>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</si>
  <si>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</si>
  <si>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</si>
  <si>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</si>
  <si>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</si>
  <si>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</si>
  <si>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</si>
  <si>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</si>
  <si>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</si>
  <si>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</si>
  <si>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</si>
  <si>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</si>
  <si>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</si>
  <si>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</si>
  <si>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</si>
  <si>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</si>
  <si>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</si>
  <si>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</si>
  <si>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</si>
  <si>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</si>
  <si>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</si>
  <si>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</si>
  <si>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</si>
  <si>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</si>
  <si>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</si>
  <si>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</si>
  <si>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</si>
  <si>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</si>
  <si>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</si>
  <si>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</si>
  <si>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</si>
  <si>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</si>
  <si>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</si>
  <si>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</si>
  <si>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</si>
  <si>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</si>
  <si>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</si>
  <si>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</si>
  <si>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</si>
  <si>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</si>
  <si>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</si>
  <si>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</si>
  <si>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</si>
  <si>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</si>
  <si>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</si>
  <si>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</si>
  <si>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</si>
  <si>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</si>
  <si>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</si>
  <si>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</si>
  <si>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</si>
  <si>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</si>
  <si>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</si>
  <si>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</si>
  <si>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</si>
  <si>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</si>
  <si>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</si>
  <si>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</si>
  <si>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</si>
  <si>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</si>
  <si>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</si>
  <si>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</si>
  <si>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</si>
  <si>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</si>
  <si>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</si>
  <si>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</si>
  <si>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</si>
  <si>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</si>
  <si>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</si>
  <si>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</si>
  <si>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</si>
  <si>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</si>
  <si>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</si>
  <si>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</si>
  <si>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</si>
  <si>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</si>
  <si>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</si>
  <si>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</si>
  <si>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</si>
  <si>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</si>
  <si>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</si>
  <si>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</si>
  <si>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</si>
  <si>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</si>
  <si>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</si>
  <si>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</si>
  <si>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</si>
  <si>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</si>
  <si>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</si>
  <si>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</si>
  <si>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</si>
  <si>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</si>
  <si>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</si>
  <si>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</si>
  <si>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</si>
  <si>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</si>
  <si>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</si>
  <si>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</si>
  <si>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</si>
  <si>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</si>
  <si>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</si>
  <si>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</si>
  <si>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</si>
  <si>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</si>
  <si>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</si>
  <si>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</si>
  <si>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</si>
  <si>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</si>
  <si>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</si>
  <si>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</si>
  <si>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</si>
  <si>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</si>
  <si>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</si>
  <si>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</si>
  <si>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</si>
  <si>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</si>
  <si>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</si>
  <si>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</si>
  <si>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</si>
  <si>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</si>
  <si>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</si>
  <si>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</si>
  <si>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</si>
  <si>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</si>
  <si>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</si>
  <si>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</si>
  <si>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</si>
  <si>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</si>
  <si>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</si>
  <si>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</si>
  <si>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</si>
  <si>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</si>
  <si>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</si>
  <si>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</si>
  <si>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</si>
  <si>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</si>
  <si>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</si>
  <si>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</si>
  <si>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</si>
  <si>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</si>
  <si>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</si>
  <si>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</si>
  <si>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</si>
  <si>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</si>
  <si>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</si>
  <si>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</si>
  <si>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</si>
  <si>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</si>
  <si>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</si>
  <si>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</si>
  <si>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</si>
  <si>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</si>
  <si>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</si>
  <si>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</si>
  <si>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</si>
  <si>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</si>
  <si>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</si>
  <si>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</si>
  <si>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</si>
  <si>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</si>
  <si>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</si>
  <si>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</si>
  <si>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</si>
  <si>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</si>
  <si>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</si>
  <si>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</si>
  <si>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</si>
  <si>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</si>
  <si>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</si>
  <si>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</si>
  <si>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</si>
  <si>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</si>
  <si>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</si>
  <si>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</si>
  <si>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</si>
  <si>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</si>
  <si>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</si>
  <si>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</si>
  <si>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</si>
  <si>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</si>
  <si>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</si>
  <si>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</si>
  <si>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</si>
  <si>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</si>
  <si>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</si>
  <si>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</si>
  <si>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</si>
  <si>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</si>
  <si>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</si>
  <si>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</si>
  <si>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</si>
  <si>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</si>
  <si>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</si>
  <si>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</si>
  <si>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</si>
  <si>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</si>
  <si>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</si>
  <si>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</si>
  <si>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</si>
  <si>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</si>
  <si>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</si>
  <si>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</si>
  <si>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</si>
  <si>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</si>
  <si>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</si>
  <si>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</si>
  <si>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</si>
  <si>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</si>
  <si>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</si>
  <si>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</si>
  <si>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</si>
  <si>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</si>
  <si>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</si>
  <si>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</si>
  <si>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</si>
  <si>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</si>
  <si>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</si>
  <si>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</si>
  <si>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</si>
  <si>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</si>
  <si>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</si>
  <si>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</si>
  <si>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</si>
  <si>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</si>
  <si>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</si>
  <si>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</si>
  <si>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</si>
  <si>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</si>
  <si>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</si>
  <si>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</si>
  <si>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</si>
  <si>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</si>
  <si>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</si>
  <si>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</si>
  <si>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</si>
  <si>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</si>
  <si>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</si>
  <si>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</si>
  <si>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</si>
  <si>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</si>
  <si>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</si>
  <si>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</si>
  <si>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</si>
  <si>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</si>
  <si>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</si>
  <si>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</si>
  <si>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</si>
  <si>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</si>
  <si>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</si>
  <si>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</si>
  <si>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</si>
  <si>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</si>
  <si>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</si>
  <si>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</si>
  <si>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</si>
  <si>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</si>
  <si>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</si>
  <si>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</si>
  <si>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</si>
  <si>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</si>
  <si>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</si>
  <si>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</si>
  <si>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</si>
  <si>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</si>
  <si>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</si>
  <si>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</si>
  <si>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</si>
  <si>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</si>
  <si>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</si>
  <si>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</si>
  <si>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</si>
  <si>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</si>
  <si>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</si>
  <si>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</si>
  <si>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</si>
  <si>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</si>
  <si>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</si>
  <si>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</si>
  <si>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</si>
  <si>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</si>
  <si>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</si>
  <si>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</si>
  <si>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</si>
  <si>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</si>
  <si>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</si>
  <si>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</si>
  <si>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</si>
  <si>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</si>
  <si>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</si>
  <si>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</si>
  <si>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</si>
  <si>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</si>
  <si>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</si>
  <si>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</si>
  <si>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</si>
  <si>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</si>
  <si>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</si>
  <si>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</si>
  <si>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</si>
  <si>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</si>
  <si>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</si>
  <si>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</si>
  <si>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</si>
  <si>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</si>
  <si>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</si>
  <si>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</si>
  <si>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</si>
  <si>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</si>
  <si>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</si>
  <si>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</si>
  <si>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</si>
  <si>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</si>
  <si>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</si>
  <si>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</si>
  <si>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</si>
  <si>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</si>
  <si>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</si>
  <si>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</si>
  <si>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</si>
  <si>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</si>
  <si>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</si>
  <si>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</si>
  <si>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</si>
  <si>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</si>
  <si>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</si>
  <si>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</si>
  <si>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</si>
  <si>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</si>
  <si>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</si>
  <si>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</si>
  <si>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</si>
  <si>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</si>
  <si>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</si>
  <si>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</si>
  <si>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</si>
  <si>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</si>
  <si>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</si>
  <si>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</si>
  <si>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</si>
  <si>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</si>
  <si>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</si>
  <si>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</si>
  <si>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</si>
  <si>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</si>
  <si>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</si>
  <si>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</si>
  <si>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</si>
  <si>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</si>
  <si>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</si>
  <si>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</si>
  <si>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</si>
  <si>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</si>
  <si>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</si>
  <si>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</si>
  <si>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</si>
  <si>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</si>
  <si>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</si>
  <si>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</si>
  <si>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</si>
  <si>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</si>
  <si>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</si>
  <si>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</si>
  <si>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</si>
  <si>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</si>
  <si>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</si>
  <si>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</si>
  <si>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</si>
  <si>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</si>
  <si>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</si>
  <si>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</si>
  <si>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</si>
  <si>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</si>
  <si>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</si>
  <si>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</si>
  <si>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</si>
  <si>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</si>
  <si>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</si>
  <si>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</si>
  <si>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</si>
  <si>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</si>
  <si>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</si>
  <si>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</si>
  <si>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</si>
  <si>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</si>
  <si>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</si>
  <si>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</si>
  <si>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</si>
  <si>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</si>
  <si>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</si>
  <si>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</si>
  <si>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</si>
  <si>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</si>
  <si>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</si>
  <si>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</si>
  <si>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</si>
  <si>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</si>
  <si>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</si>
  <si>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</si>
  <si>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</si>
  <si>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</si>
  <si>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</si>
  <si>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</si>
  <si>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</si>
  <si>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</si>
  <si>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</si>
  <si>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</si>
  <si>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</si>
  <si>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</si>
  <si>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</si>
  <si>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</si>
  <si>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</si>
  <si>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</si>
  <si>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</si>
  <si>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</si>
  <si>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</si>
  <si>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</si>
  <si>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</si>
  <si>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</si>
  <si>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</si>
  <si>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</si>
  <si>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</si>
  <si>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</si>
  <si>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</si>
  <si>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</si>
  <si>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</si>
  <si>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</si>
  <si>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</si>
  <si>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</si>
  <si>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</si>
  <si>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</si>
  <si>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</si>
  <si>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</si>
  <si>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</si>
  <si>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</si>
  <si>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</si>
  <si>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</si>
  <si>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</si>
  <si>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</si>
  <si>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</si>
  <si>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</si>
  <si>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</si>
  <si>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</si>
  <si>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</si>
  <si>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</si>
  <si>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</si>
  <si>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</si>
  <si>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</si>
  <si>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</si>
  <si>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</si>
  <si>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</si>
  <si>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</si>
  <si>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</si>
  <si>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</si>
  <si>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</si>
  <si>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</si>
  <si>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</si>
  <si>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</si>
  <si>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</si>
  <si>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</si>
  <si>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</si>
  <si>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</si>
  <si>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</si>
  <si>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</si>
  <si>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</si>
  <si>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</si>
  <si>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</si>
  <si>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</si>
  <si>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</si>
  <si>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</si>
  <si>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</si>
  <si>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</si>
  <si>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</si>
  <si>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</si>
  <si>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</si>
  <si>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</si>
  <si>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</si>
  <si>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</si>
  <si>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</si>
  <si>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</si>
  <si>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</si>
  <si>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</si>
  <si>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</si>
  <si>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</si>
  <si>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</si>
  <si>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</si>
  <si>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</si>
  <si>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</si>
  <si>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</si>
  <si>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</si>
  <si>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</si>
  <si>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</si>
  <si>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</si>
  <si>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</si>
  <si>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</si>
  <si>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</si>
  <si>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</si>
  <si>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</si>
  <si>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</si>
  <si>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</si>
  <si>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</si>
  <si>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</si>
  <si>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</si>
  <si>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</si>
  <si>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</si>
  <si>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</si>
  <si>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</si>
  <si>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</si>
  <si>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</si>
  <si>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</si>
  <si>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</si>
  <si>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</si>
  <si>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</si>
  <si>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</si>
  <si>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</si>
  <si>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</si>
  <si>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</si>
  <si>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</si>
  <si>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</si>
  <si>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</si>
  <si>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</si>
  <si>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</si>
  <si>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</si>
  <si>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</si>
  <si>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</si>
  <si>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</si>
  <si>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</si>
  <si>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</si>
  <si>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</si>
  <si>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</si>
  <si>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</si>
  <si>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</si>
  <si>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</si>
  <si>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</si>
  <si>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</si>
  <si>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</si>
  <si>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</si>
  <si>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</si>
  <si>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</si>
  <si>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</si>
  <si>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</si>
  <si>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</si>
  <si>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</si>
  <si>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</si>
  <si>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</si>
  <si>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</si>
  <si>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</si>
  <si>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</si>
  <si>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</si>
  <si>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</si>
  <si>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</si>
  <si>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</si>
  <si>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</si>
  <si>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</si>
  <si>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</si>
  <si>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</si>
  <si>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</si>
  <si>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</si>
  <si>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</si>
  <si>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</si>
  <si>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</si>
  <si>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</si>
  <si>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</si>
  <si>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</si>
  <si>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</si>
  <si>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</si>
  <si>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</si>
  <si>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</si>
  <si>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</si>
  <si>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</si>
  <si>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</si>
  <si>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</si>
  <si>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</si>
  <si>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</si>
  <si>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</si>
  <si>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</si>
  <si>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</si>
  <si>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</si>
  <si>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</si>
  <si>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</si>
  <si>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</si>
  <si>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</si>
  <si>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</si>
  <si>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</si>
  <si>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</si>
  <si>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</si>
  <si>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</si>
  <si>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</si>
  <si>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</si>
  <si>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</si>
  <si>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</si>
  <si>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</si>
  <si>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</si>
  <si>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</si>
  <si>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</si>
  <si>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</si>
  <si>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</si>
  <si>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</si>
  <si>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</si>
  <si>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</si>
  <si>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</si>
  <si>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</si>
  <si>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</si>
  <si>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</si>
  <si>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</si>
  <si>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</si>
  <si>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</si>
  <si>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</si>
  <si>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</si>
  <si>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</si>
  <si>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</si>
  <si>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</si>
  <si>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</si>
  <si>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</si>
  <si>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</si>
  <si>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</si>
  <si>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</si>
  <si>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</si>
  <si>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</si>
  <si>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</si>
  <si>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</si>
  <si>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</si>
  <si>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</si>
  <si>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</si>
  <si>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</si>
  <si>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</si>
  <si>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</si>
  <si>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</si>
  <si>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</si>
  <si>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</si>
  <si>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</si>
  <si>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</si>
  <si>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</si>
  <si>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</si>
  <si>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</si>
  <si>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</si>
  <si>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</si>
  <si>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</si>
  <si>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</si>
  <si>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</si>
  <si>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</si>
  <si>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</si>
  <si>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</si>
  <si>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</si>
  <si>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</si>
  <si>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</si>
  <si>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</si>
  <si>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</si>
  <si>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</si>
  <si>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</si>
  <si>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</si>
  <si>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</si>
  <si>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</si>
  <si>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</si>
  <si>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</si>
  <si>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</si>
  <si>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</si>
  <si>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</si>
  <si>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</si>
  <si>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</si>
  <si>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</si>
  <si>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</si>
  <si>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</si>
  <si>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</si>
  <si>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</si>
  <si>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</si>
  <si>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</si>
  <si>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</si>
  <si>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</si>
  <si>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</si>
  <si>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</si>
  <si>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</si>
  <si>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</si>
  <si>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</si>
  <si>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</si>
  <si>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</si>
  <si>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</si>
  <si>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</si>
  <si>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</si>
  <si>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</si>
  <si>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</si>
  <si>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</si>
  <si>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</si>
  <si>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</si>
  <si>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</si>
  <si>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</si>
  <si>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</si>
  <si>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</si>
  <si>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</si>
  <si>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</si>
  <si>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</si>
  <si>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</si>
  <si>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</si>
  <si>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</si>
  <si>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</si>
  <si>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</si>
  <si>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</si>
  <si>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</si>
  <si>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</si>
  <si>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</si>
  <si>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</si>
  <si>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</si>
  <si>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</si>
  <si>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</si>
  <si>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</si>
  <si>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</si>
  <si>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</si>
  <si>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</si>
  <si>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</si>
  <si>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</si>
  <si>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</si>
  <si>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</si>
  <si>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</si>
  <si>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</si>
  <si>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</si>
  <si>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</si>
  <si>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</si>
  <si>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</si>
  <si>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</si>
  <si>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</si>
  <si>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</si>
  <si>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</si>
  <si>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</si>
  <si>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</si>
  <si>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</si>
  <si>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</si>
  <si>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</si>
  <si>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</si>
  <si>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</si>
  <si>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</si>
  <si>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</si>
  <si>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</si>
  <si>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</si>
  <si>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</si>
  <si>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</si>
  <si>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</si>
  <si>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</si>
  <si>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</si>
  <si>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</si>
  <si>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</si>
  <si>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</si>
  <si>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</si>
  <si>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</si>
  <si>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</si>
  <si>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</si>
  <si>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</si>
  <si>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</si>
  <si>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</si>
  <si>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</si>
  <si>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</si>
  <si>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</si>
  <si>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</si>
  <si>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</si>
  <si>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</si>
  <si>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</si>
  <si>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</si>
  <si>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</si>
  <si>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</si>
  <si>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</si>
  <si>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</si>
  <si>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</si>
  <si>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</si>
  <si>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</si>
  <si>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</si>
  <si>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</si>
  <si>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</si>
  <si>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</si>
  <si>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</si>
  <si>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</si>
  <si>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</si>
  <si>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</si>
  <si>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</si>
  <si>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</si>
  <si>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</si>
  <si>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</si>
  <si>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</si>
  <si>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</si>
  <si>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</si>
  <si>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</si>
  <si>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</si>
  <si>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</si>
  <si>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</si>
  <si>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</si>
  <si>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</si>
  <si>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</si>
  <si>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</si>
  <si>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</si>
  <si>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</si>
  <si>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</si>
  <si>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</si>
  <si>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</si>
  <si>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</si>
  <si>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</si>
  <si>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</si>
  <si>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</si>
  <si>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</si>
  <si>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</si>
  <si>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</si>
  <si>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</si>
  <si>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</si>
  <si>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</si>
  <si>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</si>
  <si>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</si>
  <si>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</si>
  <si>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</si>
  <si>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</si>
  <si>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</si>
  <si>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</si>
  <si>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</si>
  <si>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</si>
  <si>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</si>
  <si>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</si>
  <si>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</si>
  <si>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</si>
  <si>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</si>
  <si>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</si>
  <si>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</si>
  <si>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</si>
  <si>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</si>
  <si>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</si>
  <si>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</si>
  <si>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</si>
  <si>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</si>
  <si>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</si>
  <si>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</si>
  <si>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</si>
  <si>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</si>
  <si>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</si>
  <si>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</si>
  <si>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</si>
  <si>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</si>
  <si>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</si>
  <si>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</si>
  <si>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</si>
  <si>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</si>
  <si>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</si>
  <si>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</si>
  <si>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</si>
  <si>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</si>
  <si>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</si>
  <si>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</si>
  <si>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</si>
  <si>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</si>
  <si>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</si>
  <si>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</si>
  <si>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</si>
  <si>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</si>
  <si>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</si>
  <si>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</si>
  <si>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</si>
  <si>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</si>
  <si>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</si>
  <si>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</si>
  <si>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</si>
  <si>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</si>
  <si>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</si>
  <si>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</si>
  <si>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</si>
  <si>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</si>
  <si>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</si>
  <si>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</si>
  <si>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</si>
  <si>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</si>
  <si>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</si>
  <si>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</si>
  <si>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</si>
  <si>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</si>
  <si>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</si>
  <si>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</si>
  <si>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</si>
  <si>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</si>
  <si>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</si>
  <si>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</si>
  <si>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</si>
  <si>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</si>
  <si>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</si>
  <si>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</si>
  <si>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</si>
  <si>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</si>
  <si>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</si>
  <si>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</si>
  <si>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</si>
  <si>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</si>
  <si>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</si>
  <si>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</si>
  <si>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</si>
  <si>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</si>
  <si>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</si>
  <si>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</si>
  <si>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</si>
  <si>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</si>
  <si>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</si>
  <si>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</si>
  <si>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</si>
  <si>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</si>
  <si>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</si>
  <si>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</si>
  <si>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</si>
  <si>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</si>
  <si>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</si>
  <si>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</si>
  <si>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</si>
  <si>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</si>
  <si>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</si>
  <si>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</si>
  <si>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</si>
  <si>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</si>
  <si>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</si>
  <si>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</si>
  <si>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</si>
  <si>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</si>
  <si>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</si>
  <si>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</si>
  <si>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</si>
  <si>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</si>
  <si>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</si>
  <si>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</si>
  <si>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</si>
  <si>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</si>
  <si>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</si>
  <si>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</si>
  <si>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</si>
  <si>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</si>
  <si>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</si>
  <si>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</si>
  <si>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</si>
  <si>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</si>
  <si>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</si>
  <si>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</si>
  <si>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</si>
  <si>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</si>
  <si>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</si>
  <si>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</si>
  <si>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</si>
  <si>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</si>
  <si>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</si>
  <si>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</si>
  <si>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</si>
  <si>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</si>
  <si>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</si>
  <si>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</si>
  <si>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</si>
  <si>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</si>
  <si>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</si>
  <si>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</si>
  <si>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</si>
  <si>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</si>
  <si>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</si>
  <si>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</si>
  <si>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</si>
  <si>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</si>
  <si>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</si>
  <si>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</si>
  <si>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</si>
  <si>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</si>
  <si>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</si>
  <si>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</si>
  <si>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</si>
  <si>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</si>
  <si>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</si>
  <si>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</si>
  <si>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</si>
  <si>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</si>
  <si>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</si>
  <si>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</si>
  <si>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</si>
  <si>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</si>
  <si>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</si>
  <si>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</si>
  <si>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</si>
  <si>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</si>
  <si>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</si>
  <si>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</si>
  <si>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</si>
  <si>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</si>
  <si>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</si>
  <si>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</si>
  <si>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</si>
  <si>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</si>
  <si>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</si>
  <si>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</si>
  <si>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</si>
  <si>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</si>
  <si>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</si>
  <si>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</si>
  <si>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</si>
  <si>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</si>
  <si>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</si>
  <si>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</si>
  <si>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</si>
  <si>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</si>
  <si>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</si>
  <si>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</si>
  <si>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</si>
  <si>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</si>
  <si>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</si>
  <si>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</si>
  <si>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</si>
  <si>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</si>
  <si>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</si>
  <si>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</si>
  <si>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</si>
  <si>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</si>
  <si>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</si>
  <si>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</si>
  <si>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</si>
  <si>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</si>
  <si>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</si>
  <si>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</si>
  <si>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</si>
  <si>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</si>
  <si>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</si>
  <si>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</si>
  <si>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</si>
  <si>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</si>
  <si>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</si>
  <si>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</si>
  <si>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</si>
  <si>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</si>
  <si>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</si>
  <si>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</si>
  <si>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</si>
  <si>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</si>
  <si>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</si>
  <si>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</si>
  <si>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</si>
  <si>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</si>
  <si>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</si>
  <si>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</si>
  <si>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</si>
  <si>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</si>
  <si>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</si>
  <si>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</si>
  <si>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</si>
  <si>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</si>
  <si>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</si>
  <si>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</si>
  <si>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</si>
  <si>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</si>
  <si>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</si>
  <si>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</si>
  <si>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</si>
  <si>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</si>
  <si>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</si>
  <si>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</si>
  <si>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</si>
  <si>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</si>
  <si>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</si>
  <si>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</si>
  <si>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</si>
  <si>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</si>
  <si>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</si>
  <si>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</si>
  <si>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</si>
  <si>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</si>
  <si>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</si>
  <si>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</si>
  <si>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</si>
  <si>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</si>
  <si>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</si>
  <si>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</si>
  <si>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</si>
  <si>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</si>
  <si>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</si>
  <si>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</si>
  <si>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</si>
  <si>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</si>
  <si>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</si>
  <si>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</si>
  <si>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</si>
  <si>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</si>
  <si>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</si>
  <si>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</si>
  <si>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</si>
  <si>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</si>
  <si>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</si>
  <si>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</si>
  <si>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</si>
  <si>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</si>
  <si>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</si>
  <si>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</si>
  <si>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</si>
  <si>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</si>
  <si>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</si>
  <si>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</si>
  <si>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</si>
  <si>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</si>
  <si>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</si>
  <si>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</si>
  <si>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</si>
  <si>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</si>
  <si>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</si>
  <si>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</si>
  <si>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</si>
  <si>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</si>
  <si>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</si>
  <si>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</si>
  <si>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</si>
  <si>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</si>
  <si>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</si>
  <si>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</si>
  <si>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</si>
  <si>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</si>
  <si>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</si>
  <si>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</si>
  <si>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</si>
  <si>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</si>
  <si>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</si>
  <si>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</si>
  <si>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</si>
  <si>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</si>
  <si>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</si>
  <si>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</si>
  <si>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</si>
  <si>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</si>
  <si>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</si>
  <si>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</si>
  <si>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</si>
  <si>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</si>
  <si>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</si>
  <si>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</si>
  <si>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</si>
  <si>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</si>
  <si>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</si>
  <si>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</si>
  <si>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</si>
  <si>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</si>
  <si>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</si>
  <si>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</si>
  <si>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</si>
  <si>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</si>
  <si>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</si>
  <si>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</si>
  <si>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</si>
  <si>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</si>
  <si>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</si>
  <si>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</si>
  <si>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</si>
  <si>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</si>
  <si>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</si>
  <si>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</si>
  <si>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</si>
  <si>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</si>
  <si>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</si>
  <si>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</si>
  <si>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</si>
  <si>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</si>
  <si>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</si>
  <si>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</si>
  <si>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</si>
  <si>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</si>
  <si>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</si>
  <si>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</si>
  <si>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</si>
  <si>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</si>
  <si>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</si>
  <si>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</si>
  <si>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</si>
  <si>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</si>
  <si>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</si>
  <si>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</si>
  <si>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</si>
  <si>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</si>
  <si>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</si>
  <si>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</si>
  <si>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</si>
  <si>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</si>
  <si>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</si>
  <si>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</si>
  <si>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</si>
  <si>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</si>
  <si>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</si>
  <si>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</si>
  <si>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</si>
  <si>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</si>
  <si>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</si>
  <si>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</si>
  <si>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</si>
  <si>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</si>
  <si>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</si>
  <si>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</si>
  <si>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</si>
  <si>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</si>
  <si>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</si>
  <si>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</si>
  <si>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</si>
  <si>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</si>
  <si>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</si>
  <si>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</si>
  <si>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</si>
  <si>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</si>
  <si>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</si>
  <si>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</si>
  <si>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</si>
  <si>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</si>
  <si>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</si>
  <si>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</si>
  <si>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</si>
  <si>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</si>
  <si>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</si>
  <si>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</si>
  <si>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</si>
  <si>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</si>
  <si>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</si>
  <si>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</si>
  <si>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</si>
  <si>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</si>
  <si>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</si>
  <si>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</si>
  <si>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</si>
  <si>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</si>
  <si>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</si>
  <si>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</si>
  <si>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</si>
  <si>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</si>
  <si>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</si>
  <si>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</si>
  <si>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</si>
  <si>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</si>
  <si>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</si>
  <si>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</si>
  <si>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</si>
  <si>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</si>
  <si>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</si>
  <si>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</si>
  <si>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</si>
  <si>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</si>
  <si>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</si>
  <si>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</si>
  <si>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</si>
  <si>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</si>
  <si>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</si>
  <si>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</si>
  <si>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</si>
  <si>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</si>
  <si>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</si>
  <si>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</si>
  <si>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</si>
  <si>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</si>
  <si>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</si>
  <si>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</si>
  <si>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</si>
  <si>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</si>
  <si>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</si>
  <si>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</si>
  <si>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</si>
  <si>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</si>
  <si>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</si>
  <si>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</si>
  <si>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</si>
  <si>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</si>
  <si>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</si>
  <si>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</si>
  <si>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</si>
  <si>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</si>
  <si>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</si>
  <si>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</si>
  <si>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</si>
  <si>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</si>
  <si>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</si>
  <si>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</si>
  <si>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</si>
  <si>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</si>
  <si>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</si>
  <si>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</si>
  <si>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</si>
  <si>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</si>
  <si>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</si>
  <si>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</si>
  <si>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</si>
  <si>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</si>
  <si>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</si>
  <si>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</si>
  <si>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</si>
  <si>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</si>
  <si>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</si>
  <si>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</si>
  <si>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</si>
  <si>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</si>
  <si>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</si>
  <si>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</si>
  <si>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</si>
  <si>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</si>
  <si>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</si>
  <si>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</si>
  <si>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</si>
  <si>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</si>
  <si>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</si>
  <si>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</si>
  <si>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</si>
  <si>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</si>
  <si>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</si>
  <si>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</si>
  <si>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</si>
  <si>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</si>
  <si>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</si>
  <si>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</si>
  <si>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</si>
  <si>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</si>
  <si>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</si>
  <si>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</si>
  <si>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</si>
  <si>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</si>
  <si>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</si>
  <si>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</si>
  <si>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</si>
  <si>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</si>
  <si>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</si>
  <si>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</si>
  <si>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</si>
  <si>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</si>
  <si>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</si>
  <si>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</si>
  <si>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</si>
  <si>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</si>
  <si>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</si>
  <si>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</si>
  <si>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</si>
  <si>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</si>
  <si>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</si>
  <si>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</si>
  <si>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</si>
  <si>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</si>
  <si>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</si>
  <si>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</si>
  <si>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</si>
  <si>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</si>
  <si>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</si>
  <si>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</si>
  <si>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</si>
  <si>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</si>
  <si>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</si>
  <si>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</si>
  <si>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</si>
  <si>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</si>
  <si>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</si>
  <si>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</si>
  <si>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</si>
  <si>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</si>
  <si>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</si>
  <si>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</si>
  <si>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</si>
  <si>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</si>
  <si>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</si>
  <si>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</si>
  <si>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</si>
  <si>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</si>
  <si>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</si>
  <si>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</si>
  <si>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</si>
  <si>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</si>
  <si>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</si>
  <si>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</si>
  <si>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</si>
  <si>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</si>
  <si>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</si>
  <si>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</si>
  <si>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</si>
  <si>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</si>
  <si>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</si>
  <si>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</si>
  <si>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</si>
  <si>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</si>
  <si>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</si>
  <si>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</si>
  <si>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</si>
  <si>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</si>
  <si>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</si>
  <si>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</si>
  <si>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</si>
  <si>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</si>
  <si>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</si>
  <si>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</si>
  <si>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</si>
  <si>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</si>
  <si>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</si>
  <si>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</si>
  <si>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</si>
  <si>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</si>
  <si>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</si>
  <si>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</si>
  <si>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</si>
  <si>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</si>
  <si>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</si>
  <si>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</si>
  <si>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</si>
  <si>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</si>
  <si>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</si>
  <si>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</si>
  <si>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</si>
  <si>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</si>
  <si>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</si>
  <si>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</si>
  <si>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</si>
  <si>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</si>
  <si>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</si>
  <si>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</si>
  <si>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</si>
  <si>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</si>
  <si>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</si>
  <si>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</si>
  <si>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</si>
  <si>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</si>
  <si>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</si>
  <si>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</si>
  <si>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</si>
  <si>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</si>
  <si>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</si>
  <si>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</si>
  <si>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</si>
  <si>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</si>
  <si>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</si>
  <si>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</si>
  <si>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</si>
  <si>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</si>
  <si>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</si>
  <si>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</si>
  <si>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</si>
  <si>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</si>
  <si>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</si>
  <si>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</si>
  <si>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</si>
  <si>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</si>
  <si>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</si>
  <si>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</si>
  <si>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</si>
  <si>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</si>
  <si>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</si>
  <si>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</si>
  <si>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</si>
  <si>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</si>
  <si>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</si>
  <si>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</si>
  <si>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</si>
  <si>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</si>
  <si>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</si>
  <si>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</si>
  <si>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</si>
  <si>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</si>
  <si>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</si>
  <si>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</si>
  <si>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</si>
  <si>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</si>
  <si>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</si>
  <si>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</si>
  <si>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</si>
  <si>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</si>
  <si>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</si>
  <si>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</si>
  <si>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</si>
  <si>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</si>
  <si>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</si>
  <si>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</si>
  <si>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</si>
  <si>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</si>
  <si>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</si>
  <si>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</si>
  <si>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</si>
  <si>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</si>
  <si>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</si>
  <si>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</si>
  <si>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</si>
  <si>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</si>
  <si>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</si>
  <si>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</si>
  <si>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</si>
  <si>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</si>
  <si>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</si>
  <si>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</si>
  <si>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</si>
  <si>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</si>
  <si>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</si>
  <si>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</si>
  <si>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</si>
  <si>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</si>
  <si>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</si>
  <si>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</si>
  <si>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</si>
  <si>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</si>
  <si>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</si>
  <si>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</si>
  <si>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</si>
  <si>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</si>
  <si>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</si>
  <si>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</si>
  <si>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</si>
  <si>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</si>
  <si>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</si>
  <si>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</si>
  <si>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</si>
  <si>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</si>
  <si>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</si>
  <si>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</si>
  <si>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</si>
  <si>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</si>
  <si>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</si>
  <si>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</si>
  <si>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</si>
  <si>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</si>
  <si>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</si>
  <si>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</si>
  <si>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</si>
  <si>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</si>
  <si>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</si>
  <si>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</si>
  <si>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</si>
  <si>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</si>
  <si>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</si>
  <si>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</si>
  <si>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</si>
  <si>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</si>
  <si>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</si>
  <si>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</si>
  <si>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</si>
  <si>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</si>
  <si>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</si>
  <si>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</si>
  <si>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</si>
  <si>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</si>
  <si>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</si>
  <si>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</si>
  <si>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</si>
  <si>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</si>
  <si>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</si>
  <si>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</si>
  <si>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</si>
  <si>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</si>
  <si>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</si>
  <si>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</si>
  <si>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</si>
  <si>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</si>
  <si>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</si>
  <si>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</si>
  <si>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</si>
  <si>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</si>
  <si>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</si>
  <si>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</si>
  <si>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</si>
  <si>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</si>
  <si>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</si>
  <si>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</si>
  <si>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</si>
  <si>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</si>
  <si>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</si>
  <si>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</si>
  <si>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</si>
  <si>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</si>
  <si>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</si>
  <si>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</si>
  <si>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</si>
  <si>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</si>
  <si>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</si>
  <si>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</si>
  <si>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</si>
  <si>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</si>
  <si>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</si>
  <si>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</si>
  <si>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</si>
  <si>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</si>
  <si>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</si>
  <si>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</si>
  <si>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</si>
  <si>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</si>
  <si>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</si>
  <si>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</si>
  <si>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</si>
  <si>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</si>
  <si>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</si>
  <si>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</si>
  <si>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</si>
  <si>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</si>
  <si>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</si>
  <si>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</si>
  <si>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</si>
  <si>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</si>
  <si>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</si>
  <si>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</si>
  <si>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</si>
  <si>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</si>
  <si>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</si>
  <si>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</si>
  <si>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</si>
  <si>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</si>
  <si>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</si>
  <si>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</si>
  <si>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</si>
  <si>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</si>
  <si>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</si>
  <si>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</si>
  <si>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</si>
  <si>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</si>
  <si>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</si>
  <si>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</si>
  <si>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</si>
  <si>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</si>
  <si>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地上</t>
  </si>
  <si>
    <t>平层住宅</t>
  </si>
  <si>
    <t>住宅</t>
    <phoneticPr fontId="7" type="noConversion"/>
  </si>
  <si>
    <t>成新度</t>
  </si>
  <si>
    <t>收益法 (元)</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</si>
  <si>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</si>
  <si>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</si>
  <si>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估价对象所在区域基础设施水平</t>
    <phoneticPr fontId="3" type="noConversion"/>
  </si>
  <si>
    <t>周边有合生国际家园、优士阁、双花园南里、广渠家园、百环家园等住宅小区，居住社区成熟度好。</t>
    <phoneticPr fontId="3" type="noConversion"/>
  </si>
  <si>
    <t>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t>
    <phoneticPr fontId="24" type="noConversion"/>
  </si>
  <si>
    <t>自然环境：CBD城市森林公园、通惠河水系等自然景观；
人文环境：北京今日美术馆等人文场所；
综合评价环境状况较好。</t>
    <phoneticPr fontId="3" type="noConversion"/>
  </si>
  <si>
    <t>周边有28路、57路、72路、98路、300路等多条公交线路，地铁7号线与10号线换乘站双井站，综合评价交通便捷度好。</t>
    <phoneticPr fontId="3" type="noConversion"/>
  </si>
  <si>
    <t>房号</t>
  </si>
  <si>
    <t>项目名称</t>
  </si>
  <si>
    <t>产权性质</t>
  </si>
  <si>
    <t>面积</t>
  </si>
  <si>
    <t>户型</t>
  </si>
  <si>
    <t>总楼层</t>
  </si>
  <si>
    <t>所在楼层</t>
  </si>
  <si>
    <t>建成年代</t>
  </si>
  <si>
    <t>成交价</t>
  </si>
  <si>
    <t>评估价</t>
  </si>
  <si>
    <t>成交日期</t>
  </si>
  <si>
    <t>朝向</t>
  </si>
  <si>
    <t>装修</t>
  </si>
  <si>
    <t>来源</t>
  </si>
  <si>
    <t>普通装修</t>
  </si>
  <si>
    <t>零贷库</t>
  </si>
  <si>
    <t>平层</t>
  </si>
  <si>
    <t>低楼层</t>
  </si>
  <si>
    <t>一层带院成交（院子大）</t>
    <phoneticPr fontId="134" type="noConversion"/>
  </si>
  <si>
    <r>
      <t>2</t>
    </r>
    <r>
      <rPr>
        <sz val="11"/>
        <color theme="1"/>
        <rFont val="宋体"/>
        <family val="3"/>
        <charset val="134"/>
        <scheme val="minor"/>
      </rPr>
      <t>024.12.31</t>
    </r>
    <phoneticPr fontId="134" type="noConversion"/>
  </si>
  <si>
    <t>同类挂牌</t>
    <phoneticPr fontId="134" type="noConversion"/>
  </si>
  <si>
    <t>本套询价</t>
    <phoneticPr fontId="134" type="noConversion"/>
  </si>
  <si>
    <t>1200至</t>
    <phoneticPr fontId="134" type="noConversion"/>
  </si>
  <si>
    <t>拍卖</t>
    <phoneticPr fontId="134" type="noConversion"/>
  </si>
  <si>
    <t>https://paimai.jd.com/307269425</t>
  </si>
  <si>
    <t>https://paimai.jd.com/299675550</t>
  </si>
  <si>
    <t>https://paimai.jd.com/288729922</t>
  </si>
  <si>
    <t>时间</t>
    <phoneticPr fontId="134" type="noConversion"/>
  </si>
  <si>
    <t>评估价</t>
    <phoneticPr fontId="134" type="noConversion"/>
  </si>
  <si>
    <t>成交价</t>
    <phoneticPr fontId="134" type="noConversion"/>
  </si>
  <si>
    <t>富力城D区</t>
    <phoneticPr fontId="134" type="noConversion"/>
  </si>
  <si>
    <t>富力城C区</t>
    <phoneticPr fontId="134" type="noConversion"/>
  </si>
  <si>
    <t>富力城A区</t>
    <phoneticPr fontId="134" type="noConversion"/>
  </si>
  <si>
    <t>成数</t>
    <phoneticPr fontId="134" type="noConversion"/>
  </si>
  <si>
    <t>2室2厅2卫1厨</t>
    <phoneticPr fontId="134" type="noConversion"/>
  </si>
  <si>
    <t>南</t>
  </si>
  <si>
    <t>南</t>
    <phoneticPr fontId="134" type="noConversion"/>
  </si>
  <si>
    <t>3室2厅2卫1厨</t>
    <phoneticPr fontId="134" type="noConversion"/>
  </si>
  <si>
    <t>东南</t>
  </si>
  <si>
    <t>东南</t>
    <phoneticPr fontId="134" type="noConversion"/>
  </si>
  <si>
    <t>3室2厅2卫2厨</t>
    <phoneticPr fontId="134" type="noConversion"/>
  </si>
  <si>
    <t>楼层</t>
    <phoneticPr fontId="134" type="noConversion"/>
  </si>
  <si>
    <t>低楼层</t>
    <phoneticPr fontId="134" type="noConversion"/>
  </si>
  <si>
    <t>中楼层</t>
  </si>
  <si>
    <t>中楼层</t>
    <phoneticPr fontId="134" type="noConversion"/>
  </si>
  <si>
    <t>高楼层</t>
  </si>
  <si>
    <t>高楼层</t>
    <phoneticPr fontId="134" type="noConversion"/>
  </si>
  <si>
    <t>月租金</t>
    <phoneticPr fontId="134" type="noConversion"/>
  </si>
  <si>
    <t>朝阳区广渠门外大街3号院8号楼4层505</t>
    <phoneticPr fontId="134" type="noConversion"/>
  </si>
  <si>
    <t>朝阳区广渠门外大街3号院1号楼12层1503</t>
    <phoneticPr fontId="134" type="noConversion"/>
  </si>
  <si>
    <t>朝阳区广渠门外大街3号院9号楼15层1802</t>
    <phoneticPr fontId="134" type="noConversion"/>
  </si>
  <si>
    <t>朝阳区广渠门外大街三号院9号楼1层0103</t>
    <phoneticPr fontId="3" type="noConversion"/>
  </si>
  <si>
    <t>正常</t>
  </si>
  <si>
    <t>住宅</t>
    <phoneticPr fontId="24" type="noConversion"/>
  </si>
  <si>
    <t>周边有合生国际家园、优士阁、双花园南里、广渠家园、百环家园等住宅小区，居住社区成熟度好。</t>
    <phoneticPr fontId="24" type="noConversion"/>
  </si>
  <si>
    <r>
      <t>周边有</t>
    </r>
    <r>
      <rPr>
        <sz val="11"/>
        <rFont val="Arial"/>
        <family val="2"/>
      </rPr>
      <t>28</t>
    </r>
    <r>
      <rPr>
        <sz val="11"/>
        <rFont val="宋体"/>
        <family val="3"/>
        <charset val="134"/>
      </rPr>
      <t>路、</t>
    </r>
    <r>
      <rPr>
        <sz val="11"/>
        <rFont val="Arial"/>
        <family val="2"/>
      </rPr>
      <t>57</t>
    </r>
    <r>
      <rPr>
        <sz val="11"/>
        <rFont val="宋体"/>
        <family val="3"/>
        <charset val="134"/>
      </rPr>
      <t>路、</t>
    </r>
    <r>
      <rPr>
        <sz val="11"/>
        <rFont val="Arial"/>
        <family val="2"/>
      </rPr>
      <t>72</t>
    </r>
    <r>
      <rPr>
        <sz val="11"/>
        <rFont val="宋体"/>
        <family val="3"/>
        <charset val="134"/>
      </rPr>
      <t>路、</t>
    </r>
    <r>
      <rPr>
        <sz val="11"/>
        <rFont val="Arial"/>
        <family val="2"/>
      </rPr>
      <t>98</t>
    </r>
    <r>
      <rPr>
        <sz val="11"/>
        <rFont val="宋体"/>
        <family val="3"/>
        <charset val="134"/>
      </rPr>
      <t>路、</t>
    </r>
    <r>
      <rPr>
        <sz val="11"/>
        <rFont val="Arial"/>
        <family val="2"/>
      </rPr>
      <t>300</t>
    </r>
    <r>
      <rPr>
        <sz val="11"/>
        <rFont val="宋体"/>
        <family val="3"/>
        <charset val="134"/>
      </rPr>
      <t>路等多条公交线路，地铁</t>
    </r>
    <r>
      <rPr>
        <sz val="11"/>
        <rFont val="Arial"/>
        <family val="2"/>
      </rPr>
      <t>7</t>
    </r>
    <r>
      <rPr>
        <sz val="11"/>
        <rFont val="宋体"/>
        <family val="3"/>
        <charset val="134"/>
      </rPr>
      <t>号线与</t>
    </r>
    <r>
      <rPr>
        <sz val="11"/>
        <rFont val="Arial"/>
        <family val="2"/>
      </rPr>
      <t>10</t>
    </r>
    <r>
      <rPr>
        <sz val="11"/>
        <rFont val="宋体"/>
        <family val="3"/>
        <charset val="134"/>
      </rPr>
      <t>号线换乘站双井站，综合评价交通便捷度好。</t>
    </r>
  </si>
  <si>
    <r>
      <rPr>
        <sz val="11"/>
        <rFont val="宋体"/>
        <family val="3"/>
        <charset val="134"/>
      </rPr>
      <t>自然环境：</t>
    </r>
    <r>
      <rPr>
        <sz val="11"/>
        <rFont val="Arial"/>
        <family val="2"/>
      </rPr>
      <t>CBD</t>
    </r>
    <r>
      <rPr>
        <sz val="11"/>
        <rFont val="宋体"/>
        <family val="3"/>
        <charset val="134"/>
      </rPr>
      <t>城市森林公园、通惠河水系等自然景观；
人文环境：北京今日美术馆等人文场所；
综合评价环境状况较好。</t>
    </r>
    <phoneticPr fontId="24" type="noConversion"/>
  </si>
  <si>
    <t>七通</t>
  </si>
  <si>
    <t>好</t>
  </si>
  <si>
    <t>较好</t>
  </si>
  <si>
    <t>南北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</si>
  <si>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</si>
  <si>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</si>
  <si>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</si>
  <si>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</si>
  <si>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</si>
  <si>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</si>
  <si>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</si>
  <si>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高楼层</t>
    <phoneticPr fontId="3" type="noConversion"/>
  </si>
  <si>
    <t>中楼层</t>
    <phoneticPr fontId="3" type="noConversion"/>
  </si>
  <si>
    <t>低楼层</t>
    <phoneticPr fontId="3" type="noConversion"/>
  </si>
  <si>
    <t>首层</t>
    <phoneticPr fontId="3" type="noConversion"/>
  </si>
  <si>
    <t>顶层</t>
    <phoneticPr fontId="24" type="noConversion"/>
  </si>
  <si>
    <t>南北</t>
  </si>
  <si>
    <t>首层</t>
  </si>
  <si>
    <t>赠送面积</t>
    <phoneticPr fontId="24" type="noConversion"/>
  </si>
  <si>
    <t>多层板楼</t>
    <phoneticPr fontId="3" type="noConversion"/>
  </si>
  <si>
    <t>高层板楼</t>
    <phoneticPr fontId="3" type="noConversion"/>
  </si>
  <si>
    <t>塔楼</t>
    <phoneticPr fontId="3" type="noConversion"/>
  </si>
  <si>
    <t>板塔结合</t>
    <phoneticPr fontId="3" type="noConversion"/>
  </si>
  <si>
    <t>塔楼</t>
  </si>
  <si>
    <t>塔楼</t>
    <phoneticPr fontId="134" type="noConversion"/>
  </si>
  <si>
    <t>楼型</t>
    <phoneticPr fontId="134" type="noConversion"/>
  </si>
  <si>
    <t>高板</t>
    <phoneticPr fontId="134"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</si>
  <si>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</si>
  <si>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</si>
  <si>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</si>
  <si>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</si>
  <si>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</si>
  <si>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物业公司管理</t>
    <phoneticPr fontId="3" type="noConversion"/>
  </si>
  <si>
    <t>居委会管理</t>
    <phoneticPr fontId="3" type="noConversion"/>
  </si>
  <si>
    <t>七通</t>
    <phoneticPr fontId="3" type="noConversion"/>
  </si>
  <si>
    <t>六通</t>
    <phoneticPr fontId="3" type="noConversion"/>
  </si>
  <si>
    <t>四室</t>
    <phoneticPr fontId="3" type="noConversion"/>
  </si>
  <si>
    <t>三室</t>
    <phoneticPr fontId="3" type="noConversion"/>
  </si>
  <si>
    <t>两室</t>
    <phoneticPr fontId="3" type="noConversion"/>
  </si>
  <si>
    <t>一室</t>
    <phoneticPr fontId="3" type="noConversion"/>
  </si>
  <si>
    <t>正在装修</t>
  </si>
  <si>
    <t>正在装修</t>
    <phoneticPr fontId="24" type="noConversion"/>
  </si>
  <si>
    <t>有</t>
    <phoneticPr fontId="24" type="noConversion"/>
  </si>
  <si>
    <t>无</t>
    <phoneticPr fontId="24" type="noConversion"/>
  </si>
  <si>
    <t>高层板楼</t>
  </si>
  <si>
    <t>钢混</t>
  </si>
  <si>
    <t>精装修</t>
  </si>
  <si>
    <t>物业公司管理</t>
  </si>
  <si>
    <t>两室</t>
  </si>
  <si>
    <t>三室</t>
  </si>
  <si>
    <t>售价</t>
  </si>
  <si>
    <t>押一</t>
  </si>
  <si>
    <t>比较法-住宅</t>
  </si>
  <si>
    <t>自然人</t>
  </si>
  <si>
    <t>北京市</t>
  </si>
  <si>
    <t>单套模式</t>
  </si>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</sst>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宋体"/>
      <family val="3"/>
      <charset val="134"/>
      <scheme val="minor"/>
    </font>
    <font>
      <sz val="11"/>
      <name val="Arial"/>
      <family val="3"/>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77" fontId="47" fillId="7" borderId="1" xfId="1" applyNumberFormat="1" applyFont="1" applyFill="1" applyBorder="1" applyAlignment="1" applyProtection="1">
      <alignment horizontal="center" vertical="center"/>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76" fontId="44" fillId="7" borderId="24" xfId="1" applyNumberFormat="1" applyFont="1" applyFill="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0" fillId="0" borderId="0" xfId="0" applyAlignment="1">
      <alignment horizontal="center" vertical="center"/>
    </xf>
    <xf numFmtId="0" fontId="271" fillId="0" borderId="0" xfId="0" applyFont="1" applyAlignment="1">
      <alignment horizontal="center" vertical="center"/>
    </xf>
    <xf numFmtId="14" fontId="0" fillId="0" borderId="0" xfId="0" applyNumberFormat="1" applyAlignment="1">
      <alignment horizontal="center" vertical="center"/>
    </xf>
    <xf numFmtId="10"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4" fontId="0" fillId="0" borderId="0" xfId="0" applyNumberFormat="1">
      <alignment vertical="center"/>
    </xf>
    <xf numFmtId="195" fontId="0" fillId="0" borderId="0" xfId="0" applyNumberFormat="1">
      <alignment vertical="center"/>
    </xf>
    <xf numFmtId="9" fontId="0" fillId="0" borderId="0" xfId="17" applyFont="1">
      <alignment vertical="center"/>
    </xf>
    <xf numFmtId="0" fontId="271" fillId="0" borderId="0" xfId="0" applyFont="1">
      <alignment vertical="center"/>
    </xf>
    <xf numFmtId="177" fontId="44" fillId="0" borderId="23" xfId="0" applyNumberFormat="1" applyFont="1" applyBorder="1" applyAlignment="1" applyProtection="1">
      <alignment horizontal="center" vertical="center"/>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72" fillId="0" borderId="14" xfId="0" applyNumberFormat="1"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128" fillId="0" borderId="41"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0" fillId="0" borderId="0" xfId="0" applyFont="1" applyAlignment="1">
      <alignment horizontal="center" vertical="center"/>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6">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20</xdr:row>
      <xdr:rowOff>66675</xdr:rowOff>
    </xdr:from>
    <xdr:to>
      <xdr:col>40</xdr:col>
      <xdr:colOff>16359</xdr:colOff>
      <xdr:row>25</xdr:row>
      <xdr:rowOff>152282</xdr:rowOff>
    </xdr:to>
    <xdr:pic>
      <xdr:nvPicPr>
        <xdr:cNvPr id="2" name="图片 1">
          <a:extLst>
            <a:ext uri="{FF2B5EF4-FFF2-40B4-BE49-F238E27FC236}">
              <a16:creationId xmlns:a16="http://schemas.microsoft.com/office/drawing/2014/main" id="{5B0CFA76-5E63-B0AA-245F-C0B2CA7CCC2C}"/>
            </a:ext>
          </a:extLst>
        </xdr:cNvPr>
        <xdr:cNvPicPr>
          <a:picLocks noChangeAspect="1"/>
        </xdr:cNvPicPr>
      </xdr:nvPicPr>
      <xdr:blipFill>
        <a:blip xmlns:r="http://schemas.openxmlformats.org/officeDocument/2006/relationships" r:embed="rId1"/>
        <a:stretch>
          <a:fillRect/>
        </a:stretch>
      </xdr:blipFill>
      <xdr:spPr>
        <a:xfrm>
          <a:off x="8001000" y="2295525"/>
          <a:ext cx="21523809" cy="942857"/>
        </a:xfrm>
        <a:prstGeom prst="rect">
          <a:avLst/>
        </a:prstGeom>
      </xdr:spPr>
    </xdr:pic>
    <xdr:clientData/>
  </xdr:twoCellAnchor>
  <xdr:twoCellAnchor editAs="oneCell">
    <xdr:from>
      <xdr:col>10</xdr:col>
      <xdr:colOff>0</xdr:colOff>
      <xdr:row>28</xdr:row>
      <xdr:rowOff>66675</xdr:rowOff>
    </xdr:from>
    <xdr:to>
      <xdr:col>39</xdr:col>
      <xdr:colOff>425984</xdr:colOff>
      <xdr:row>36</xdr:row>
      <xdr:rowOff>142694</xdr:rowOff>
    </xdr:to>
    <xdr:pic>
      <xdr:nvPicPr>
        <xdr:cNvPr id="3" name="图片 2">
          <a:extLst>
            <a:ext uri="{FF2B5EF4-FFF2-40B4-BE49-F238E27FC236}">
              <a16:creationId xmlns:a16="http://schemas.microsoft.com/office/drawing/2014/main" id="{1A37480A-E739-3F1D-0B88-4D5117441528}"/>
            </a:ext>
          </a:extLst>
        </xdr:cNvPr>
        <xdr:cNvPicPr>
          <a:picLocks noChangeAspect="1"/>
        </xdr:cNvPicPr>
      </xdr:nvPicPr>
      <xdr:blipFill>
        <a:blip xmlns:r="http://schemas.openxmlformats.org/officeDocument/2006/relationships" r:embed="rId2"/>
        <a:stretch>
          <a:fillRect/>
        </a:stretch>
      </xdr:blipFill>
      <xdr:spPr>
        <a:xfrm>
          <a:off x="7953375" y="3667125"/>
          <a:ext cx="21123809" cy="1447619"/>
        </a:xfrm>
        <a:prstGeom prst="rect">
          <a:avLst/>
        </a:prstGeom>
      </xdr:spPr>
    </xdr:pic>
    <xdr:clientData/>
  </xdr:twoCellAnchor>
  <xdr:twoCellAnchor editAs="oneCell">
    <xdr:from>
      <xdr:col>22</xdr:col>
      <xdr:colOff>38100</xdr:colOff>
      <xdr:row>39</xdr:row>
      <xdr:rowOff>104775</xdr:rowOff>
    </xdr:from>
    <xdr:to>
      <xdr:col>26</xdr:col>
      <xdr:colOff>225772</xdr:colOff>
      <xdr:row>70</xdr:row>
      <xdr:rowOff>161925</xdr:rowOff>
    </xdr:to>
    <xdr:pic>
      <xdr:nvPicPr>
        <xdr:cNvPr id="4" name="图片 3">
          <a:extLst>
            <a:ext uri="{FF2B5EF4-FFF2-40B4-BE49-F238E27FC236}">
              <a16:creationId xmlns:a16="http://schemas.microsoft.com/office/drawing/2014/main" id="{D37C1D16-BEB3-1166-AD05-6283C4FB0D88}"/>
            </a:ext>
          </a:extLst>
        </xdr:cNvPr>
        <xdr:cNvPicPr>
          <a:picLocks noChangeAspect="1"/>
        </xdr:cNvPicPr>
      </xdr:nvPicPr>
      <xdr:blipFill>
        <a:blip xmlns:r="http://schemas.openxmlformats.org/officeDocument/2006/relationships" r:embed="rId3"/>
        <a:stretch>
          <a:fillRect/>
        </a:stretch>
      </xdr:blipFill>
      <xdr:spPr>
        <a:xfrm>
          <a:off x="16859250" y="6791325"/>
          <a:ext cx="2930872" cy="5372100"/>
        </a:xfrm>
        <a:prstGeom prst="rect">
          <a:avLst/>
        </a:prstGeom>
      </xdr:spPr>
    </xdr:pic>
    <xdr:clientData/>
  </xdr:twoCellAnchor>
  <xdr:twoCellAnchor editAs="oneCell">
    <xdr:from>
      <xdr:col>10</xdr:col>
      <xdr:colOff>171450</xdr:colOff>
      <xdr:row>39</xdr:row>
      <xdr:rowOff>19051</xdr:rowOff>
    </xdr:from>
    <xdr:to>
      <xdr:col>13</xdr:col>
      <xdr:colOff>422840</xdr:colOff>
      <xdr:row>70</xdr:row>
      <xdr:rowOff>139305</xdr:rowOff>
    </xdr:to>
    <xdr:pic>
      <xdr:nvPicPr>
        <xdr:cNvPr id="5" name="图片 4">
          <a:extLst>
            <a:ext uri="{FF2B5EF4-FFF2-40B4-BE49-F238E27FC236}">
              <a16:creationId xmlns:a16="http://schemas.microsoft.com/office/drawing/2014/main" id="{80AEF7CF-6025-16FD-23B7-4E824C2269C4}"/>
            </a:ext>
          </a:extLst>
        </xdr:cNvPr>
        <xdr:cNvPicPr>
          <a:picLocks noChangeAspect="1"/>
        </xdr:cNvPicPr>
      </xdr:nvPicPr>
      <xdr:blipFill>
        <a:blip xmlns:r="http://schemas.openxmlformats.org/officeDocument/2006/relationships" r:embed="rId4"/>
        <a:stretch>
          <a:fillRect/>
        </a:stretch>
      </xdr:blipFill>
      <xdr:spPr>
        <a:xfrm>
          <a:off x="8124825" y="6705601"/>
          <a:ext cx="2946965" cy="5435204"/>
        </a:xfrm>
        <a:prstGeom prst="rect">
          <a:avLst/>
        </a:prstGeom>
      </xdr:spPr>
    </xdr:pic>
    <xdr:clientData/>
  </xdr:twoCellAnchor>
  <xdr:twoCellAnchor editAs="oneCell">
    <xdr:from>
      <xdr:col>13</xdr:col>
      <xdr:colOff>634703</xdr:colOff>
      <xdr:row>39</xdr:row>
      <xdr:rowOff>1</xdr:rowOff>
    </xdr:from>
    <xdr:to>
      <xdr:col>17</xdr:col>
      <xdr:colOff>467230</xdr:colOff>
      <xdr:row>70</xdr:row>
      <xdr:rowOff>121351</xdr:rowOff>
    </xdr:to>
    <xdr:pic>
      <xdr:nvPicPr>
        <xdr:cNvPr id="6" name="图片 5">
          <a:extLst>
            <a:ext uri="{FF2B5EF4-FFF2-40B4-BE49-F238E27FC236}">
              <a16:creationId xmlns:a16="http://schemas.microsoft.com/office/drawing/2014/main" id="{28DCB5A5-5936-2C15-6541-CF72CB219AD2}"/>
            </a:ext>
          </a:extLst>
        </xdr:cNvPr>
        <xdr:cNvPicPr>
          <a:picLocks noChangeAspect="1"/>
        </xdr:cNvPicPr>
      </xdr:nvPicPr>
      <xdr:blipFill>
        <a:blip xmlns:r="http://schemas.openxmlformats.org/officeDocument/2006/relationships" r:embed="rId5"/>
        <a:stretch>
          <a:fillRect/>
        </a:stretch>
      </xdr:blipFill>
      <xdr:spPr>
        <a:xfrm>
          <a:off x="11283653" y="6686551"/>
          <a:ext cx="2575727" cy="5436300"/>
        </a:xfrm>
        <a:prstGeom prst="rect">
          <a:avLst/>
        </a:prstGeom>
      </xdr:spPr>
    </xdr:pic>
    <xdr:clientData/>
  </xdr:twoCellAnchor>
  <xdr:twoCellAnchor editAs="oneCell">
    <xdr:from>
      <xdr:col>18</xdr:col>
      <xdr:colOff>76201</xdr:colOff>
      <xdr:row>38</xdr:row>
      <xdr:rowOff>142877</xdr:rowOff>
    </xdr:from>
    <xdr:to>
      <xdr:col>21</xdr:col>
      <xdr:colOff>650180</xdr:colOff>
      <xdr:row>71</xdr:row>
      <xdr:rowOff>38101</xdr:rowOff>
    </xdr:to>
    <xdr:pic>
      <xdr:nvPicPr>
        <xdr:cNvPr id="7" name="图片 6">
          <a:extLst>
            <a:ext uri="{FF2B5EF4-FFF2-40B4-BE49-F238E27FC236}">
              <a16:creationId xmlns:a16="http://schemas.microsoft.com/office/drawing/2014/main" id="{C32C93E3-C5DD-40B2-9364-24345BC2EBF1}"/>
            </a:ext>
          </a:extLst>
        </xdr:cNvPr>
        <xdr:cNvPicPr>
          <a:picLocks noChangeAspect="1"/>
        </xdr:cNvPicPr>
      </xdr:nvPicPr>
      <xdr:blipFill>
        <a:blip xmlns:r="http://schemas.openxmlformats.org/officeDocument/2006/relationships" r:embed="rId6"/>
        <a:stretch>
          <a:fillRect/>
        </a:stretch>
      </xdr:blipFill>
      <xdr:spPr>
        <a:xfrm>
          <a:off x="14154151" y="6657977"/>
          <a:ext cx="2631379" cy="5553074"/>
        </a:xfrm>
        <a:prstGeom prst="rect">
          <a:avLst/>
        </a:prstGeom>
      </xdr:spPr>
    </xdr:pic>
    <xdr:clientData/>
  </xdr:twoCellAnchor>
  <xdr:twoCellAnchor editAs="oneCell">
    <xdr:from>
      <xdr:col>28</xdr:col>
      <xdr:colOff>1</xdr:colOff>
      <xdr:row>40</xdr:row>
      <xdr:rowOff>0</xdr:rowOff>
    </xdr:from>
    <xdr:to>
      <xdr:col>36</xdr:col>
      <xdr:colOff>304800</xdr:colOff>
      <xdr:row>56</xdr:row>
      <xdr:rowOff>67567</xdr:rowOff>
    </xdr:to>
    <xdr:pic>
      <xdr:nvPicPr>
        <xdr:cNvPr id="8" name="图片 7">
          <a:extLst>
            <a:ext uri="{FF2B5EF4-FFF2-40B4-BE49-F238E27FC236}">
              <a16:creationId xmlns:a16="http://schemas.microsoft.com/office/drawing/2014/main" id="{5F23B61D-24EF-4D17-911A-AB7ED1087309}"/>
            </a:ext>
          </a:extLst>
        </xdr:cNvPr>
        <xdr:cNvPicPr>
          <a:picLocks noChangeAspect="1"/>
        </xdr:cNvPicPr>
      </xdr:nvPicPr>
      <xdr:blipFill>
        <a:blip xmlns:r="http://schemas.openxmlformats.org/officeDocument/2006/relationships" r:embed="rId7"/>
        <a:stretch>
          <a:fillRect/>
        </a:stretch>
      </xdr:blipFill>
      <xdr:spPr>
        <a:xfrm>
          <a:off x="20935951" y="6858000"/>
          <a:ext cx="5791199" cy="2810767"/>
        </a:xfrm>
        <a:prstGeom prst="rect">
          <a:avLst/>
        </a:prstGeom>
      </xdr:spPr>
    </xdr:pic>
    <xdr:clientData/>
  </xdr:twoCellAnchor>
  <xdr:twoCellAnchor editAs="oneCell">
    <xdr:from>
      <xdr:col>27</xdr:col>
      <xdr:colOff>676275</xdr:colOff>
      <xdr:row>59</xdr:row>
      <xdr:rowOff>152400</xdr:rowOff>
    </xdr:from>
    <xdr:to>
      <xdr:col>36</xdr:col>
      <xdr:colOff>535475</xdr:colOff>
      <xdr:row>79</xdr:row>
      <xdr:rowOff>142876</xdr:rowOff>
    </xdr:to>
    <xdr:pic>
      <xdr:nvPicPr>
        <xdr:cNvPr id="9" name="图片 8">
          <a:extLst>
            <a:ext uri="{FF2B5EF4-FFF2-40B4-BE49-F238E27FC236}">
              <a16:creationId xmlns:a16="http://schemas.microsoft.com/office/drawing/2014/main" id="{13589A60-8788-4563-8ED2-C2B9E2879AF1}"/>
            </a:ext>
          </a:extLst>
        </xdr:cNvPr>
        <xdr:cNvPicPr>
          <a:picLocks noChangeAspect="1"/>
        </xdr:cNvPicPr>
      </xdr:nvPicPr>
      <xdr:blipFill>
        <a:blip xmlns:r="http://schemas.openxmlformats.org/officeDocument/2006/relationships" r:embed="rId8"/>
        <a:stretch>
          <a:fillRect/>
        </a:stretch>
      </xdr:blipFill>
      <xdr:spPr>
        <a:xfrm>
          <a:off x="20926425" y="10267950"/>
          <a:ext cx="6031400" cy="3419476"/>
        </a:xfrm>
        <a:prstGeom prst="rect">
          <a:avLst/>
        </a:prstGeom>
      </xdr:spPr>
    </xdr:pic>
    <xdr:clientData/>
  </xdr:twoCellAnchor>
  <xdr:twoCellAnchor editAs="oneCell">
    <xdr:from>
      <xdr:col>27</xdr:col>
      <xdr:colOff>609600</xdr:colOff>
      <xdr:row>82</xdr:row>
      <xdr:rowOff>28573</xdr:rowOff>
    </xdr:from>
    <xdr:to>
      <xdr:col>36</xdr:col>
      <xdr:colOff>590550</xdr:colOff>
      <xdr:row>99</xdr:row>
      <xdr:rowOff>80402</xdr:rowOff>
    </xdr:to>
    <xdr:pic>
      <xdr:nvPicPr>
        <xdr:cNvPr id="10" name="图片 9">
          <a:extLst>
            <a:ext uri="{FF2B5EF4-FFF2-40B4-BE49-F238E27FC236}">
              <a16:creationId xmlns:a16="http://schemas.microsoft.com/office/drawing/2014/main" id="{CCCDC298-7EB5-4527-9012-F1F9C4F7657B}"/>
            </a:ext>
          </a:extLst>
        </xdr:cNvPr>
        <xdr:cNvPicPr>
          <a:picLocks noChangeAspect="1"/>
        </xdr:cNvPicPr>
      </xdr:nvPicPr>
      <xdr:blipFill>
        <a:blip xmlns:r="http://schemas.openxmlformats.org/officeDocument/2006/relationships" r:embed="rId9"/>
        <a:stretch>
          <a:fillRect/>
        </a:stretch>
      </xdr:blipFill>
      <xdr:spPr>
        <a:xfrm>
          <a:off x="20859750" y="14087473"/>
          <a:ext cx="6153150" cy="2966479"/>
        </a:xfrm>
        <a:prstGeom prst="rect">
          <a:avLst/>
        </a:prstGeom>
      </xdr:spPr>
    </xdr:pic>
    <xdr:clientData/>
  </xdr:twoCellAnchor>
  <xdr:twoCellAnchor editAs="oneCell">
    <xdr:from>
      <xdr:col>0</xdr:col>
      <xdr:colOff>0</xdr:colOff>
      <xdr:row>5</xdr:row>
      <xdr:rowOff>32186</xdr:rowOff>
    </xdr:from>
    <xdr:to>
      <xdr:col>15</xdr:col>
      <xdr:colOff>464611</xdr:colOff>
      <xdr:row>16</xdr:row>
      <xdr:rowOff>164547</xdr:rowOff>
    </xdr:to>
    <xdr:pic>
      <xdr:nvPicPr>
        <xdr:cNvPr id="11" name="图片 10">
          <a:extLst>
            <a:ext uri="{FF2B5EF4-FFF2-40B4-BE49-F238E27FC236}">
              <a16:creationId xmlns:a16="http://schemas.microsoft.com/office/drawing/2014/main" id="{BCA8A8A3-E4C3-FDC0-D015-7ABF70C2775D}"/>
            </a:ext>
          </a:extLst>
        </xdr:cNvPr>
        <xdr:cNvPicPr>
          <a:picLocks noChangeAspect="1"/>
        </xdr:cNvPicPr>
      </xdr:nvPicPr>
      <xdr:blipFill>
        <a:blip xmlns:r="http://schemas.openxmlformats.org/officeDocument/2006/relationships" r:embed="rId10"/>
        <a:stretch>
          <a:fillRect/>
        </a:stretch>
      </xdr:blipFill>
      <xdr:spPr>
        <a:xfrm>
          <a:off x="0" y="889436"/>
          <a:ext cx="13170961" cy="2018311"/>
        </a:xfrm>
        <a:prstGeom prst="rect">
          <a:avLst/>
        </a:prstGeom>
      </xdr:spPr>
    </xdr:pic>
    <xdr:clientData/>
  </xdr:twoCellAnchor>
  <xdr:twoCellAnchor editAs="oneCell">
    <xdr:from>
      <xdr:col>16</xdr:col>
      <xdr:colOff>473289</xdr:colOff>
      <xdr:row>5</xdr:row>
      <xdr:rowOff>38100</xdr:rowOff>
    </xdr:from>
    <xdr:to>
      <xdr:col>20</xdr:col>
      <xdr:colOff>332959</xdr:colOff>
      <xdr:row>17</xdr:row>
      <xdr:rowOff>31673</xdr:rowOff>
    </xdr:to>
    <xdr:pic>
      <xdr:nvPicPr>
        <xdr:cNvPr id="12" name="图片 11">
          <a:extLst>
            <a:ext uri="{FF2B5EF4-FFF2-40B4-BE49-F238E27FC236}">
              <a16:creationId xmlns:a16="http://schemas.microsoft.com/office/drawing/2014/main" id="{A0ED76FF-6A18-99A8-E887-BA5F965D8DCD}"/>
            </a:ext>
          </a:extLst>
        </xdr:cNvPr>
        <xdr:cNvPicPr>
          <a:picLocks noChangeAspect="1"/>
        </xdr:cNvPicPr>
      </xdr:nvPicPr>
      <xdr:blipFill>
        <a:blip xmlns:r="http://schemas.openxmlformats.org/officeDocument/2006/relationships" r:embed="rId11"/>
        <a:stretch>
          <a:fillRect/>
        </a:stretch>
      </xdr:blipFill>
      <xdr:spPr>
        <a:xfrm>
          <a:off x="13179639" y="895350"/>
          <a:ext cx="2602870" cy="2050973"/>
        </a:xfrm>
        <a:prstGeom prst="rect">
          <a:avLst/>
        </a:prstGeom>
      </xdr:spPr>
    </xdr:pic>
    <xdr:clientData/>
  </xdr:twoCellAnchor>
  <xdr:twoCellAnchor editAs="oneCell">
    <xdr:from>
      <xdr:col>0</xdr:col>
      <xdr:colOff>57150</xdr:colOff>
      <xdr:row>55</xdr:row>
      <xdr:rowOff>85725</xdr:rowOff>
    </xdr:from>
    <xdr:to>
      <xdr:col>3</xdr:col>
      <xdr:colOff>76200</xdr:colOff>
      <xdr:row>71</xdr:row>
      <xdr:rowOff>127664</xdr:rowOff>
    </xdr:to>
    <xdr:pic>
      <xdr:nvPicPr>
        <xdr:cNvPr id="13" name="图片 1">
          <a:extLst>
            <a:ext uri="{FF2B5EF4-FFF2-40B4-BE49-F238E27FC236}">
              <a16:creationId xmlns:a16="http://schemas.microsoft.com/office/drawing/2014/main" id="{712E468B-7661-437A-A000-C6FD3FCFEEC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7150" y="9515475"/>
          <a:ext cx="3857625" cy="278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76200</xdr:rowOff>
    </xdr:from>
    <xdr:to>
      <xdr:col>9</xdr:col>
      <xdr:colOff>590549</xdr:colOff>
      <xdr:row>54</xdr:row>
      <xdr:rowOff>42734</xdr:rowOff>
    </xdr:to>
    <xdr:pic>
      <xdr:nvPicPr>
        <xdr:cNvPr id="14" name="图片 13">
          <a:extLst>
            <a:ext uri="{FF2B5EF4-FFF2-40B4-BE49-F238E27FC236}">
              <a16:creationId xmlns:a16="http://schemas.microsoft.com/office/drawing/2014/main" id="{370CC7F9-1A0A-EB33-851C-F50A09CE7282}"/>
            </a:ext>
          </a:extLst>
        </xdr:cNvPr>
        <xdr:cNvPicPr>
          <a:picLocks noChangeAspect="1"/>
        </xdr:cNvPicPr>
      </xdr:nvPicPr>
      <xdr:blipFill>
        <a:blip xmlns:r="http://schemas.openxmlformats.org/officeDocument/2006/relationships" r:embed="rId13"/>
        <a:stretch>
          <a:fillRect/>
        </a:stretch>
      </xdr:blipFill>
      <xdr:spPr>
        <a:xfrm>
          <a:off x="0" y="2990850"/>
          <a:ext cx="8543924" cy="6310184"/>
        </a:xfrm>
        <a:prstGeom prst="rect">
          <a:avLst/>
        </a:prstGeom>
      </xdr:spPr>
    </xdr:pic>
    <xdr:clientData/>
  </xdr:twoCellAnchor>
  <xdr:twoCellAnchor editAs="oneCell">
    <xdr:from>
      <xdr:col>5</xdr:col>
      <xdr:colOff>361951</xdr:colOff>
      <xdr:row>74</xdr:row>
      <xdr:rowOff>152401</xdr:rowOff>
    </xdr:from>
    <xdr:to>
      <xdr:col>14</xdr:col>
      <xdr:colOff>504825</xdr:colOff>
      <xdr:row>101</xdr:row>
      <xdr:rowOff>49288</xdr:rowOff>
    </xdr:to>
    <xdr:pic>
      <xdr:nvPicPr>
        <xdr:cNvPr id="15" name="图片 14">
          <a:extLst>
            <a:ext uri="{FF2B5EF4-FFF2-40B4-BE49-F238E27FC236}">
              <a16:creationId xmlns:a16="http://schemas.microsoft.com/office/drawing/2014/main" id="{C3ECFA70-866B-0FA8-9A36-E48287D82F4D}"/>
            </a:ext>
          </a:extLst>
        </xdr:cNvPr>
        <xdr:cNvPicPr>
          <a:picLocks noChangeAspect="1"/>
        </xdr:cNvPicPr>
      </xdr:nvPicPr>
      <xdr:blipFill>
        <a:blip xmlns:r="http://schemas.openxmlformats.org/officeDocument/2006/relationships" r:embed="rId14"/>
        <a:stretch>
          <a:fillRect/>
        </a:stretch>
      </xdr:blipFill>
      <xdr:spPr>
        <a:xfrm>
          <a:off x="5572126" y="12839701"/>
          <a:ext cx="6953249" cy="4526037"/>
        </a:xfrm>
        <a:prstGeom prst="rect">
          <a:avLst/>
        </a:prstGeom>
      </xdr:spPr>
    </xdr:pic>
    <xdr:clientData/>
  </xdr:twoCellAnchor>
  <xdr:twoCellAnchor editAs="oneCell">
    <xdr:from>
      <xdr:col>3</xdr:col>
      <xdr:colOff>190500</xdr:colOff>
      <xdr:row>55</xdr:row>
      <xdr:rowOff>104775</xdr:rowOff>
    </xdr:from>
    <xdr:to>
      <xdr:col>10</xdr:col>
      <xdr:colOff>201288</xdr:colOff>
      <xdr:row>70</xdr:row>
      <xdr:rowOff>104775</xdr:rowOff>
    </xdr:to>
    <xdr:pic>
      <xdr:nvPicPr>
        <xdr:cNvPr id="16" name="图片 15">
          <a:extLst>
            <a:ext uri="{FF2B5EF4-FFF2-40B4-BE49-F238E27FC236}">
              <a16:creationId xmlns:a16="http://schemas.microsoft.com/office/drawing/2014/main" id="{E0C907E3-2BC5-06BE-4AA5-D027CF495715}"/>
            </a:ext>
          </a:extLst>
        </xdr:cNvPr>
        <xdr:cNvPicPr>
          <a:picLocks noChangeAspect="1"/>
        </xdr:cNvPicPr>
      </xdr:nvPicPr>
      <xdr:blipFill>
        <a:blip xmlns:r="http://schemas.openxmlformats.org/officeDocument/2006/relationships" r:embed="rId15"/>
        <a:stretch>
          <a:fillRect/>
        </a:stretch>
      </xdr:blipFill>
      <xdr:spPr>
        <a:xfrm>
          <a:off x="4029075" y="9534525"/>
          <a:ext cx="4811388" cy="2571750"/>
        </a:xfrm>
        <a:prstGeom prst="rect">
          <a:avLst/>
        </a:prstGeom>
      </xdr:spPr>
    </xdr:pic>
    <xdr:clientData/>
  </xdr:twoCellAnchor>
  <xdr:twoCellAnchor editAs="oneCell">
    <xdr:from>
      <xdr:col>0</xdr:col>
      <xdr:colOff>333375</xdr:colOff>
      <xdr:row>73</xdr:row>
      <xdr:rowOff>19050</xdr:rowOff>
    </xdr:from>
    <xdr:to>
      <xdr:col>5</xdr:col>
      <xdr:colOff>104775</xdr:colOff>
      <xdr:row>99</xdr:row>
      <xdr:rowOff>113914</xdr:rowOff>
    </xdr:to>
    <xdr:pic>
      <xdr:nvPicPr>
        <xdr:cNvPr id="17" name="图片 16">
          <a:extLst>
            <a:ext uri="{FF2B5EF4-FFF2-40B4-BE49-F238E27FC236}">
              <a16:creationId xmlns:a16="http://schemas.microsoft.com/office/drawing/2014/main" id="{1A6FF2C8-C53F-FE7C-2A82-CD0AD0A03901}"/>
            </a:ext>
          </a:extLst>
        </xdr:cNvPr>
        <xdr:cNvPicPr>
          <a:picLocks noChangeAspect="1"/>
        </xdr:cNvPicPr>
      </xdr:nvPicPr>
      <xdr:blipFill>
        <a:blip xmlns:r="http://schemas.openxmlformats.org/officeDocument/2006/relationships" r:embed="rId16"/>
        <a:stretch>
          <a:fillRect/>
        </a:stretch>
      </xdr:blipFill>
      <xdr:spPr>
        <a:xfrm>
          <a:off x="333375" y="12534900"/>
          <a:ext cx="4981575" cy="4552564"/>
        </a:xfrm>
        <a:prstGeom prst="rect">
          <a:avLst/>
        </a:prstGeom>
      </xdr:spPr>
    </xdr:pic>
    <xdr:clientData/>
  </xdr:twoCellAnchor>
  <xdr:twoCellAnchor editAs="oneCell">
    <xdr:from>
      <xdr:col>3</xdr:col>
      <xdr:colOff>323850</xdr:colOff>
      <xdr:row>102</xdr:row>
      <xdr:rowOff>95250</xdr:rowOff>
    </xdr:from>
    <xdr:to>
      <xdr:col>9</xdr:col>
      <xdr:colOff>342383</xdr:colOff>
      <xdr:row>153</xdr:row>
      <xdr:rowOff>141776</xdr:rowOff>
    </xdr:to>
    <xdr:pic>
      <xdr:nvPicPr>
        <xdr:cNvPr id="18" name="图片 17">
          <a:extLst>
            <a:ext uri="{FF2B5EF4-FFF2-40B4-BE49-F238E27FC236}">
              <a16:creationId xmlns:a16="http://schemas.microsoft.com/office/drawing/2014/main" id="{F73D9C3E-53B5-E3FC-7806-5E295D571ADC}"/>
            </a:ext>
          </a:extLst>
        </xdr:cNvPr>
        <xdr:cNvPicPr>
          <a:picLocks noChangeAspect="1"/>
        </xdr:cNvPicPr>
      </xdr:nvPicPr>
      <xdr:blipFill>
        <a:blip xmlns:r="http://schemas.openxmlformats.org/officeDocument/2006/relationships" r:embed="rId17"/>
        <a:stretch>
          <a:fillRect/>
        </a:stretch>
      </xdr:blipFill>
      <xdr:spPr>
        <a:xfrm>
          <a:off x="4162425" y="17583150"/>
          <a:ext cx="4133333" cy="8790476"/>
        </a:xfrm>
        <a:prstGeom prst="rect">
          <a:avLst/>
        </a:prstGeom>
      </xdr:spPr>
    </xdr:pic>
    <xdr:clientData/>
  </xdr:twoCellAnchor>
  <xdr:twoCellAnchor editAs="oneCell">
    <xdr:from>
      <xdr:col>9</xdr:col>
      <xdr:colOff>390525</xdr:colOff>
      <xdr:row>102</xdr:row>
      <xdr:rowOff>104775</xdr:rowOff>
    </xdr:from>
    <xdr:to>
      <xdr:col>14</xdr:col>
      <xdr:colOff>361445</xdr:colOff>
      <xdr:row>153</xdr:row>
      <xdr:rowOff>141777</xdr:rowOff>
    </xdr:to>
    <xdr:pic>
      <xdr:nvPicPr>
        <xdr:cNvPr id="19" name="图片 18">
          <a:extLst>
            <a:ext uri="{FF2B5EF4-FFF2-40B4-BE49-F238E27FC236}">
              <a16:creationId xmlns:a16="http://schemas.microsoft.com/office/drawing/2014/main" id="{0A9B7178-F551-6C6C-88D1-9669AF3D5793}"/>
            </a:ext>
          </a:extLst>
        </xdr:cNvPr>
        <xdr:cNvPicPr>
          <a:picLocks noChangeAspect="1"/>
        </xdr:cNvPicPr>
      </xdr:nvPicPr>
      <xdr:blipFill>
        <a:blip xmlns:r="http://schemas.openxmlformats.org/officeDocument/2006/relationships" r:embed="rId18"/>
        <a:stretch>
          <a:fillRect/>
        </a:stretch>
      </xdr:blipFill>
      <xdr:spPr>
        <a:xfrm>
          <a:off x="8343900" y="17592675"/>
          <a:ext cx="4038095" cy="8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估价对象为北京市房地产，为所有。根据《国有土地使用证》[]，估价对象（分摊）出让国有建设用地使用权面积为0平方米，建筑面积为143.31平方米。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估价对象为北京市房地产,为开发建设的，该项目尚在开发建设中。根据《国有土地使用证》[]，估价对象（分摊）出让国有建设用地使用权面积为0平方米，规划建筑面积为143.31平方米。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2025年4月8日（评估专业人员实地查勘之日）</v>
      </c>
    </row>
    <row r="13" spans="1:2">
      <c r="A13" s="1117" t="s">
        <v>529</v>
      </c>
      <c r="B13" s="1118"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本次评估采用的主估价方法为比较法和收益法。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143.31</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3336</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3337</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3338</v>
      </c>
    </row>
    <row r="8" spans="1:23">
      <c r="A8" s="1439" t="s">
        <v>1026</v>
      </c>
      <c r="B8" s="1439" t="s">
        <v>1027</v>
      </c>
      <c r="C8" s="1440" t="s">
        <v>319</v>
      </c>
      <c r="F8" s="1441" t="s">
        <v>1028</v>
      </c>
      <c r="H8" s="1441" t="s">
        <v>2573</v>
      </c>
      <c r="I8" s="1441" t="s">
        <v>3339</v>
      </c>
    </row>
    <row r="9" spans="1:23">
      <c r="A9" s="1439" t="s">
        <v>1029</v>
      </c>
      <c r="B9" s="1439" t="s">
        <v>1030</v>
      </c>
      <c r="C9" s="1440" t="s">
        <v>320</v>
      </c>
      <c r="F9" s="1441" t="s">
        <v>1031</v>
      </c>
      <c r="H9" s="1441"/>
      <c r="I9" s="1443" t="s">
        <v>3340</v>
      </c>
    </row>
    <row r="10" spans="1:23">
      <c r="A10" s="1439" t="s">
        <v>1032</v>
      </c>
      <c r="B10" s="1439" t="s">
        <v>1033</v>
      </c>
      <c r="C10" s="1440" t="s">
        <v>321</v>
      </c>
      <c r="F10" s="1441" t="s">
        <v>2574</v>
      </c>
      <c r="I10" s="1443" t="s">
        <v>3341</v>
      </c>
    </row>
    <row r="11" spans="1:23">
      <c r="A11" s="1439" t="s">
        <v>1034</v>
      </c>
      <c r="B11" s="1439" t="s">
        <v>1035</v>
      </c>
      <c r="C11" s="1440" t="s">
        <v>322</v>
      </c>
      <c r="F11" s="1441" t="s">
        <v>13</v>
      </c>
      <c r="I11" s="1443" t="s">
        <v>3342</v>
      </c>
    </row>
    <row r="12" spans="1:23">
      <c r="A12" s="1439" t="s">
        <v>1036</v>
      </c>
      <c r="B12" s="1439" t="s">
        <v>1037</v>
      </c>
      <c r="C12" s="1440" t="s">
        <v>323</v>
      </c>
      <c r="I12" s="1443" t="s">
        <v>3343</v>
      </c>
    </row>
    <row r="13" spans="1:23">
      <c r="A13" s="1439" t="s">
        <v>1038</v>
      </c>
      <c r="B13" s="1439" t="s">
        <v>1039</v>
      </c>
      <c r="C13" s="1440" t="s">
        <v>324</v>
      </c>
      <c r="I13" s="1443" t="s">
        <v>3344</v>
      </c>
    </row>
    <row r="14" spans="1:23">
      <c r="A14" s="1439" t="s">
        <v>1040</v>
      </c>
      <c r="B14" s="1439" t="s">
        <v>1041</v>
      </c>
      <c r="C14" s="1441" t="s">
        <v>13</v>
      </c>
      <c r="I14" s="1443" t="s">
        <v>3345</v>
      </c>
    </row>
    <row r="15" spans="1:23">
      <c r="A15" s="1439" t="s">
        <v>1042</v>
      </c>
      <c r="B15" s="1439" t="s">
        <v>1043</v>
      </c>
      <c r="C15" s="1440"/>
      <c r="I15" s="1443" t="s">
        <v>3346</v>
      </c>
    </row>
    <row r="16" spans="1:23">
      <c r="A16" s="1439" t="s">
        <v>1044</v>
      </c>
      <c r="B16" s="1439" t="s">
        <v>312</v>
      </c>
      <c r="C16" s="1440"/>
    </row>
    <row r="17" spans="1:3">
      <c r="A17" s="1439" t="s">
        <v>1045</v>
      </c>
      <c r="B17" s="1439" t="s">
        <v>2289</v>
      </c>
      <c r="C17" s="1440"/>
    </row>
    <row r="18" spans="1:3">
      <c r="A18" s="1439" t="s">
        <v>1046</v>
      </c>
      <c r="B18" s="1439" t="s">
        <v>2429</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5" t="s">
        <v>385</v>
      </c>
      <c r="C54" s="1443" t="s">
        <v>583</v>
      </c>
    </row>
    <row r="55" spans="1:4">
      <c r="A55" s="3211"/>
      <c r="B55" s="1445" t="s">
        <v>386</v>
      </c>
      <c r="C55" s="1443" t="s">
        <v>584</v>
      </c>
    </row>
    <row r="56" spans="1:4">
      <c r="A56" s="3211"/>
      <c r="B56" s="1445" t="s">
        <v>387</v>
      </c>
      <c r="C56" s="1443" t="s">
        <v>588</v>
      </c>
    </row>
    <row r="57" spans="1:4">
      <c r="A57" s="321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2496</v>
      </c>
      <c r="B1" s="2753"/>
      <c r="C1" s="2753"/>
      <c r="D1" s="2753"/>
      <c r="E1" s="2753"/>
      <c r="F1" s="2754"/>
      <c r="I1" s="3131" t="s">
        <v>2589</v>
      </c>
      <c r="J1" s="2779"/>
      <c r="K1" s="2779"/>
      <c r="L1" s="2779"/>
      <c r="M1" s="2779"/>
      <c r="N1" s="2964"/>
      <c r="O1" s="2964"/>
      <c r="P1" s="2964"/>
      <c r="Q1" s="2964"/>
      <c r="R1" s="2964"/>
    </row>
    <row r="2" spans="1:18">
      <c r="A2" s="2756"/>
      <c r="B2" s="2757"/>
      <c r="C2" s="2757"/>
      <c r="D2" s="2757"/>
      <c r="E2" s="2757"/>
      <c r="F2" s="2758"/>
      <c r="I2" s="3212" t="s">
        <v>2576</v>
      </c>
      <c r="J2" s="3212"/>
      <c r="K2" s="3212"/>
      <c r="L2" s="3212"/>
      <c r="M2" s="3212"/>
      <c r="N2" s="3212"/>
      <c r="O2" s="3212"/>
      <c r="P2" s="3212"/>
      <c r="Q2" s="3212"/>
      <c r="R2" s="3212"/>
    </row>
    <row r="3" spans="1:18">
      <c r="A3" s="2759" t="s">
        <v>2497</v>
      </c>
      <c r="B3" s="2760">
        <f>项目基本情况!D3</f>
        <v>45755</v>
      </c>
      <c r="C3" s="2762"/>
      <c r="D3" s="2762"/>
      <c r="E3" s="2762"/>
      <c r="F3" s="2758"/>
      <c r="I3" s="2774"/>
      <c r="J3" s="2774" t="s">
        <v>2580</v>
      </c>
      <c r="K3" s="2774" t="s">
        <v>2581</v>
      </c>
      <c r="L3" s="2774" t="s">
        <v>2582</v>
      </c>
      <c r="M3" s="2774" t="s">
        <v>2583</v>
      </c>
      <c r="N3" s="3132" t="s">
        <v>2584</v>
      </c>
      <c r="O3" s="3132" t="s">
        <v>2585</v>
      </c>
      <c r="P3" s="3132" t="s">
        <v>2586</v>
      </c>
      <c r="Q3" s="3132" t="s">
        <v>2587</v>
      </c>
      <c r="R3" s="3132" t="s">
        <v>2588</v>
      </c>
    </row>
    <row r="4" spans="1:18">
      <c r="A4" s="2759" t="s">
        <v>2498</v>
      </c>
      <c r="B4" s="2762" t="s">
        <v>2499</v>
      </c>
      <c r="C4" s="2762" t="s">
        <v>2500</v>
      </c>
      <c r="D4" s="2762" t="s">
        <v>2501</v>
      </c>
      <c r="E4" s="2762" t="s">
        <v>2502</v>
      </c>
      <c r="F4" s="2758"/>
      <c r="I4" s="2774" t="s">
        <v>2577</v>
      </c>
      <c r="J4" s="2774">
        <v>80</v>
      </c>
      <c r="K4" s="2774">
        <v>70</v>
      </c>
      <c r="L4" s="2774">
        <v>20</v>
      </c>
      <c r="M4" s="2774">
        <v>30</v>
      </c>
      <c r="N4" s="2762">
        <v>45</v>
      </c>
      <c r="O4" s="2762">
        <v>60</v>
      </c>
      <c r="P4" s="2762">
        <v>50</v>
      </c>
      <c r="Q4" s="2762">
        <v>20</v>
      </c>
      <c r="R4" s="2762">
        <v>375</v>
      </c>
    </row>
    <row r="5" spans="1:18">
      <c r="A5" s="2763">
        <v>40</v>
      </c>
      <c r="B5" s="2760">
        <v>46375</v>
      </c>
      <c r="C5" s="2762">
        <f>ROUNDDOWN(MIN((B5-B3)/365,A5),2)</f>
        <v>1.69</v>
      </c>
      <c r="D5" s="2764">
        <f>IF(ISERROR(ROUND(POWER(1+E5,A5-C5)*(POWER(1+E5,C5)-1)/(POWER(1+E5,A5)-1),3)),0,ROUND(POWER(1+E5,A5-C5)*(POWER(1+E5,C5)-1)/(POWER(1+E5,A5)-1),4))</f>
        <v>8.1000000000000003E-2</v>
      </c>
      <c r="E5" s="2765">
        <v>0.04</v>
      </c>
      <c r="F5" s="2758"/>
      <c r="I5" s="2774" t="s">
        <v>2578</v>
      </c>
      <c r="J5" s="2774">
        <v>70</v>
      </c>
      <c r="K5" s="2774">
        <v>60</v>
      </c>
      <c r="L5" s="2774">
        <v>15</v>
      </c>
      <c r="M5" s="2774">
        <v>25</v>
      </c>
      <c r="N5" s="2762">
        <v>40</v>
      </c>
      <c r="O5" s="2762">
        <v>50</v>
      </c>
      <c r="P5" s="2762">
        <v>40</v>
      </c>
      <c r="Q5" s="2762">
        <v>15</v>
      </c>
      <c r="R5" s="2762">
        <v>315</v>
      </c>
    </row>
    <row r="6" spans="1:18">
      <c r="A6" s="2763">
        <v>50</v>
      </c>
      <c r="B6" s="2760">
        <v>50028</v>
      </c>
      <c r="C6" s="2762">
        <f>ROUNDDOWN(MIN((B6-B3)/365,A6),2)</f>
        <v>11.7</v>
      </c>
      <c r="D6" s="2764">
        <f>IF(ISERROR(ROUND(POWER(1+E6,A6-C6)*(POWER(1+E6,C6)-1)/(POWER(1+E6,A6)-1),3)),0,ROUND(POWER(1+E6,A6-C6)*(POWER(1+E6,C6)-1)/(POWER(1+E6,A6)-1),4))</f>
        <v>0.42830000000000001</v>
      </c>
      <c r="E6" s="2765">
        <v>0.04</v>
      </c>
      <c r="F6" s="2758"/>
      <c r="I6" s="2774" t="s">
        <v>2579</v>
      </c>
      <c r="J6" s="2774">
        <v>60</v>
      </c>
      <c r="K6" s="2774">
        <v>50</v>
      </c>
      <c r="L6" s="2774">
        <v>10</v>
      </c>
      <c r="M6" s="2774">
        <v>20</v>
      </c>
      <c r="N6" s="2762">
        <v>35</v>
      </c>
      <c r="O6" s="2762">
        <v>40</v>
      </c>
      <c r="P6" s="2762">
        <v>30</v>
      </c>
      <c r="Q6" s="2762">
        <v>10</v>
      </c>
      <c r="R6" s="2762">
        <v>255</v>
      </c>
    </row>
    <row r="7" spans="1:18">
      <c r="A7" s="2763">
        <v>70</v>
      </c>
      <c r="B7" s="2760">
        <v>57333</v>
      </c>
      <c r="C7" s="2762">
        <f>ROUNDDOWN(MIN((B7-B3)/365,A7),2)</f>
        <v>31.72</v>
      </c>
      <c r="D7" s="2764">
        <f>IF(ISERROR(ROUND(POWER(1+E7,A7-C7)*(POWER(1+E7,C7)-1)/(POWER(1+E7,A7)-1),3)),0,ROUND(POWER(1+E7,A7-C7)*(POWER(1+E7,C7)-1)/(POWER(1+E7,A7)-1),4))</f>
        <v>0.76060000000000005</v>
      </c>
      <c r="E7" s="2765">
        <v>0.04</v>
      </c>
      <c r="F7" s="2758"/>
    </row>
    <row r="8" spans="1:18">
      <c r="A8" s="2756"/>
      <c r="B8" s="2757"/>
      <c r="C8" s="2757"/>
      <c r="D8" s="2757"/>
      <c r="E8" s="2757"/>
      <c r="F8" s="2758"/>
    </row>
    <row r="9" spans="1:18">
      <c r="A9" s="2759" t="s">
        <v>2503</v>
      </c>
      <c r="B9" s="2762"/>
      <c r="C9" s="2762"/>
      <c r="D9" s="2762"/>
      <c r="E9" s="2762"/>
      <c r="F9" s="2766"/>
    </row>
    <row r="10" spans="1:18">
      <c r="A10" s="2759" t="s">
        <v>2504</v>
      </c>
      <c r="B10" s="2762"/>
      <c r="C10" s="2762"/>
      <c r="D10" s="2762" t="s">
        <v>2502</v>
      </c>
      <c r="E10" s="2762"/>
      <c r="F10" s="2766" t="s">
        <v>2501</v>
      </c>
    </row>
    <row r="11" spans="1:18">
      <c r="A11" s="2759" t="s">
        <v>2505</v>
      </c>
      <c r="B11" s="2767">
        <v>70</v>
      </c>
      <c r="C11" s="2762" t="s">
        <v>2506</v>
      </c>
      <c r="D11" s="2767">
        <v>4.4999999999999998E-2</v>
      </c>
      <c r="E11" s="2762" t="s">
        <v>2507</v>
      </c>
      <c r="F11" s="2768">
        <f>ROUND(1-(1/(POWER(1+D11,B11))),4)</f>
        <v>0.95409999999999995</v>
      </c>
    </row>
    <row r="12" spans="1:18">
      <c r="A12" s="2759" t="s">
        <v>2508</v>
      </c>
      <c r="B12" s="2767">
        <v>40</v>
      </c>
      <c r="C12" s="2762" t="s">
        <v>2509</v>
      </c>
      <c r="D12" s="2767">
        <v>4.4999999999999998E-2</v>
      </c>
      <c r="E12" s="2762" t="s">
        <v>2510</v>
      </c>
      <c r="F12" s="2768">
        <f>ROUND(1-(1/(POWER(1+D12,B12))),4)</f>
        <v>0.82809999999999995</v>
      </c>
    </row>
    <row r="13" spans="1:18">
      <c r="A13" s="2759" t="s">
        <v>2511</v>
      </c>
      <c r="B13" s="2762"/>
      <c r="C13" s="2762"/>
      <c r="D13" s="2757"/>
      <c r="E13" s="2757"/>
      <c r="F13" s="2758"/>
    </row>
    <row r="14" spans="1:18">
      <c r="A14" s="2759" t="s">
        <v>2512</v>
      </c>
      <c r="B14" s="2767">
        <v>5000</v>
      </c>
      <c r="C14" s="2761"/>
      <c r="D14" s="2757"/>
      <c r="E14" s="2757"/>
      <c r="F14" s="2758"/>
    </row>
    <row r="15" spans="1:18">
      <c r="A15" s="2759" t="s">
        <v>2513</v>
      </c>
      <c r="B15" s="2762">
        <f>ROUND(B14*F12/F11,2)</f>
        <v>4339.6899999999996</v>
      </c>
      <c r="C15" s="2762">
        <f>ROUND(F12/F11,4)</f>
        <v>0.8679</v>
      </c>
      <c r="D15" s="2757"/>
      <c r="E15" s="2757"/>
      <c r="F15" s="2758"/>
    </row>
    <row r="16" spans="1:18">
      <c r="A16" s="2759" t="s">
        <v>2514</v>
      </c>
      <c r="B16" s="2762"/>
      <c r="C16" s="2762"/>
      <c r="D16" s="2757"/>
      <c r="E16" s="2757"/>
      <c r="F16" s="2758"/>
    </row>
    <row r="17" spans="1:14">
      <c r="A17" s="2759" t="s">
        <v>2513</v>
      </c>
      <c r="B17" s="2767">
        <v>4810</v>
      </c>
      <c r="C17" s="2761"/>
      <c r="D17" s="2757"/>
      <c r="E17" s="2757"/>
      <c r="F17" s="2758"/>
    </row>
    <row r="18" spans="1:14" ht="14.25" thickBot="1">
      <c r="A18" s="2769" t="s">
        <v>2512</v>
      </c>
      <c r="B18" s="2770">
        <f>ROUND(B17*F11/F12,2)</f>
        <v>5541.87</v>
      </c>
      <c r="C18" s="2770">
        <f>ROUND(F11/F12,4)</f>
        <v>1.1521999999999999</v>
      </c>
      <c r="D18" s="2771"/>
      <c r="E18" s="2771"/>
      <c r="F18" s="2772"/>
    </row>
    <row r="19" spans="1:14" ht="14.25" thickBot="1"/>
    <row r="20" spans="1:14" s="2805" customFormat="1" ht="14.25" thickTop="1">
      <c r="A20" s="2802" t="s">
        <v>2515</v>
      </c>
      <c r="B20" s="2803"/>
      <c r="C20" s="2803"/>
      <c r="D20" s="2803"/>
      <c r="E20" s="2803"/>
      <c r="F20" s="2803"/>
      <c r="G20" s="2804"/>
      <c r="I20" s="2806" t="s">
        <v>2560</v>
      </c>
      <c r="J20" s="2806" t="s">
        <v>2565</v>
      </c>
      <c r="K20" s="2806"/>
      <c r="L20" s="2806"/>
      <c r="M20" s="2806"/>
    </row>
    <row r="21" spans="1:14">
      <c r="A21" s="2773"/>
      <c r="B21" s="2774" t="s">
        <v>2516</v>
      </c>
      <c r="C21" s="2774" t="s">
        <v>2517</v>
      </c>
      <c r="D21" s="2774" t="s">
        <v>2518</v>
      </c>
      <c r="E21" s="2774" t="s">
        <v>2519</v>
      </c>
      <c r="F21" s="2774" t="s">
        <v>2520</v>
      </c>
      <c r="G21" s="2775" t="s">
        <v>2521</v>
      </c>
      <c r="I21" s="2796">
        <v>5</v>
      </c>
      <c r="J21" s="2796">
        <v>54.2</v>
      </c>
    </row>
    <row r="22" spans="1:14">
      <c r="A22" s="2773" t="s">
        <v>2522</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2523</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2563</v>
      </c>
      <c r="N23" s="3149" t="s">
        <v>2564</v>
      </c>
    </row>
    <row r="24" spans="1:14">
      <c r="A24" s="2773" t="s">
        <v>2524</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2562</v>
      </c>
      <c r="N24" s="3149">
        <v>10</v>
      </c>
    </row>
    <row r="25" spans="1:14">
      <c r="A25" s="2773" t="s">
        <v>2525</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2566</v>
      </c>
      <c r="N25" s="3149">
        <v>8</v>
      </c>
    </row>
    <row r="26" spans="1:14">
      <c r="A26" s="2778"/>
      <c r="B26" s="2779"/>
      <c r="C26" s="2779"/>
      <c r="D26" s="2779"/>
      <c r="E26" s="2779"/>
      <c r="F26" s="2779"/>
      <c r="G26" s="2780"/>
      <c r="I26" s="2796">
        <v>30</v>
      </c>
      <c r="J26" s="2796">
        <v>90.5</v>
      </c>
      <c r="K26" s="2796">
        <f t="shared" si="2"/>
        <v>4.2000000000000028</v>
      </c>
      <c r="L26" s="2796" t="s">
        <v>2567</v>
      </c>
      <c r="N26" s="3149">
        <v>5</v>
      </c>
    </row>
    <row r="27" spans="1:14">
      <c r="A27" s="2778" t="s">
        <v>2526</v>
      </c>
      <c r="B27" s="2779"/>
      <c r="C27" s="2779"/>
      <c r="D27" s="2779"/>
      <c r="E27" s="2779"/>
      <c r="F27" s="2779"/>
      <c r="G27" s="2780"/>
      <c r="I27" s="2796">
        <v>35</v>
      </c>
      <c r="J27" s="2796">
        <v>93.8</v>
      </c>
      <c r="K27" s="2796">
        <f t="shared" si="2"/>
        <v>3.2999999999999972</v>
      </c>
      <c r="L27" s="2796" t="s">
        <v>2568</v>
      </c>
      <c r="N27" s="3149">
        <v>3</v>
      </c>
    </row>
    <row r="28" spans="1:14">
      <c r="A28" s="2778" t="s">
        <v>2527</v>
      </c>
      <c r="B28" s="2779"/>
      <c r="C28" s="2779"/>
      <c r="D28" s="2779"/>
      <c r="E28" s="2779"/>
      <c r="F28" s="2779"/>
      <c r="G28" s="2780"/>
      <c r="I28" s="2796">
        <v>40</v>
      </c>
      <c r="J28" s="2796">
        <v>96.4</v>
      </c>
      <c r="K28" s="2796">
        <f t="shared" si="2"/>
        <v>2.6000000000000085</v>
      </c>
      <c r="L28" s="2796" t="s">
        <v>2569</v>
      </c>
      <c r="N28" s="3149">
        <v>2</v>
      </c>
    </row>
    <row r="29" spans="1:14">
      <c r="A29" s="2778" t="s">
        <v>2528</v>
      </c>
      <c r="B29" s="2779"/>
      <c r="C29" s="2779"/>
      <c r="D29" s="2779"/>
      <c r="E29" s="2779"/>
      <c r="F29" s="2779"/>
      <c r="G29" s="2780"/>
      <c r="I29" s="2796">
        <v>45</v>
      </c>
      <c r="J29" s="2796">
        <v>98.4</v>
      </c>
      <c r="K29" s="2796">
        <f t="shared" si="2"/>
        <v>2</v>
      </c>
    </row>
    <row r="30" spans="1:14">
      <c r="A30" s="2778" t="s">
        <v>2529</v>
      </c>
      <c r="B30" s="2779"/>
      <c r="C30" s="2779"/>
      <c r="D30" s="2779"/>
      <c r="E30" s="2779"/>
      <c r="F30" s="2779"/>
      <c r="G30" s="2780"/>
      <c r="I30" s="2796">
        <v>50</v>
      </c>
      <c r="J30" s="2796">
        <v>100</v>
      </c>
      <c r="K30" s="2796">
        <f t="shared" si="2"/>
        <v>1.5999999999999943</v>
      </c>
    </row>
    <row r="31" spans="1:14">
      <c r="A31" s="2778" t="s">
        <v>2530</v>
      </c>
      <c r="B31" s="2779"/>
      <c r="C31" s="2779"/>
      <c r="D31" s="2779"/>
      <c r="E31" s="2779"/>
      <c r="F31" s="2779"/>
      <c r="G31" s="2780"/>
      <c r="I31" s="2796" t="s">
        <v>2561</v>
      </c>
    </row>
    <row r="32" spans="1:14">
      <c r="A32" s="2778" t="s">
        <v>2531</v>
      </c>
      <c r="B32" s="2779"/>
      <c r="C32" s="2779"/>
      <c r="D32" s="2779"/>
      <c r="E32" s="2779"/>
      <c r="F32" s="2779"/>
      <c r="G32" s="2780"/>
    </row>
    <row r="33" spans="1:14">
      <c r="A33" s="2778" t="s">
        <v>2532</v>
      </c>
      <c r="B33" s="2779"/>
      <c r="C33" s="2779"/>
      <c r="D33" s="2779"/>
      <c r="E33" s="2779"/>
      <c r="F33" s="2779"/>
      <c r="G33" s="2780"/>
      <c r="I33" s="2796" t="s">
        <v>2560</v>
      </c>
      <c r="J33" s="2796" t="s">
        <v>2570</v>
      </c>
    </row>
    <row r="34" spans="1:14">
      <c r="A34" s="2778" t="s">
        <v>2533</v>
      </c>
      <c r="B34" s="2779"/>
      <c r="C34" s="2779"/>
      <c r="D34" s="2779"/>
      <c r="E34" s="2779"/>
      <c r="F34" s="2779"/>
      <c r="G34" s="2780"/>
      <c r="I34" s="2796">
        <v>5</v>
      </c>
      <c r="J34" s="2796">
        <v>55.1</v>
      </c>
    </row>
    <row r="35" spans="1:14">
      <c r="A35" s="2778" t="s">
        <v>2534</v>
      </c>
      <c r="B35" s="2779"/>
      <c r="C35" s="2779"/>
      <c r="D35" s="2779"/>
      <c r="E35" s="2779"/>
      <c r="F35" s="2779"/>
      <c r="G35" s="2780"/>
      <c r="I35" s="2796">
        <v>10</v>
      </c>
      <c r="J35" s="2796">
        <v>67</v>
      </c>
      <c r="K35" s="2796">
        <f>J35-J34</f>
        <v>11.899999999999999</v>
      </c>
    </row>
    <row r="36" spans="1:14">
      <c r="A36" s="2778" t="s">
        <v>2535</v>
      </c>
      <c r="B36" s="2779"/>
      <c r="C36" s="2779"/>
      <c r="D36" s="2779"/>
      <c r="E36" s="2779"/>
      <c r="F36" s="2779"/>
      <c r="G36" s="2780"/>
      <c r="I36" s="2796">
        <v>15</v>
      </c>
      <c r="J36" s="2796">
        <v>76.3</v>
      </c>
      <c r="K36" s="2796">
        <f t="shared" ref="K36:K41" si="3">J36-J35</f>
        <v>9.2999999999999972</v>
      </c>
      <c r="L36" s="2796" t="s">
        <v>2563</v>
      </c>
      <c r="N36" s="3149" t="s">
        <v>2564</v>
      </c>
    </row>
    <row r="37" spans="1:14">
      <c r="A37" s="2778" t="s">
        <v>2536</v>
      </c>
      <c r="B37" s="2779"/>
      <c r="C37" s="2779"/>
      <c r="D37" s="2779"/>
      <c r="E37" s="2779"/>
      <c r="F37" s="2779"/>
      <c r="G37" s="2780"/>
      <c r="I37" s="2796">
        <v>20</v>
      </c>
      <c r="J37" s="2796">
        <v>83.6</v>
      </c>
      <c r="K37" s="2796">
        <f t="shared" si="3"/>
        <v>7.2999999999999972</v>
      </c>
      <c r="L37" s="2796" t="s">
        <v>2562</v>
      </c>
      <c r="N37" s="3149">
        <v>10</v>
      </c>
    </row>
    <row r="38" spans="1:14">
      <c r="A38" s="2778" t="s">
        <v>2537</v>
      </c>
      <c r="B38" s="2779"/>
      <c r="C38" s="2779"/>
      <c r="D38" s="2779"/>
      <c r="E38" s="2779"/>
      <c r="F38" s="2779"/>
      <c r="G38" s="2780"/>
      <c r="I38" s="2796">
        <v>25</v>
      </c>
      <c r="J38" s="2796">
        <v>89.3</v>
      </c>
      <c r="K38" s="2796">
        <f t="shared" si="3"/>
        <v>5.7000000000000028</v>
      </c>
      <c r="L38" s="2796" t="s">
        <v>2566</v>
      </c>
      <c r="N38" s="3149">
        <v>8</v>
      </c>
    </row>
    <row r="39" spans="1:14">
      <c r="A39" s="2778"/>
      <c r="B39" s="2779"/>
      <c r="C39" s="2779"/>
      <c r="D39" s="2779"/>
      <c r="E39" s="2779"/>
      <c r="F39" s="2779"/>
      <c r="G39" s="2780"/>
      <c r="I39" s="2796">
        <v>30</v>
      </c>
      <c r="J39" s="2796">
        <v>93.8</v>
      </c>
      <c r="K39" s="2796">
        <f t="shared" si="3"/>
        <v>4.5</v>
      </c>
      <c r="L39" s="2796" t="s">
        <v>2567</v>
      </c>
      <c r="N39" s="3149">
        <v>6</v>
      </c>
    </row>
    <row r="40" spans="1:14">
      <c r="A40" s="2781" t="s">
        <v>2538</v>
      </c>
      <c r="B40" s="2782"/>
      <c r="C40" s="2782"/>
      <c r="D40" s="2782"/>
      <c r="E40" s="2782"/>
      <c r="F40" s="2782"/>
      <c r="G40" s="2783"/>
      <c r="I40" s="2796">
        <v>35</v>
      </c>
      <c r="J40" s="2796">
        <v>97.2</v>
      </c>
      <c r="K40" s="2796">
        <f t="shared" si="3"/>
        <v>3.4000000000000057</v>
      </c>
      <c r="L40" s="2796" t="s">
        <v>2568</v>
      </c>
      <c r="N40" s="3149">
        <v>3</v>
      </c>
    </row>
    <row r="41" spans="1:14">
      <c r="A41" s="2784" t="s">
        <v>2539</v>
      </c>
      <c r="B41" s="2785" t="s">
        <v>2540</v>
      </c>
      <c r="C41" s="2786" t="s">
        <v>2541</v>
      </c>
      <c r="D41" s="2786" t="s">
        <v>2542</v>
      </c>
      <c r="E41" s="2787"/>
      <c r="F41" s="2788"/>
      <c r="G41" s="2789"/>
      <c r="I41" s="2796">
        <v>40</v>
      </c>
      <c r="J41" s="2796">
        <v>100</v>
      </c>
      <c r="K41" s="2796">
        <f t="shared" si="3"/>
        <v>2.7999999999999972</v>
      </c>
    </row>
    <row r="42" spans="1:14">
      <c r="A42" s="2784" t="s">
        <v>2543</v>
      </c>
      <c r="B42" s="2785" t="s">
        <v>2544</v>
      </c>
      <c r="C42" s="2786" t="s">
        <v>2545</v>
      </c>
      <c r="D42" s="2790" t="s">
        <v>2546</v>
      </c>
      <c r="E42" s="2782" t="s">
        <v>2547</v>
      </c>
      <c r="F42" s="2782"/>
      <c r="G42" s="2783"/>
    </row>
    <row r="43" spans="1:14">
      <c r="A43" s="2784" t="s">
        <v>2548</v>
      </c>
      <c r="B43" s="2785" t="s">
        <v>2549</v>
      </c>
      <c r="C43" s="2786" t="s">
        <v>2550</v>
      </c>
      <c r="D43" s="2786" t="s">
        <v>2551</v>
      </c>
      <c r="E43" s="2787" t="s">
        <v>2552</v>
      </c>
      <c r="F43" s="2788"/>
      <c r="G43" s="2789"/>
      <c r="I43" s="2796" t="s">
        <v>2560</v>
      </c>
      <c r="J43" s="2796" t="s">
        <v>2571</v>
      </c>
    </row>
    <row r="44" spans="1:14">
      <c r="A44" s="2784" t="s">
        <v>2553</v>
      </c>
      <c r="B44" s="2785" t="s">
        <v>2554</v>
      </c>
      <c r="C44" s="2786" t="s">
        <v>2555</v>
      </c>
      <c r="D44" s="2790">
        <v>0.5</v>
      </c>
      <c r="E44" s="2787" t="s">
        <v>2556</v>
      </c>
      <c r="F44" s="2788"/>
      <c r="G44" s="2789"/>
      <c r="I44" s="2796">
        <v>30</v>
      </c>
      <c r="J44" s="2796">
        <v>81.7</v>
      </c>
    </row>
    <row r="45" spans="1:14" ht="14.25" thickBot="1">
      <c r="A45" s="2791" t="s">
        <v>2557</v>
      </c>
      <c r="B45" s="2792" t="s">
        <v>2544</v>
      </c>
      <c r="C45" s="2793" t="s">
        <v>2544</v>
      </c>
      <c r="D45" s="2793" t="s">
        <v>2558</v>
      </c>
      <c r="E45" s="2794" t="s">
        <v>2559</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3383</v>
      </c>
    </row>
    <row r="50" spans="1:4">
      <c r="A50" s="3141" t="s">
        <v>3384</v>
      </c>
      <c r="B50" s="3141" t="s">
        <v>3385</v>
      </c>
      <c r="C50" s="3141" t="s">
        <v>3386</v>
      </c>
      <c r="D50" s="3141" t="s">
        <v>3387</v>
      </c>
    </row>
    <row r="51" spans="1:4">
      <c r="A51" s="3141" t="s">
        <v>3388</v>
      </c>
      <c r="B51" s="2761">
        <f>B52+B53</f>
        <v>15000</v>
      </c>
      <c r="C51" s="3142">
        <f>D51/B51</f>
        <v>2666.6666666666665</v>
      </c>
      <c r="D51" s="2761">
        <f>D52+D53</f>
        <v>40000000</v>
      </c>
    </row>
    <row r="52" spans="1:4">
      <c r="A52" s="3143" t="s">
        <v>3389</v>
      </c>
      <c r="B52" s="3144">
        <v>10000</v>
      </c>
      <c r="C52" s="3144">
        <v>1500</v>
      </c>
      <c r="D52" s="3145">
        <f>C52*B52</f>
        <v>15000000</v>
      </c>
    </row>
    <row r="53" spans="1:4">
      <c r="A53" s="3143" t="s">
        <v>3390</v>
      </c>
      <c r="B53" s="3144">
        <v>5000</v>
      </c>
      <c r="C53" s="3144">
        <v>5000</v>
      </c>
      <c r="D53" s="3145">
        <f>C53*B53</f>
        <v>25000000</v>
      </c>
    </row>
    <row r="54" spans="1:4">
      <c r="A54" s="3141" t="s">
        <v>3391</v>
      </c>
      <c r="B54" s="2761">
        <f>B51</f>
        <v>15000</v>
      </c>
      <c r="C54" s="2767">
        <v>700</v>
      </c>
      <c r="D54" s="2761">
        <f t="shared" ref="D54:D55" si="5">C54*B54</f>
        <v>10500000</v>
      </c>
    </row>
    <row r="55" spans="1:4">
      <c r="A55" s="3141" t="s">
        <v>3392</v>
      </c>
      <c r="B55" s="2761">
        <f>B51</f>
        <v>15000</v>
      </c>
      <c r="C55" s="2767">
        <v>1500</v>
      </c>
      <c r="D55" s="2761">
        <f t="shared" si="5"/>
        <v>22500000</v>
      </c>
    </row>
    <row r="56" spans="1:4">
      <c r="A56" s="3141" t="s">
        <v>3393</v>
      </c>
      <c r="B56" s="2761">
        <f>B51</f>
        <v>15000</v>
      </c>
      <c r="C56" s="3146">
        <f>C51+C54+C55</f>
        <v>4866.6666666666661</v>
      </c>
      <c r="D56" s="2761">
        <f>D51+D54+D55</f>
        <v>73000000</v>
      </c>
    </row>
    <row r="58" spans="1:4">
      <c r="A58" s="3141" t="s">
        <v>3394</v>
      </c>
      <c r="B58" s="3147">
        <v>0.05</v>
      </c>
      <c r="C58" s="2761">
        <f>C56*(1+B58)</f>
        <v>5110</v>
      </c>
      <c r="D58" s="2761">
        <f>D56*B58</f>
        <v>3650000</v>
      </c>
    </row>
    <row r="60" spans="1:4">
      <c r="A60" s="3141" t="s">
        <v>3395</v>
      </c>
      <c r="B60" s="2767">
        <v>3500</v>
      </c>
      <c r="C60" s="2767">
        <f>C53</f>
        <v>5000</v>
      </c>
      <c r="D60" s="2761">
        <f>C60*B60</f>
        <v>17500000</v>
      </c>
    </row>
    <row r="62" spans="1:4">
      <c r="A62" s="3141" t="s">
        <v>3396</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0" sqref="B10"/>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8" t="s">
        <v>2168</v>
      </c>
      <c r="B1" s="3213" t="str">
        <f>IF(B10="北京市","北京市",C10)&amp;F10&amp;IF(结果表!G1="在建","出让国有建设用地使用权及在建建筑物",IF(结果表!G1="土地","出让国有建设用地使用权",))&amp;B9&amp;"预评估"</f>
        <v>北京市预评估</v>
      </c>
      <c r="C1" s="3214"/>
      <c r="D1" s="3214"/>
      <c r="E1" s="3214"/>
      <c r="F1" s="3214"/>
      <c r="G1" s="3214"/>
      <c r="H1" s="3214"/>
      <c r="I1" s="3215"/>
      <c r="J1" s="2242"/>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9" t="s">
        <v>2169</v>
      </c>
      <c r="B2" s="121"/>
      <c r="D2" s="2444"/>
      <c r="E2" s="2437"/>
      <c r="F2" s="2437"/>
      <c r="G2" s="2438"/>
      <c r="H2" s="2438"/>
      <c r="I2" s="2438"/>
      <c r="J2" s="2242"/>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2" t="s">
        <v>2170</v>
      </c>
      <c r="B3" s="2182">
        <v>45755</v>
      </c>
      <c r="C3" s="2183" t="s">
        <v>2171</v>
      </c>
      <c r="D3" s="2182">
        <f>B3</f>
        <v>45755</v>
      </c>
      <c r="E3" s="2438"/>
      <c r="F3" s="2438"/>
      <c r="G3" s="2438"/>
      <c r="H3" s="2438"/>
      <c r="I3" s="2438"/>
      <c r="J3" s="2242"/>
      <c r="K3" s="2180"/>
      <c r="L3" s="2181"/>
      <c r="M3" s="2181"/>
      <c r="N3" s="2179"/>
      <c r="O3" s="1464"/>
      <c r="P3" s="2179"/>
      <c r="Q3" s="2179"/>
      <c r="R3" s="2179"/>
      <c r="S3" s="1559"/>
      <c r="T3" s="1616"/>
      <c r="U3" s="1616"/>
      <c r="V3" s="1616"/>
      <c r="W3" s="1616"/>
      <c r="X3" s="1616"/>
      <c r="Y3" s="1616"/>
      <c r="Z3" s="1616"/>
      <c r="AA3" s="1616"/>
      <c r="AB3" s="1616"/>
    </row>
    <row r="4" spans="1:30" ht="13.5" thickBot="1">
      <c r="A4" s="1025"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4"/>
      <c r="P4" s="2179"/>
      <c r="Q4" s="2179"/>
      <c r="R4" s="2179"/>
      <c r="S4" s="1559"/>
      <c r="T4" s="1616"/>
      <c r="U4" s="1616"/>
      <c r="V4" s="1616"/>
      <c r="W4" s="1616"/>
      <c r="X4" s="1616"/>
      <c r="Y4" s="1616"/>
      <c r="Z4" s="1616"/>
      <c r="AA4" s="1616"/>
      <c r="AB4" s="1616"/>
    </row>
    <row r="5" spans="1:30" ht="13.5" thickTop="1">
      <c r="A5" s="2187" t="s">
        <v>2173</v>
      </c>
      <c r="B5" s="2188"/>
      <c r="C5" s="2189"/>
      <c r="D5" s="2190"/>
      <c r="E5" s="2438"/>
      <c r="F5" s="2438"/>
      <c r="G5" s="2438"/>
      <c r="H5" s="2438"/>
      <c r="I5" s="2438"/>
      <c r="J5" s="2242"/>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2174</v>
      </c>
      <c r="B6" s="2192"/>
      <c r="C6" s="2193"/>
      <c r="D6" s="2194"/>
      <c r="E6" s="2437"/>
      <c r="F6" s="2438"/>
      <c r="G6" s="2438"/>
      <c r="H6" s="2438"/>
      <c r="I6" s="2438"/>
      <c r="J6" s="2242"/>
      <c r="K6" s="2397" t="str">
        <f>IF(COUNTIF(B6,"*上海银行*"),"上海银行","")</f>
        <v/>
      </c>
      <c r="L6" s="2395"/>
      <c r="M6" s="2395"/>
      <c r="N6" s="2242"/>
      <c r="O6" s="1668"/>
      <c r="P6" s="2242"/>
      <c r="Q6" s="2242"/>
      <c r="R6" s="2242"/>
    </row>
    <row r="7" spans="1:30">
      <c r="A7" s="2191" t="s">
        <v>2175</v>
      </c>
      <c r="B7" s="2195"/>
      <c r="C7" s="2193"/>
      <c r="D7" s="2194"/>
      <c r="E7" s="2437"/>
      <c r="F7" s="2438"/>
      <c r="G7" s="2438"/>
      <c r="H7" s="2438"/>
      <c r="I7" s="2438"/>
      <c r="J7" s="2242"/>
      <c r="K7" s="2398"/>
      <c r="L7" s="2395"/>
      <c r="M7" s="2395"/>
      <c r="N7" s="2242"/>
      <c r="O7" s="1668"/>
      <c r="P7" s="2242"/>
      <c r="Q7" s="2242"/>
      <c r="R7" s="2242"/>
    </row>
    <row r="8" spans="1:30">
      <c r="A8" s="2196" t="s">
        <v>2176</v>
      </c>
      <c r="B8" s="2197"/>
      <c r="C8" s="2198"/>
      <c r="D8" s="3216" t="s">
        <v>2177</v>
      </c>
      <c r="E8" s="2199"/>
      <c r="F8" s="2200"/>
      <c r="G8" s="2438"/>
      <c r="H8" s="2438"/>
      <c r="I8" s="2438"/>
      <c r="J8" s="2242"/>
      <c r="K8" s="2396"/>
      <c r="L8" s="2395"/>
      <c r="M8" s="2395"/>
      <c r="N8" s="2242"/>
      <c r="O8" s="1668"/>
      <c r="P8" s="2242"/>
      <c r="Q8" s="2242"/>
      <c r="R8" s="2242"/>
    </row>
    <row r="9" spans="1:30" ht="13.5" thickBot="1">
      <c r="A9" s="2201" t="s">
        <v>2178</v>
      </c>
      <c r="B9" s="2202"/>
      <c r="C9" s="2203"/>
      <c r="D9" s="3217"/>
      <c r="E9" s="2202"/>
      <c r="F9" s="2204"/>
      <c r="G9" s="2439"/>
      <c r="H9" s="2439"/>
      <c r="I9" s="2439"/>
      <c r="J9" s="2242"/>
      <c r="K9" s="2398"/>
      <c r="L9" s="2395"/>
      <c r="M9" s="2395"/>
      <c r="N9" s="2242"/>
      <c r="O9" s="1668"/>
      <c r="P9" s="2242"/>
      <c r="Q9" s="2242"/>
      <c r="R9" s="2242"/>
    </row>
    <row r="10" spans="1:30" ht="13.5" thickTop="1">
      <c r="A10" s="2205" t="s">
        <v>2179</v>
      </c>
      <c r="B10" s="2206" t="s">
        <v>3532</v>
      </c>
      <c r="C10" s="2207"/>
      <c r="D10" s="2190"/>
      <c r="E10" s="2208" t="s">
        <v>2180</v>
      </c>
      <c r="F10" s="2440"/>
      <c r="G10" s="2441"/>
      <c r="H10" s="2442"/>
      <c r="I10" s="2443"/>
      <c r="J10" s="2242"/>
      <c r="K10" s="2398"/>
      <c r="L10" s="2395"/>
      <c r="M10" s="2395"/>
      <c r="N10" s="2242"/>
      <c r="O10" s="1668"/>
      <c r="P10" s="2242"/>
      <c r="Q10" s="2242"/>
      <c r="R10" s="2242"/>
    </row>
    <row r="11" spans="1:30">
      <c r="A11" s="2209" t="s">
        <v>2181</v>
      </c>
      <c r="B11" s="2210" t="s">
        <v>3531</v>
      </c>
      <c r="C11" s="2211"/>
      <c r="D11" s="2212"/>
      <c r="E11" s="2179"/>
      <c r="F11" s="2179"/>
      <c r="G11" s="2179"/>
      <c r="H11" s="2179"/>
      <c r="I11" s="2179"/>
      <c r="J11" s="2798"/>
      <c r="K11" s="2395"/>
      <c r="L11" s="2395"/>
      <c r="M11" s="2395"/>
      <c r="N11" s="2242"/>
      <c r="O11" s="1668"/>
      <c r="P11" s="2242"/>
      <c r="Q11" s="2242"/>
      <c r="R11" s="2242"/>
    </row>
    <row r="12" spans="1:30">
      <c r="A12" s="2213" t="s">
        <v>2182</v>
      </c>
      <c r="B12" s="313" t="s">
        <v>2183</v>
      </c>
      <c r="C12" s="2214" t="s">
        <v>2184</v>
      </c>
      <c r="D12" s="2214" t="s">
        <v>2185</v>
      </c>
      <c r="E12" s="2214" t="s">
        <v>2186</v>
      </c>
      <c r="F12" s="2214" t="s">
        <v>2187</v>
      </c>
      <c r="G12" s="2214" t="s">
        <v>2188</v>
      </c>
      <c r="H12" s="2214" t="s">
        <v>2189</v>
      </c>
      <c r="I12" s="2797" t="s">
        <v>2572</v>
      </c>
      <c r="J12" s="2799"/>
      <c r="K12" s="2395"/>
      <c r="L12" s="2395"/>
      <c r="M12" s="2242"/>
      <c r="N12" s="1668"/>
      <c r="O12" s="2242"/>
      <c r="P12" s="2242"/>
      <c r="Q12" s="2242"/>
      <c r="AD12" s="1616"/>
    </row>
    <row r="13" spans="1:30">
      <c r="A13" s="3118" t="s">
        <v>3328</v>
      </c>
      <c r="B13" s="2215" t="s">
        <v>2190</v>
      </c>
      <c r="C13" s="801">
        <v>62938</v>
      </c>
      <c r="D13" s="801"/>
      <c r="E13" s="801"/>
      <c r="F13" s="801"/>
      <c r="G13" s="801"/>
      <c r="H13" s="801"/>
      <c r="I13" s="801"/>
      <c r="J13" s="2799"/>
      <c r="K13" s="2395"/>
      <c r="L13" s="2395"/>
      <c r="M13" s="2242"/>
      <c r="N13" s="1668"/>
      <c r="O13" s="2242"/>
      <c r="P13" s="2242"/>
      <c r="Q13" s="2242"/>
      <c r="AD13" s="1616"/>
    </row>
    <row r="14" spans="1:30">
      <c r="A14" s="1016"/>
      <c r="B14" s="2215" t="s">
        <v>2191</v>
      </c>
      <c r="C14" s="2216">
        <v>70</v>
      </c>
      <c r="D14" s="2216"/>
      <c r="E14" s="2216"/>
      <c r="F14" s="2216"/>
      <c r="G14" s="2216"/>
      <c r="H14" s="2216"/>
      <c r="I14" s="2216"/>
      <c r="J14" s="2800"/>
      <c r="K14" s="2395"/>
      <c r="L14" s="2395"/>
      <c r="M14" s="2242"/>
      <c r="N14" s="1668"/>
      <c r="O14" s="2242"/>
      <c r="P14" s="2242"/>
      <c r="Q14" s="2242"/>
      <c r="AD14" s="1616"/>
    </row>
    <row r="15" spans="1:30">
      <c r="A15" s="310"/>
      <c r="B15" s="2217" t="s">
        <v>2192</v>
      </c>
      <c r="C15" s="2218">
        <f>IF(A13="出让",IF(C13="","",ROUNDDOWN(MIN((C13-$D$3)/365,C14),2)),C14)</f>
        <v>47.07</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8"/>
      <c r="L15" s="1668"/>
      <c r="M15" s="2242"/>
      <c r="N15" s="1668"/>
      <c r="O15" s="2242"/>
      <c r="P15" s="2242"/>
      <c r="Q15" s="2242"/>
      <c r="AD15" s="1616"/>
    </row>
    <row r="16" spans="1:30">
      <c r="A16" s="2208" t="s">
        <v>2193</v>
      </c>
      <c r="B16" s="3223"/>
      <c r="C16" s="3224"/>
      <c r="D16" s="3225"/>
      <c r="E16" s="2219" t="s">
        <v>2194</v>
      </c>
      <c r="F16" s="3226"/>
      <c r="G16" s="3227"/>
      <c r="H16" s="3227"/>
      <c r="I16" s="3228"/>
      <c r="J16" s="2242"/>
      <c r="K16" s="2399"/>
      <c r="L16" s="1668"/>
      <c r="M16" s="1668"/>
      <c r="N16" s="2242"/>
      <c r="O16" s="1668"/>
      <c r="P16" s="2242"/>
      <c r="Q16" s="2242"/>
      <c r="R16" s="2242"/>
    </row>
    <row r="17" spans="1:28">
      <c r="A17" s="303" t="s">
        <v>2195</v>
      </c>
      <c r="B17" s="292" t="s">
        <v>2196</v>
      </c>
      <c r="C17" s="8">
        <f>'数据-汇总表'!E3</f>
        <v>143.31</v>
      </c>
      <c r="D17" s="1254" t="s">
        <v>2197</v>
      </c>
      <c r="E17" s="3229" t="s">
        <v>2198</v>
      </c>
      <c r="F17" s="3230"/>
      <c r="G17" s="3230"/>
      <c r="H17" s="3230"/>
      <c r="I17" s="3231"/>
      <c r="J17" s="2242"/>
      <c r="K17" s="2400"/>
      <c r="L17" s="1668"/>
      <c r="M17" s="1668"/>
      <c r="N17" s="2242"/>
      <c r="O17" s="1668"/>
      <c r="P17" s="2242"/>
      <c r="Q17" s="2242"/>
      <c r="R17" s="2242"/>
      <c r="S17" s="2242"/>
      <c r="T17" s="2242"/>
      <c r="U17" s="2242"/>
      <c r="V17" s="2242"/>
    </row>
    <row r="18" spans="1:28" ht="24.75" thickBot="1">
      <c r="A18" s="2220" t="s">
        <v>2199</v>
      </c>
      <c r="B18" s="1025" t="s">
        <v>2200</v>
      </c>
      <c r="C18" s="2221">
        <f>'数据-汇总表'!D3</f>
        <v>0</v>
      </c>
      <c r="D18" s="1027" t="s">
        <v>2201</v>
      </c>
      <c r="E18" s="3232" t="s">
        <v>2202</v>
      </c>
      <c r="F18" s="3233"/>
      <c r="G18" s="3233"/>
      <c r="H18" s="3233"/>
      <c r="I18" s="3234"/>
      <c r="J18" s="2242"/>
      <c r="K18" s="2400"/>
      <c r="L18" s="1668"/>
      <c r="M18" s="1668"/>
      <c r="N18" s="2242"/>
      <c r="O18" s="1668"/>
      <c r="P18" s="2242"/>
      <c r="Q18" s="2242"/>
      <c r="R18" s="2242"/>
      <c r="S18" s="2242"/>
      <c r="T18" s="2242"/>
      <c r="U18" s="2242"/>
      <c r="V18" s="2242"/>
    </row>
    <row r="19" spans="1:28" ht="37.5" thickTop="1" thickBot="1">
      <c r="A19" s="317" t="s">
        <v>1055</v>
      </c>
      <c r="B19" s="297" t="s">
        <v>2203</v>
      </c>
      <c r="C19" s="1453"/>
      <c r="D19" s="1454" t="s">
        <v>2204</v>
      </c>
      <c r="E19" s="1455"/>
      <c r="F19" s="1456" t="str">
        <f>IF(AND(C19="是",E19="否"),"是否提供他项权证或相关说明","")</f>
        <v/>
      </c>
      <c r="G19" s="1457"/>
      <c r="H19" s="2438"/>
      <c r="I19" s="2438"/>
      <c r="J19" s="2242"/>
      <c r="K19" s="2398"/>
      <c r="L19" s="2395"/>
      <c r="M19" s="2395"/>
      <c r="N19" s="2242"/>
      <c r="O19" s="1668"/>
      <c r="P19" s="2242"/>
      <c r="Q19" s="2242"/>
      <c r="R19" s="2242"/>
      <c r="S19" s="2242"/>
      <c r="T19" s="2242"/>
      <c r="U19" s="2242"/>
      <c r="V19" s="2242"/>
    </row>
    <row r="20" spans="1:28">
      <c r="A20" s="2413" t="s">
        <v>2205</v>
      </c>
      <c r="B20" s="3219" t="s">
        <v>2206</v>
      </c>
      <c r="C20" s="3220"/>
      <c r="D20" s="3221" t="s">
        <v>2207</v>
      </c>
      <c r="E20" s="3222"/>
      <c r="F20" s="2426" t="s">
        <v>1056</v>
      </c>
      <c r="G20" s="2438"/>
      <c r="H20" s="2438"/>
      <c r="I20" s="2438"/>
      <c r="J20" s="2242"/>
      <c r="K20" s="3218"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4"/>
      <c r="P20" s="2179"/>
      <c r="Q20" s="2179"/>
      <c r="R20" s="2179"/>
      <c r="S20" s="2179"/>
      <c r="T20" s="2179"/>
      <c r="U20" s="2179"/>
      <c r="V20" s="2179"/>
      <c r="W20" s="1616"/>
      <c r="X20" s="1616"/>
      <c r="Y20" s="1616"/>
      <c r="Z20" s="1616"/>
      <c r="AA20" s="1616"/>
      <c r="AB20" s="1616"/>
    </row>
    <row r="21" spans="1:28" ht="24.75" thickBot="1">
      <c r="A21" s="2413"/>
      <c r="B21" s="2414" t="s">
        <v>2209</v>
      </c>
      <c r="C21" s="2292" t="s">
        <v>1057</v>
      </c>
      <c r="D21" s="1458" t="s">
        <v>2210</v>
      </c>
      <c r="E21" s="2415" t="s">
        <v>1057</v>
      </c>
      <c r="F21" s="2427"/>
      <c r="G21" s="2438"/>
      <c r="H21" s="2438"/>
      <c r="I21" s="2438"/>
      <c r="J21" s="2242"/>
      <c r="K21" s="321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24.75" thickBot="1">
      <c r="A22" s="2413"/>
      <c r="B22" s="2416" t="s">
        <v>2211</v>
      </c>
      <c r="C22" s="2292" t="s">
        <v>1058</v>
      </c>
      <c r="D22" s="2438"/>
      <c r="E22" s="2438"/>
      <c r="F22" s="2438"/>
      <c r="G22" s="2438"/>
      <c r="H22" s="2438"/>
      <c r="I22" s="2438"/>
      <c r="J22" s="2242"/>
      <c r="K22" s="321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2212</v>
      </c>
      <c r="B23" s="2289" t="s">
        <v>2213</v>
      </c>
      <c r="C23" s="2418"/>
      <c r="D23" s="2419" t="s">
        <v>2213</v>
      </c>
      <c r="E23" s="2420"/>
      <c r="F23" s="2438"/>
      <c r="G23" s="2438"/>
      <c r="H23" s="2438"/>
      <c r="I23" s="2438"/>
      <c r="J23" s="2242"/>
      <c r="K23" s="2397"/>
      <c r="L23" s="120"/>
      <c r="M23" s="2395"/>
      <c r="N23" s="2242"/>
      <c r="O23" s="1668"/>
      <c r="P23" s="2242"/>
      <c r="Q23" s="2242"/>
      <c r="R23" s="2242"/>
      <c r="S23" s="2242"/>
      <c r="T23" s="2242"/>
      <c r="U23" s="2242"/>
      <c r="V23" s="2242"/>
    </row>
    <row r="24" spans="1:28">
      <c r="A24" s="2417"/>
      <c r="B24" s="2289" t="s">
        <v>1059</v>
      </c>
      <c r="C24" s="2267"/>
      <c r="D24" s="2417" t="s">
        <v>1059</v>
      </c>
      <c r="E24" s="2421"/>
      <c r="F24" s="2438"/>
      <c r="G24" s="2438"/>
      <c r="H24" s="2438"/>
      <c r="I24" s="2438"/>
      <c r="J24" s="2242"/>
      <c r="K24" s="2397"/>
      <c r="L24" s="120"/>
      <c r="M24" s="2395"/>
      <c r="N24" s="2242"/>
      <c r="O24" s="1668"/>
      <c r="P24" s="2242"/>
      <c r="Q24" s="2242"/>
      <c r="R24" s="2242"/>
      <c r="S24" s="2242"/>
      <c r="T24" s="2242"/>
      <c r="U24" s="2242"/>
      <c r="V24" s="2242"/>
    </row>
    <row r="25" spans="1:28">
      <c r="A25" s="2417"/>
      <c r="B25" s="2289" t="s">
        <v>1060</v>
      </c>
      <c r="C25" s="2267"/>
      <c r="D25" s="2417" t="s">
        <v>1060</v>
      </c>
      <c r="E25" s="2421"/>
      <c r="F25" s="2438"/>
      <c r="G25" s="2438"/>
      <c r="H25" s="2438"/>
      <c r="I25" s="2438"/>
      <c r="J25" s="2242"/>
      <c r="K25" s="2398"/>
      <c r="L25" s="2395"/>
      <c r="M25" s="2395"/>
      <c r="N25" s="2242"/>
      <c r="O25" s="1668"/>
      <c r="P25" s="2242"/>
      <c r="Q25" s="2242"/>
      <c r="R25" s="2242"/>
      <c r="S25" s="2242"/>
      <c r="T25" s="2242"/>
      <c r="U25" s="2242"/>
      <c r="V25" s="2242"/>
    </row>
    <row r="26" spans="1:28" ht="13.5" thickBot="1">
      <c r="A26" s="2422"/>
      <c r="B26" s="2423" t="s">
        <v>1061</v>
      </c>
      <c r="C26" s="2424"/>
      <c r="D26" s="2422" t="s">
        <v>1061</v>
      </c>
      <c r="E26" s="2425"/>
      <c r="F26" s="2439"/>
      <c r="G26" s="2439"/>
      <c r="H26" s="2439"/>
      <c r="I26" s="2439"/>
      <c r="J26" s="2242"/>
      <c r="K26" s="2398"/>
      <c r="L26" s="2395"/>
      <c r="M26" s="2395"/>
      <c r="N26" s="2242"/>
      <c r="O26" s="1668"/>
      <c r="P26" s="2242"/>
      <c r="Q26" s="2242"/>
      <c r="R26" s="2242"/>
      <c r="S26" s="2242"/>
      <c r="T26" s="2242"/>
      <c r="U26" s="2242"/>
      <c r="V26" s="2242"/>
    </row>
    <row r="27" spans="1:28" ht="13.5" thickTop="1">
      <c r="A27" s="3236" t="s">
        <v>2214</v>
      </c>
      <c r="B27" s="310" t="s">
        <v>2215</v>
      </c>
      <c r="C27" s="2222"/>
      <c r="D27" s="2223"/>
      <c r="E27" s="2438"/>
      <c r="F27" s="2438"/>
      <c r="G27" s="2438"/>
      <c r="H27" s="2438"/>
      <c r="I27" s="2438"/>
      <c r="J27" s="2242"/>
      <c r="K27" s="2399"/>
      <c r="L27" s="1668"/>
      <c r="M27" s="1668"/>
      <c r="N27" s="2242"/>
      <c r="O27" s="1668"/>
      <c r="P27" s="2242"/>
      <c r="Q27" s="2242"/>
      <c r="R27" s="2242"/>
      <c r="S27" s="2242"/>
      <c r="T27" s="2242"/>
      <c r="U27" s="2242"/>
      <c r="V27" s="2242"/>
    </row>
    <row r="28" spans="1:28">
      <c r="A28" s="3236"/>
      <c r="B28" s="292" t="s">
        <v>2216</v>
      </c>
      <c r="C28" s="2224"/>
      <c r="D28" s="2225"/>
      <c r="E28" s="2438"/>
      <c r="F28" s="2438"/>
      <c r="G28" s="2438"/>
      <c r="H28" s="2438"/>
      <c r="I28" s="2438"/>
      <c r="J28" s="2242"/>
      <c r="K28" s="2398"/>
      <c r="L28" s="2395"/>
      <c r="M28" s="2395"/>
      <c r="N28" s="2242"/>
      <c r="O28" s="1668"/>
      <c r="P28" s="2242"/>
      <c r="Q28" s="2242"/>
      <c r="R28" s="2242"/>
      <c r="S28" s="2242"/>
      <c r="T28" s="2242"/>
      <c r="U28" s="2242"/>
      <c r="V28" s="2242"/>
    </row>
    <row r="29" spans="1:28">
      <c r="A29" s="3236"/>
      <c r="B29" s="292" t="s">
        <v>2217</v>
      </c>
      <c r="C29" s="2226"/>
      <c r="D29" s="2227"/>
      <c r="E29" s="2438"/>
      <c r="F29" s="2438"/>
      <c r="G29" s="2438"/>
      <c r="H29" s="2438"/>
      <c r="I29" s="2438"/>
      <c r="J29" s="2242"/>
      <c r="K29" s="2398"/>
      <c r="L29" s="2395"/>
      <c r="M29" s="2395"/>
      <c r="N29" s="2242"/>
      <c r="O29" s="1668"/>
      <c r="P29" s="2242"/>
      <c r="Q29" s="2242"/>
      <c r="R29" s="2242"/>
      <c r="S29" s="2242"/>
      <c r="T29" s="2242"/>
      <c r="U29" s="2242"/>
      <c r="V29" s="2242"/>
    </row>
    <row r="30" spans="1:28">
      <c r="A30" s="3237"/>
      <c r="B30" s="292" t="s">
        <v>2218</v>
      </c>
      <c r="C30" s="3238"/>
      <c r="D30" s="3239"/>
      <c r="E30" s="2438"/>
      <c r="F30" s="2438"/>
      <c r="G30" s="2438"/>
      <c r="H30" s="2438"/>
      <c r="I30" s="2438"/>
      <c r="J30" s="2242"/>
      <c r="K30" s="2398"/>
      <c r="L30" s="2395"/>
      <c r="M30" s="2395"/>
      <c r="N30" s="2242"/>
      <c r="O30" s="1668"/>
      <c r="P30" s="2242"/>
      <c r="Q30" s="2242"/>
      <c r="R30" s="2242"/>
      <c r="S30" s="2242"/>
      <c r="T30" s="2242"/>
      <c r="U30" s="2242"/>
      <c r="V30" s="2242"/>
    </row>
    <row r="31" spans="1:28">
      <c r="A31" s="3240" t="s">
        <v>2219</v>
      </c>
      <c r="B31" s="2228"/>
      <c r="C31" s="12" t="str">
        <f>IF(B31="现房","成新及维护状况正常否",IF(B31="在建","工程状态是否正常",IF(B31="土地","是否闲置","-")))</f>
        <v>-</v>
      </c>
      <c r="D31" s="1279"/>
      <c r="E31" s="2229"/>
      <c r="F31" s="2438"/>
      <c r="G31" s="2438"/>
      <c r="H31" s="2438"/>
      <c r="I31" s="2438"/>
      <c r="J31" s="2242"/>
      <c r="K31" s="2397"/>
      <c r="L31" s="2395"/>
      <c r="M31" s="2395"/>
      <c r="N31" s="2242"/>
      <c r="O31" s="1668"/>
      <c r="P31" s="2242"/>
      <c r="Q31" s="2242"/>
      <c r="R31" s="2242"/>
      <c r="S31" s="2242"/>
      <c r="T31" s="2242"/>
      <c r="U31" s="2242"/>
      <c r="V31" s="2242"/>
    </row>
    <row r="32" spans="1:28">
      <c r="A32" s="3241"/>
      <c r="B32" s="2228"/>
      <c r="C32" s="12" t="str">
        <f>IF(B32="现房","成新及维护状况是否正常",IF(B32="在建","工程状态是否正常",IF(B32="土地","是否闲置","-")))</f>
        <v>-</v>
      </c>
      <c r="D32" s="1279"/>
      <c r="E32" s="2229"/>
      <c r="F32" s="2438"/>
      <c r="G32" s="2438"/>
      <c r="H32" s="2438"/>
      <c r="I32" s="2438"/>
      <c r="J32" s="2242"/>
      <c r="K32" s="2398"/>
      <c r="L32" s="2395"/>
      <c r="M32" s="2395"/>
      <c r="N32" s="2242"/>
      <c r="O32" s="1668"/>
      <c r="P32" s="2242"/>
      <c r="Q32" s="2242"/>
      <c r="R32" s="2242"/>
      <c r="S32" s="2242"/>
      <c r="T32" s="2242"/>
      <c r="U32" s="2242"/>
      <c r="V32" s="2242"/>
    </row>
    <row r="33" spans="1:30">
      <c r="A33" s="3241"/>
      <c r="B33" s="2231"/>
      <c r="C33" s="1476" t="str">
        <f>IF(B33="现房","成新及维护状况是否正常",IF(B33="在建","工程状态是否正常",IF(B33="土地","是否闲置","-")))</f>
        <v>-</v>
      </c>
      <c r="D33" s="1272"/>
      <c r="E33" s="2232"/>
      <c r="F33" s="2438"/>
      <c r="G33" s="2438"/>
      <c r="H33" s="2438"/>
      <c r="I33" s="2438"/>
      <c r="J33" s="2242"/>
      <c r="K33" s="2398"/>
      <c r="L33" s="2395"/>
      <c r="M33" s="2395"/>
      <c r="N33" s="2242"/>
      <c r="O33" s="1668"/>
      <c r="P33" s="2242"/>
      <c r="Q33" s="2242"/>
      <c r="R33" s="2242"/>
      <c r="S33" s="2242"/>
      <c r="T33" s="2242"/>
      <c r="U33" s="2242"/>
      <c r="V33" s="2242"/>
    </row>
    <row r="34" spans="1:30">
      <c r="A34" s="292" t="s">
        <v>2220</v>
      </c>
      <c r="B34" s="1867"/>
      <c r="C34" s="1867"/>
      <c r="D34" s="1867"/>
      <c r="E34" s="1867"/>
      <c r="F34" s="1867"/>
      <c r="G34" s="1867"/>
      <c r="H34" s="1867"/>
      <c r="I34" s="2438"/>
      <c r="J34" s="2242"/>
      <c r="K34" s="8">
        <f>COUNTIF(B34:H34,"——")</f>
        <v>0</v>
      </c>
      <c r="L34" s="313" t="s">
        <v>2221</v>
      </c>
      <c r="M34" s="313" t="s">
        <v>2222</v>
      </c>
      <c r="N34" s="313" t="s">
        <v>2223</v>
      </c>
      <c r="O34" s="313" t="s">
        <v>2224</v>
      </c>
      <c r="P34" s="313" t="s">
        <v>2225</v>
      </c>
      <c r="Q34" s="313" t="s">
        <v>2226</v>
      </c>
      <c r="R34" s="313" t="s">
        <v>2227</v>
      </c>
      <c r="S34" s="3235" t="s">
        <v>2228</v>
      </c>
      <c r="T34" s="313" t="str">
        <f>NUMBERSTRING(7-K34,1)&amp;"通"</f>
        <v>七通</v>
      </c>
      <c r="U34" s="2242"/>
      <c r="V34" s="2242"/>
    </row>
    <row r="35" spans="1:30">
      <c r="A35" s="2233"/>
      <c r="B35" s="3235" t="s">
        <v>2229</v>
      </c>
      <c r="C35" s="3235"/>
      <c r="D35" s="3235"/>
      <c r="E35" s="3235"/>
      <c r="F35" s="8">
        <f>C10</f>
        <v>0</v>
      </c>
      <c r="G35" s="2438"/>
      <c r="H35" s="2438"/>
      <c r="I35" s="2438"/>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35"/>
      <c r="T35" s="136" t="str">
        <f>IF(T34="一通",L35,IF(T34="二通",M35,IF(T34="三通",N35,IF(T34="四通",O35,IF(T34="五通",P35,IF(T34="六通",Q35,R35))))))</f>
        <v>、、、、、、</v>
      </c>
      <c r="U35" s="2242"/>
      <c r="V35" s="2242"/>
    </row>
    <row r="36" spans="1:30">
      <c r="A36" s="2180"/>
      <c r="B36" s="8" t="s">
        <v>2185</v>
      </c>
      <c r="C36" s="8" t="s">
        <v>2186</v>
      </c>
      <c r="D36" s="8" t="s">
        <v>2184</v>
      </c>
      <c r="E36" s="8" t="s">
        <v>2189</v>
      </c>
      <c r="F36" s="2797" t="s">
        <v>2575</v>
      </c>
      <c r="G36" s="2438"/>
      <c r="H36" s="2438"/>
      <c r="I36" s="2438"/>
      <c r="J36" s="2242"/>
      <c r="K36" s="2398"/>
      <c r="L36" s="2395"/>
      <c r="M36" s="2395"/>
      <c r="N36" s="2242"/>
      <c r="O36" s="1668"/>
      <c r="P36" s="2242"/>
      <c r="Q36" s="2242"/>
      <c r="R36" s="2242"/>
      <c r="S36" s="2242"/>
      <c r="T36" s="2242"/>
      <c r="U36" s="2242"/>
      <c r="V36" s="2242"/>
    </row>
    <row r="37" spans="1:30">
      <c r="A37" s="2411" t="s">
        <v>2230</v>
      </c>
      <c r="B37" s="2234"/>
      <c r="C37" s="2234"/>
      <c r="D37" s="2234"/>
      <c r="E37" s="2234"/>
      <c r="F37" s="2234"/>
      <c r="G37" s="2438"/>
      <c r="H37" s="2438"/>
      <c r="I37" s="2438"/>
      <c r="J37" s="2242"/>
      <c r="K37" s="2398"/>
      <c r="L37" s="2395"/>
      <c r="M37" s="2395"/>
      <c r="N37" s="2242"/>
      <c r="O37" s="1668"/>
      <c r="P37" s="2242"/>
      <c r="Q37" s="2242"/>
      <c r="R37" s="2242"/>
      <c r="S37" s="2242"/>
      <c r="T37" s="2242"/>
      <c r="U37" s="2242"/>
      <c r="V37" s="2242"/>
    </row>
    <row r="38" spans="1:30" ht="13.5" thickBot="1">
      <c r="A38" s="2412" t="s">
        <v>2231</v>
      </c>
      <c r="B38" s="2235"/>
      <c r="C38" s="2235"/>
      <c r="D38" s="2235"/>
      <c r="E38" s="2235"/>
      <c r="F38" s="2235"/>
      <c r="G38" s="2439"/>
      <c r="H38" s="2439"/>
      <c r="I38" s="2439"/>
      <c r="J38" s="2242"/>
      <c r="K38" s="2398"/>
      <c r="L38" s="2395"/>
      <c r="M38" s="2395"/>
      <c r="N38" s="2242"/>
      <c r="O38" s="1668"/>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2"/>
      <c r="K40" s="2397"/>
      <c r="L40" s="1668"/>
      <c r="M40" s="1668"/>
      <c r="N40" s="2242"/>
      <c r="O40" s="1668"/>
      <c r="P40" s="2242"/>
      <c r="Q40" s="2242"/>
      <c r="R40" s="2242"/>
      <c r="S40" s="2242"/>
      <c r="T40" s="2242"/>
      <c r="U40" s="2242"/>
      <c r="V40" s="2242"/>
    </row>
    <row r="41" spans="1:30">
      <c r="A41" s="2239" t="s">
        <v>2233</v>
      </c>
      <c r="B41" s="1625"/>
      <c r="C41" s="1279"/>
      <c r="D41" s="2179"/>
      <c r="E41" s="2179"/>
      <c r="F41" s="2179"/>
      <c r="G41" s="2179"/>
      <c r="H41" s="2179"/>
      <c r="I41" s="1464"/>
      <c r="J41" s="2242"/>
      <c r="K41" s="2398"/>
      <c r="L41" s="2395"/>
      <c r="M41" s="2395"/>
      <c r="N41" s="2242"/>
      <c r="O41" s="1668"/>
      <c r="P41" s="2242"/>
      <c r="Q41" s="2242"/>
      <c r="R41" s="2242"/>
      <c r="S41" s="2242"/>
      <c r="T41" s="2242"/>
      <c r="U41" s="2242"/>
      <c r="V41" s="2242"/>
    </row>
    <row r="42" spans="1:30" ht="25.5">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2"/>
      <c r="T42" s="2242"/>
      <c r="U42" s="2242"/>
      <c r="V42" s="2242"/>
    </row>
    <row r="43" spans="1:30" s="1614" customFormat="1">
      <c r="A43" s="1460"/>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4" customFormat="1">
      <c r="A44" s="1460"/>
      <c r="B44" s="1460"/>
      <c r="C44" s="626"/>
      <c r="D44" s="626"/>
      <c r="E44" s="626"/>
      <c r="F44" s="626"/>
      <c r="G44" s="626"/>
      <c r="H44" s="626"/>
      <c r="I44" s="626"/>
      <c r="J44" s="2240"/>
      <c r="K44" s="2241"/>
      <c r="L44" s="2241"/>
      <c r="M44" s="626"/>
      <c r="N44" s="626"/>
      <c r="O44" s="626"/>
      <c r="P44" s="626"/>
      <c r="Q44" s="626"/>
      <c r="R44" s="626"/>
      <c r="S44" s="2242"/>
      <c r="T44" s="2242"/>
      <c r="U44" s="2242"/>
      <c r="V44" s="2242"/>
    </row>
    <row r="45" spans="1:30" s="1614" customFormat="1">
      <c r="A45" s="1460"/>
      <c r="B45" s="1460"/>
      <c r="C45" s="626"/>
      <c r="D45" s="626"/>
      <c r="E45" s="626"/>
      <c r="F45" s="626"/>
      <c r="G45" s="626"/>
      <c r="H45" s="626"/>
      <c r="I45" s="626"/>
      <c r="J45" s="2240"/>
      <c r="K45" s="2241"/>
      <c r="L45" s="2241"/>
      <c r="M45" s="626"/>
      <c r="N45" s="626"/>
      <c r="O45" s="626"/>
      <c r="P45" s="626"/>
      <c r="Q45" s="626"/>
      <c r="R45" s="626"/>
      <c r="S45" s="2242"/>
      <c r="T45" s="2242"/>
      <c r="U45" s="2242"/>
      <c r="V45" s="2242"/>
    </row>
    <row r="46" spans="1:30" s="1614" customFormat="1">
      <c r="A46" s="1460"/>
      <c r="B46" s="1460"/>
      <c r="C46" s="626"/>
      <c r="D46" s="626"/>
      <c r="E46" s="626"/>
      <c r="F46" s="626"/>
      <c r="G46" s="626"/>
      <c r="H46" s="626"/>
      <c r="I46" s="626"/>
      <c r="J46" s="2240"/>
      <c r="K46" s="2241"/>
      <c r="L46" s="2241"/>
      <c r="M46" s="626"/>
      <c r="N46" s="626"/>
      <c r="O46" s="626"/>
      <c r="P46" s="626"/>
      <c r="Q46" s="626"/>
      <c r="R46" s="626"/>
      <c r="S46" s="2242"/>
      <c r="T46" s="2242"/>
      <c r="U46" s="2242"/>
      <c r="V46" s="2242"/>
    </row>
    <row r="47" spans="1:30" s="1614" customFormat="1">
      <c r="A47" s="1460"/>
      <c r="B47" s="1460"/>
      <c r="C47" s="626"/>
      <c r="D47" s="626"/>
      <c r="E47" s="626"/>
      <c r="F47" s="626"/>
      <c r="G47" s="626"/>
      <c r="H47" s="626"/>
      <c r="I47" s="626"/>
      <c r="J47" s="2240"/>
      <c r="K47" s="2241"/>
      <c r="L47" s="2241"/>
      <c r="M47" s="626"/>
      <c r="N47" s="626"/>
      <c r="O47" s="626"/>
      <c r="P47" s="626"/>
      <c r="Q47" s="626"/>
      <c r="R47" s="626"/>
      <c r="S47" s="2242"/>
      <c r="T47" s="2242"/>
      <c r="U47" s="2242"/>
      <c r="V47" s="2242"/>
    </row>
    <row r="48" spans="1:30" s="1614" customFormat="1">
      <c r="A48" s="1460"/>
      <c r="B48" s="1460"/>
      <c r="C48" s="626"/>
      <c r="D48" s="626"/>
      <c r="E48" s="626"/>
      <c r="F48" s="626"/>
      <c r="G48" s="626"/>
      <c r="H48" s="626"/>
      <c r="I48" s="626"/>
      <c r="J48" s="2240"/>
      <c r="K48" s="2241"/>
      <c r="L48" s="2241"/>
      <c r="M48" s="626"/>
      <c r="N48" s="626"/>
      <c r="O48" s="626"/>
      <c r="P48" s="626"/>
      <c r="Q48" s="626"/>
      <c r="R48" s="626"/>
      <c r="S48" s="2242"/>
      <c r="T48" s="2242"/>
      <c r="U48" s="2242"/>
      <c r="V48" s="2242"/>
    </row>
    <row r="49" spans="1:22" s="1614" customFormat="1">
      <c r="A49" s="1460"/>
      <c r="B49" s="1460"/>
      <c r="C49" s="626"/>
      <c r="D49" s="626"/>
      <c r="E49" s="626"/>
      <c r="F49" s="626"/>
      <c r="G49" s="626"/>
      <c r="H49" s="626"/>
      <c r="I49" s="626"/>
      <c r="J49" s="2240"/>
      <c r="K49" s="2241"/>
      <c r="L49" s="2241"/>
      <c r="M49" s="626"/>
      <c r="N49" s="626"/>
      <c r="O49" s="626"/>
      <c r="P49" s="626"/>
      <c r="Q49" s="626"/>
      <c r="R49" s="626"/>
      <c r="S49" s="2242"/>
      <c r="T49" s="2242"/>
      <c r="U49" s="2242"/>
      <c r="V49" s="2242"/>
    </row>
    <row r="50" spans="1:22" s="1614" customFormat="1">
      <c r="A50" s="1460"/>
      <c r="B50" s="1460"/>
      <c r="C50" s="626"/>
      <c r="D50" s="626"/>
      <c r="E50" s="626"/>
      <c r="F50" s="626"/>
      <c r="G50" s="626"/>
      <c r="H50" s="626"/>
      <c r="I50" s="626"/>
      <c r="J50" s="2240"/>
      <c r="K50" s="2241"/>
      <c r="L50" s="2241"/>
      <c r="M50" s="626"/>
      <c r="N50" s="626"/>
      <c r="O50" s="626"/>
      <c r="P50" s="626"/>
      <c r="Q50" s="626"/>
      <c r="R50" s="626"/>
      <c r="S50" s="2242"/>
      <c r="T50" s="2242"/>
      <c r="U50" s="2242"/>
      <c r="V50" s="2242"/>
    </row>
    <row r="51" spans="1:22" s="1614" customFormat="1">
      <c r="A51" s="1460"/>
      <c r="B51" s="1460"/>
      <c r="C51" s="626"/>
      <c r="D51" s="626"/>
      <c r="E51" s="626"/>
      <c r="F51" s="626"/>
      <c r="G51" s="626"/>
      <c r="H51" s="626"/>
      <c r="I51" s="626"/>
      <c r="J51" s="2240"/>
      <c r="K51" s="2241"/>
      <c r="L51" s="2241"/>
      <c r="M51" s="626"/>
      <c r="N51" s="626"/>
      <c r="O51" s="626"/>
      <c r="P51" s="626"/>
      <c r="Q51" s="626"/>
      <c r="R51" s="626"/>
    </row>
    <row r="52" spans="1:22" s="1614" customFormat="1">
      <c r="A52" s="1460"/>
      <c r="B52" s="1460"/>
      <c r="C52" s="1460"/>
      <c r="D52" s="1460"/>
      <c r="E52" s="1460"/>
      <c r="F52" s="626"/>
      <c r="G52" s="1460"/>
      <c r="H52" s="1460"/>
      <c r="I52" s="1460"/>
      <c r="J52" s="2243"/>
      <c r="K52" s="2241"/>
      <c r="L52" s="2241"/>
      <c r="M52" s="2241"/>
      <c r="N52" s="1460"/>
      <c r="O52" s="1460"/>
      <c r="P52" s="1460"/>
      <c r="Q52" s="1460"/>
      <c r="R52" s="1460"/>
    </row>
    <row r="53" spans="1:22" s="1614" customFormat="1">
      <c r="A53" s="1460"/>
      <c r="B53" s="1460"/>
      <c r="C53" s="1460"/>
      <c r="D53" s="1460"/>
      <c r="E53" s="1460"/>
      <c r="F53" s="626"/>
      <c r="G53" s="1460"/>
      <c r="H53" s="1460"/>
      <c r="I53" s="1460"/>
      <c r="J53" s="2243"/>
      <c r="K53" s="2241"/>
      <c r="L53" s="2241"/>
      <c r="M53" s="2241"/>
      <c r="N53" s="1460"/>
      <c r="O53" s="1460"/>
      <c r="P53" s="1460"/>
      <c r="Q53" s="1460"/>
      <c r="R53" s="1460"/>
    </row>
    <row r="54" spans="1:22" s="1614" customFormat="1">
      <c r="A54" s="1460"/>
      <c r="B54" s="1460"/>
      <c r="C54" s="1460"/>
      <c r="D54" s="1460"/>
      <c r="E54" s="1460"/>
      <c r="F54" s="626"/>
      <c r="G54" s="1460"/>
      <c r="H54" s="1460"/>
      <c r="I54" s="1460"/>
      <c r="J54" s="2243"/>
      <c r="K54" s="2241"/>
      <c r="L54" s="2241"/>
      <c r="M54" s="2241"/>
      <c r="N54" s="1460"/>
      <c r="O54" s="1460"/>
      <c r="P54" s="1460"/>
      <c r="Q54" s="1460"/>
      <c r="R54" s="1460"/>
    </row>
    <row r="55" spans="1:22" s="1614" customFormat="1">
      <c r="A55" s="1460"/>
      <c r="B55" s="1460"/>
      <c r="C55" s="1460"/>
      <c r="D55" s="1460"/>
      <c r="E55" s="1460"/>
      <c r="F55" s="626"/>
      <c r="G55" s="1460"/>
      <c r="H55" s="1460"/>
      <c r="I55" s="1460"/>
      <c r="J55" s="2243"/>
      <c r="K55" s="2241"/>
      <c r="L55" s="2241"/>
      <c r="M55" s="2241"/>
      <c r="N55" s="1460"/>
      <c r="O55" s="1460"/>
      <c r="P55" s="1460"/>
      <c r="Q55" s="1460"/>
      <c r="R55" s="1460"/>
    </row>
    <row r="56" spans="1:22" s="1614" customFormat="1">
      <c r="A56" s="1460"/>
      <c r="B56" s="1460"/>
      <c r="C56" s="1460"/>
      <c r="D56" s="1460"/>
      <c r="E56" s="1460"/>
      <c r="F56" s="626"/>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143.31</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143.31</v>
      </c>
      <c r="H5" s="13">
        <f t="shared" ref="H5:AT5" si="0">SUM(H13:H656)</f>
        <v>143.31</v>
      </c>
      <c r="I5" s="13">
        <f t="shared" si="0"/>
        <v>143.31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143.31</v>
      </c>
      <c r="BA5" s="15">
        <f t="shared" si="1"/>
        <v>143.31</v>
      </c>
      <c r="BB5" s="15">
        <f t="shared" si="1"/>
        <v>143.31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3409</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3402</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t="s">
        <v>3410</v>
      </c>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c r="D13" s="1511" t="s">
        <v>3408</v>
      </c>
      <c r="E13" s="13">
        <f>IF($C$3="是",ROUND($A$3*G13/$B$3,2),ROUND($A$3*(G13-AT13)/$B$3,2))</f>
        <v>0</v>
      </c>
      <c r="F13" s="29"/>
      <c r="G13" s="30">
        <f>H13+AC13+AT13</f>
        <v>143.31</v>
      </c>
      <c r="H13" s="17">
        <f>SUMIF(I$12:AB$12,"总值",I13:AB13)</f>
        <v>143.31</v>
      </c>
      <c r="I13" s="1512">
        <v>143.31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f>ROUND($AY$6*AZ13/$AZ$5,2)</f>
        <v>0</v>
      </c>
      <c r="AZ13" s="13">
        <f>BA13+BL13</f>
        <v>143.31</v>
      </c>
      <c r="BA13" s="13">
        <f>SUM(BB13:BK13)</f>
        <v>143.31</v>
      </c>
      <c r="BB13" s="13">
        <f>IF($D13="是",I13-J13,0)</f>
        <v>143.31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51" t="s">
        <v>1131</v>
      </c>
      <c r="B2" s="3251"/>
      <c r="C2" s="3251"/>
      <c r="D2" s="746" t="s">
        <v>1107</v>
      </c>
      <c r="E2" s="1521" t="s">
        <v>1108</v>
      </c>
      <c r="F2" s="2435"/>
      <c r="G2" s="2428"/>
      <c r="H2" s="2429"/>
      <c r="I2" s="2143" t="s">
        <v>1132</v>
      </c>
      <c r="J2" s="2435"/>
      <c r="K2" s="2435"/>
      <c r="L2" s="2435"/>
      <c r="M2" s="2435"/>
      <c r="N2" s="2436"/>
      <c r="O2" s="2435"/>
      <c r="P2" s="2435"/>
    </row>
    <row r="3" spans="1:16" ht="15.75" thickBot="1">
      <c r="A3" s="3252" t="s">
        <v>1105</v>
      </c>
      <c r="B3" s="3252"/>
      <c r="C3" s="3252"/>
      <c r="D3" s="41">
        <f>'数据-基础表'!AY6</f>
        <v>0</v>
      </c>
      <c r="E3" s="41">
        <f>'数据-基础表'!AZ5</f>
        <v>143.31</v>
      </c>
      <c r="F3" s="2435"/>
      <c r="G3" s="42"/>
      <c r="H3" s="43" t="s">
        <v>1106</v>
      </c>
      <c r="I3" s="800" t="e">
        <f>ROUND('数据-基础表'!B3/'数据-基础表'!A3,2)</f>
        <v>#DIV/0!</v>
      </c>
      <c r="J3" s="2435"/>
      <c r="K3" s="2435"/>
      <c r="L3" s="2435"/>
      <c r="M3" s="2435"/>
      <c r="N3" s="2436"/>
      <c r="O3" s="2435"/>
      <c r="P3" s="2435"/>
    </row>
    <row r="4" spans="1:16" ht="15">
      <c r="A4" s="3253"/>
      <c r="B4" s="3254"/>
      <c r="C4" s="3255"/>
      <c r="D4" s="1522" t="s">
        <v>1107</v>
      </c>
      <c r="E4" s="1523" t="s">
        <v>1108</v>
      </c>
      <c r="F4" s="2435"/>
      <c r="G4" s="2430" t="s">
        <v>1133</v>
      </c>
      <c r="H4" s="43" t="s">
        <v>1113</v>
      </c>
      <c r="I4" s="800" t="e">
        <f>ROUND(SUMIF('数据-基础表'!I9:AS9,"地上",'数据-基础表'!I5:AS5)/'数据-基础表'!A3,2)</f>
        <v>#DIV/0!</v>
      </c>
      <c r="J4" s="2435"/>
      <c r="K4" s="2435"/>
      <c r="L4" s="2435"/>
      <c r="M4" s="2435"/>
      <c r="N4" s="2436"/>
      <c r="O4" s="2435"/>
      <c r="P4" s="2435"/>
    </row>
    <row r="5" spans="1:16">
      <c r="A5" s="42" t="s">
        <v>1109</v>
      </c>
      <c r="B5" s="3256" t="s">
        <v>1110</v>
      </c>
      <c r="C5" s="3256"/>
      <c r="D5" s="43">
        <f>ROUND($D$3*E5/$E$3,2)</f>
        <v>0</v>
      </c>
      <c r="E5" s="44">
        <f>SUMIF('数据-基础表'!$11:$11,"住宅",'数据-基础表'!$5:$5)</f>
        <v>143.31</v>
      </c>
      <c r="F5" s="2435"/>
      <c r="G5" s="42"/>
      <c r="H5" s="43" t="s">
        <v>1106</v>
      </c>
      <c r="I5" s="800" t="e">
        <f>ROUND(E31/D31,2)</f>
        <v>#DIV/0!</v>
      </c>
      <c r="J5" s="2435"/>
      <c r="K5" s="2435"/>
      <c r="L5" s="2435"/>
      <c r="M5" s="2435"/>
      <c r="N5" s="2435"/>
      <c r="O5" s="2435"/>
      <c r="P5" s="2435"/>
    </row>
    <row r="6" spans="1:16" ht="15" thickBot="1">
      <c r="A6" s="1525"/>
      <c r="B6" s="3256" t="s">
        <v>1111</v>
      </c>
      <c r="C6" s="3256"/>
      <c r="D6" s="43">
        <f>ROUND($D$3*E6/$E$3,2)</f>
        <v>0</v>
      </c>
      <c r="E6" s="44">
        <f>E3-E5</f>
        <v>0</v>
      </c>
      <c r="F6" s="2435"/>
      <c r="G6" s="1527" t="s">
        <v>1112</v>
      </c>
      <c r="H6" s="45" t="s">
        <v>1113</v>
      </c>
      <c r="I6" s="2431" t="e">
        <f>ROUND(F31/D31,2)</f>
        <v>#DIV/0!</v>
      </c>
      <c r="J6" s="2435"/>
      <c r="K6" s="2435"/>
      <c r="L6" s="2435"/>
      <c r="M6" s="2435"/>
      <c r="N6" s="2435"/>
      <c r="O6" s="2435"/>
      <c r="P6" s="2435"/>
    </row>
    <row r="7" spans="1:16" ht="15.75" thickBot="1">
      <c r="A7" s="3248"/>
      <c r="B7" s="3249"/>
      <c r="C7" s="3250"/>
      <c r="D7" s="1522" t="s">
        <v>1107</v>
      </c>
      <c r="E7" s="1526"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143.31</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0</v>
      </c>
      <c r="E16" s="48">
        <f>SUM(E8:E15)</f>
        <v>143.31</v>
      </c>
      <c r="F16" s="2435"/>
      <c r="G16" s="2435"/>
      <c r="H16" s="1529" t="s">
        <v>1135</v>
      </c>
      <c r="I16" s="1530"/>
      <c r="J16" s="1069"/>
      <c r="K16" s="3245" t="s">
        <v>1135</v>
      </c>
      <c r="L16" s="3246"/>
      <c r="M16" s="3246"/>
      <c r="N16" s="3246"/>
      <c r="O16" s="3246"/>
      <c r="P16" s="3247"/>
    </row>
    <row r="17" spans="1:19" ht="15">
      <c r="A17" s="1531" t="s">
        <v>1136</v>
      </c>
      <c r="B17" s="1532" t="s">
        <v>1137</v>
      </c>
      <c r="C17" s="1533" t="s">
        <v>1138</v>
      </c>
      <c r="D17" s="1534" t="s">
        <v>1126</v>
      </c>
      <c r="E17" s="1535" t="s">
        <v>1127</v>
      </c>
      <c r="F17" s="1536"/>
      <c r="G17" s="1537"/>
      <c r="H17" s="1538" t="s">
        <v>1139</v>
      </c>
      <c r="I17" s="1539" t="s">
        <v>1124</v>
      </c>
      <c r="J17" s="1069"/>
      <c r="K17" s="3242" t="s">
        <v>1140</v>
      </c>
      <c r="L17" s="3243"/>
      <c r="M17" s="3244"/>
      <c r="N17" s="3242" t="s">
        <v>1141</v>
      </c>
      <c r="O17" s="3243"/>
      <c r="P17" s="3244"/>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2" t="s">
        <v>3411</v>
      </c>
      <c r="D19" s="43">
        <f>ROUND($D$3*E19/$E$3,2)</f>
        <v>0</v>
      </c>
      <c r="E19" s="51">
        <f t="shared" ref="E19:E26" si="1">SUM(F19:G19)</f>
        <v>143.31</v>
      </c>
      <c r="F19" s="2554">
        <f>'数据-基础表'!I13</f>
        <v>143.31</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0</v>
      </c>
      <c r="S19" s="51">
        <f t="shared" si="5"/>
        <v>143.31</v>
      </c>
    </row>
    <row r="20" spans="1:19">
      <c r="A20" s="1547"/>
      <c r="B20" s="45" t="s">
        <v>1153</v>
      </c>
      <c r="C20" s="3112"/>
      <c r="D20" s="43">
        <f t="shared" ref="D20:D26" si="6">ROUND($D$3*E20/$E$3,2)</f>
        <v>0</v>
      </c>
      <c r="E20" s="51">
        <f t="shared" si="1"/>
        <v>0</v>
      </c>
      <c r="F20" s="2554"/>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2"/>
      <c r="D21" s="43">
        <f t="shared" si="6"/>
        <v>0</v>
      </c>
      <c r="E21" s="51">
        <f t="shared" si="1"/>
        <v>0</v>
      </c>
      <c r="F21" s="2554"/>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c r="A22" s="1547"/>
      <c r="B22" s="45" t="s">
        <v>1153</v>
      </c>
      <c r="C22" s="3113"/>
      <c r="D22" s="43">
        <f t="shared" si="6"/>
        <v>0</v>
      </c>
      <c r="E22" s="51">
        <f t="shared" si="1"/>
        <v>0</v>
      </c>
      <c r="F22" s="2555"/>
      <c r="G22" s="2556"/>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3"/>
      <c r="D23" s="43">
        <f>ROUND($D$3*E23/$E$3,2)</f>
        <v>0</v>
      </c>
      <c r="E23" s="51">
        <f>SUM(F23:G23)</f>
        <v>0</v>
      </c>
      <c r="F23" s="2555"/>
      <c r="G23" s="2556"/>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3"/>
      <c r="D24" s="43">
        <f>ROUND($D$3*E24/$E$3,2)</f>
        <v>0</v>
      </c>
      <c r="E24" s="51">
        <f>SUM(F24:G24)</f>
        <v>0</v>
      </c>
      <c r="F24" s="2555"/>
      <c r="G24" s="2556"/>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3"/>
      <c r="D25" s="43">
        <f t="shared" si="6"/>
        <v>0</v>
      </c>
      <c r="E25" s="51">
        <f t="shared" si="1"/>
        <v>0</v>
      </c>
      <c r="F25" s="2555"/>
      <c r="G25" s="2556"/>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143.31</v>
      </c>
      <c r="F27" s="1070">
        <f>IF(SUM(F19:F26)=E8,SUM(F19:F26),"地上面积有误")</f>
        <v>143.31</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143.31</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1">
        <f>D27+D30</f>
        <v>0</v>
      </c>
      <c r="E31" s="641">
        <f>E27+E30</f>
        <v>143.31</v>
      </c>
      <c r="F31" s="642">
        <f>F27+F30</f>
        <v>143.31</v>
      </c>
      <c r="G31" s="643">
        <f>G27+G30</f>
        <v>0</v>
      </c>
      <c r="H31" s="2435"/>
      <c r="I31" s="2435"/>
      <c r="J31" s="2435"/>
      <c r="K31" s="2435"/>
      <c r="L31" s="2435"/>
      <c r="M31" s="2435"/>
      <c r="N31" s="2435"/>
      <c r="O31" s="2435"/>
      <c r="P31" s="2435"/>
    </row>
    <row r="32" spans="1:19">
      <c r="A32" s="1524"/>
      <c r="B32" s="1524" t="s">
        <v>1159</v>
      </c>
      <c r="C32" s="1524"/>
      <c r="D32" s="1524"/>
      <c r="E32" s="988">
        <f>SUMIF(C19:C26,"*住宅*",E19:E26)</f>
        <v>143.31</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K25" sqref="AK25"/>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4"/>
      <c r="C1" s="120"/>
      <c r="D1" s="1558"/>
      <c r="E1" s="120"/>
      <c r="F1" s="120"/>
      <c r="G1" s="120"/>
      <c r="H1" s="120"/>
      <c r="I1" s="120"/>
      <c r="J1" s="120"/>
      <c r="K1" s="149"/>
      <c r="L1" s="14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49" customFormat="1" ht="15.75" thickBot="1">
      <c r="A2" s="1560" t="s">
        <v>1161</v>
      </c>
      <c r="B2" s="982">
        <f>项目基本情况!D3</f>
        <v>45755</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3412</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住宅</v>
      </c>
      <c r="B6" s="1585" t="str">
        <f>IF(A6=0,"","经营性")</f>
        <v>经营性</v>
      </c>
      <c r="C6" s="1586" t="s">
        <v>3402</v>
      </c>
      <c r="D6" s="803">
        <f>SUMIF(项目基本情况!C$12:I$12,C6,项目基本情况!C$14:I$14)</f>
        <v>70</v>
      </c>
      <c r="E6" s="802">
        <f>IF(B6="","",SUMIF(项目基本情况!C$12:I$12,C6,项目基本情况!C$13:I$13))</f>
        <v>62938</v>
      </c>
      <c r="F6" s="61">
        <f>SUMIF(项目基本情况!C$12:I$12,C6,项目基本情况!C$15:I$15)</f>
        <v>47.07</v>
      </c>
      <c r="G6" s="62">
        <f>IF(ISERROR(ROUND(POWER(1+H6,D6-F6)*(POWER(1+H6,F6)-1)/(POWER(1+H6,D6)-1),3)),0,ROUND(POWER(1+H6,D6-F6)*(POWER(1+H6,F6)-1)/(POWER(1+H6,D6)-1),3))</f>
        <v>0.86</v>
      </c>
      <c r="H6" s="689">
        <v>0.03</v>
      </c>
      <c r="I6" s="689">
        <v>0.04</v>
      </c>
      <c r="J6" s="63">
        <v>0.05</v>
      </c>
      <c r="K6" s="968">
        <f>SUMIF('数据-汇总表'!C$19:C$33,A6,'数据-汇总表'!E$19:E$33)</f>
        <v>143.31</v>
      </c>
      <c r="L6" s="3159">
        <v>4000</v>
      </c>
      <c r="M6" s="64">
        <f t="shared" ref="M6:M14" si="0">ROUND(K6*L6/10000,0)</f>
        <v>57</v>
      </c>
      <c r="N6" s="688">
        <f>ROUND(N21*0.3+N22*0.7,2)</f>
        <v>0.87</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90">
        <f>ROUND($L$14*S6/10000,0)</f>
        <v>0</v>
      </c>
      <c r="U6" s="3510">
        <v>17000</v>
      </c>
      <c r="V6" s="67">
        <v>2.5000000000000001E-2</v>
      </c>
      <c r="W6" s="67">
        <v>0.05</v>
      </c>
      <c r="X6" s="977"/>
      <c r="Y6" s="68">
        <f>N6</f>
        <v>0.87</v>
      </c>
      <c r="Z6" s="69"/>
      <c r="AA6" s="63"/>
      <c r="AB6" s="63"/>
      <c r="AC6" s="977"/>
      <c r="AD6" s="70"/>
      <c r="AE6" s="978">
        <f ca="1">IF(AN6="",0,SUMIF(INDIRECT("'"&amp;AN6&amp;"'"&amp;"!E:E"),$AE$5,INDIRECT("'"&amp;AN6&amp;"'"&amp;"!F:F")))</f>
        <v>47.07</v>
      </c>
      <c r="AF6" s="74"/>
      <c r="AG6" s="128">
        <f>IF(AF6="",0,AE6-AF6)</f>
        <v>0</v>
      </c>
      <c r="AH6" s="71">
        <v>1</v>
      </c>
      <c r="AI6" s="73">
        <v>12</v>
      </c>
      <c r="AJ6" s="74"/>
      <c r="AK6" s="75">
        <v>0.01</v>
      </c>
      <c r="AL6" s="76">
        <v>1E-3</v>
      </c>
      <c r="AM6" s="77">
        <v>0.01</v>
      </c>
      <c r="AN6" s="1587" t="s">
        <v>3413</v>
      </c>
      <c r="AO6" s="50">
        <f ca="1">SUMIF(INDIRECT("'"&amp;AN6&amp;"'"&amp;"!A:A"),"总价",INDIRECT("'"&amp;AN6&amp;"'"&amp;"!B:B"))</f>
        <v>588.37170000000003</v>
      </c>
      <c r="AP6" s="1588">
        <f>IF(C6="住宅",K6*L6,0)</f>
        <v>573240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0.86</v>
      </c>
      <c r="H16" s="84">
        <f>ROUND(SUMPRODUCT(H6:H13,K6:K13)/SUMPRODUCT((H6:H13&gt;0)*(K6:K13)),3)</f>
        <v>0.03</v>
      </c>
      <c r="I16" s="85"/>
      <c r="J16" s="85"/>
      <c r="K16" s="86">
        <f>SUM(K6:K15)</f>
        <v>143.31</v>
      </c>
      <c r="L16" s="87">
        <f>ROUND(M16*10000/SUM(K6:K14),0)</f>
        <v>3977</v>
      </c>
      <c r="M16" s="87">
        <f>SUM(M6:M14)</f>
        <v>57</v>
      </c>
      <c r="N16" s="88">
        <f>ROUND(SUMPRODUCT(M6:M14,N6:N14)/M16,3)</f>
        <v>0.87</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1211</v>
      </c>
      <c r="B19" s="97">
        <v>0</v>
      </c>
      <c r="C19" s="2557" t="s">
        <v>2298</v>
      </c>
      <c r="D19" s="2448"/>
      <c r="E19" s="2435"/>
      <c r="F19" s="2435"/>
      <c r="G19" s="2435"/>
      <c r="H19" s="2435"/>
      <c r="I19" s="2435"/>
      <c r="J19" s="2435"/>
      <c r="K19" s="2446"/>
      <c r="L19" s="2446"/>
      <c r="M19" s="2445"/>
      <c r="N19" s="3160">
        <v>2005</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1212</v>
      </c>
      <c r="B20" s="3163">
        <v>2</v>
      </c>
      <c r="C20" s="2558" t="s">
        <v>2296</v>
      </c>
      <c r="D20" s="2448"/>
      <c r="E20" s="2435"/>
      <c r="F20" s="2435"/>
      <c r="G20" s="2435"/>
      <c r="H20" s="2435"/>
      <c r="I20" s="2435"/>
      <c r="J20" s="2435"/>
      <c r="K20" s="2446"/>
      <c r="L20" s="2446"/>
      <c r="M20" s="2445"/>
      <c r="N20" s="3160">
        <f>2025-N19</f>
        <v>20</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1213</v>
      </c>
      <c r="B21" s="3163">
        <f>B20</f>
        <v>2</v>
      </c>
      <c r="C21" s="2435"/>
      <c r="D21" s="2448"/>
      <c r="E21" s="2435"/>
      <c r="F21" s="2435"/>
      <c r="G21" s="2435"/>
      <c r="H21" s="2435"/>
      <c r="I21" s="2435"/>
      <c r="J21" s="2435"/>
      <c r="K21" s="2446"/>
      <c r="L21" s="2446"/>
      <c r="M21" s="2445"/>
      <c r="N21" s="3161">
        <f>1-(N20)/60</f>
        <v>0.66666666666666674</v>
      </c>
      <c r="O21" s="2445">
        <f>N21*0.3</f>
        <v>0.2</v>
      </c>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1214</v>
      </c>
      <c r="B22" s="98">
        <f>B19+B20</f>
        <v>2</v>
      </c>
      <c r="C22" s="2435"/>
      <c r="D22" s="2448"/>
      <c r="E22" s="2435"/>
      <c r="F22" s="2435"/>
      <c r="G22" s="2435"/>
      <c r="H22" s="2435"/>
      <c r="I22" s="2435"/>
      <c r="J22" s="2435"/>
      <c r="K22" s="2446"/>
      <c r="L22" s="2446"/>
      <c r="M22" s="2445"/>
      <c r="N22" s="3162">
        <v>0.95</v>
      </c>
      <c r="O22" s="2445">
        <f>N22*0.7</f>
        <v>0.66499999999999992</v>
      </c>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1215</v>
      </c>
      <c r="B23" s="98">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99">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1217</v>
      </c>
      <c r="B26" s="1598"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9" t="s">
        <v>1220</v>
      </c>
      <c r="B27" s="100">
        <v>160</v>
      </c>
      <c r="C27" s="2559" t="s">
        <v>2300</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1221</v>
      </c>
      <c r="B28" s="102">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1222</v>
      </c>
      <c r="B29" s="104">
        <f ca="1">'成本法 (元)'!C9</f>
        <v>22930</v>
      </c>
      <c r="C29" s="2560" t="s">
        <v>2290</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1223</v>
      </c>
      <c r="B30" s="636">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1224</v>
      </c>
      <c r="B31" s="103">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1225</v>
      </c>
      <c r="B32" s="637">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1226</v>
      </c>
      <c r="B33" s="638">
        <v>0.03</v>
      </c>
      <c r="C33" s="2561" t="s">
        <v>3379</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1227</v>
      </c>
      <c r="B34" s="105">
        <v>0.05</v>
      </c>
      <c r="C34" s="2561" t="s">
        <v>2291</v>
      </c>
      <c r="D34" s="2456" t="s">
        <v>2297</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1228</v>
      </c>
      <c r="B35" s="102">
        <v>200</v>
      </c>
      <c r="C35" s="2561" t="s">
        <v>2292</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6">
        <v>1.4999999999999999E-2</v>
      </c>
      <c r="C36" s="2561" t="s">
        <v>3397</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1230</v>
      </c>
      <c r="B37" s="107">
        <v>0.02</v>
      </c>
      <c r="C37" s="2561" t="s">
        <v>3380</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1231</v>
      </c>
      <c r="B38" s="105">
        <v>0.02</v>
      </c>
      <c r="C38" s="2561" t="s">
        <v>3381</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1232</v>
      </c>
      <c r="B39" s="307">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2306</v>
      </c>
      <c r="B40" s="1013">
        <f ca="1">IF(A40="利息：取LPR",存贷款利率!G1,存贷款利率!G1+C40)</f>
        <v>3.1E-2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1233</v>
      </c>
      <c r="B41" s="108">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1234</v>
      </c>
      <c r="B42" s="109">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1235</v>
      </c>
      <c r="B43" s="110">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1236</v>
      </c>
      <c r="B44" s="111">
        <v>7.0000000000000007E-2</v>
      </c>
      <c r="C44" s="2561" t="s">
        <v>3382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1237</v>
      </c>
      <c r="B45" s="109">
        <v>0.03</v>
      </c>
      <c r="C45" s="2560" t="s">
        <v>2293</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1238</v>
      </c>
      <c r="B46" s="109">
        <v>0.02</v>
      </c>
      <c r="C46" s="2560" t="s">
        <v>2294</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2"/>
      <c r="C47" s="2563" t="s">
        <v>2301</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1240</v>
      </c>
      <c r="B48" s="113">
        <v>0.03</v>
      </c>
      <c r="C48" s="2560" t="s">
        <v>2293</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09">
        <v>5.0000000000000001E-4</v>
      </c>
      <c r="C49" s="2560" t="s">
        <v>2295</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1242</v>
      </c>
      <c r="B50" s="114">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5">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1244</v>
      </c>
      <c r="B52" s="116">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1245</v>
      </c>
      <c r="B53" s="1609"/>
      <c r="C53" s="2436" t="s">
        <v>1246</v>
      </c>
      <c r="D53" s="2562" t="s">
        <v>2299</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7"/>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2"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2"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2"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2"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2"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6" customFormat="1" ht="18.75" thickBot="1">
      <c r="A1" s="3257" t="s">
        <v>2282</v>
      </c>
      <c r="B1" s="3258"/>
      <c r="C1" s="3258"/>
      <c r="D1" s="3258"/>
      <c r="E1" s="3258"/>
      <c r="F1" s="3258"/>
      <c r="G1" s="325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2278</v>
      </c>
      <c r="D2" s="1593"/>
      <c r="E2" s="2257"/>
      <c r="F2" s="2260"/>
      <c r="G2" s="2259" t="s">
        <v>2279</v>
      </c>
      <c r="H2" s="749"/>
      <c r="I2" s="749"/>
      <c r="J2" s="749"/>
      <c r="K2" s="749"/>
      <c r="L2" s="749"/>
      <c r="M2" s="749"/>
      <c r="N2" s="749"/>
      <c r="O2" s="749"/>
      <c r="P2" s="749"/>
      <c r="Q2" s="749"/>
    </row>
    <row r="3" spans="1:29" ht="48">
      <c r="A3" s="2244" t="s">
        <v>2280</v>
      </c>
      <c r="B3" s="2261" t="s">
        <v>2252</v>
      </c>
      <c r="C3" s="3164" t="s">
        <v>3417</v>
      </c>
      <c r="D3" s="2262"/>
      <c r="E3" s="2245" t="s">
        <v>2280</v>
      </c>
      <c r="F3" s="2263" t="s">
        <v>2253</v>
      </c>
      <c r="G3" s="2264" t="s">
        <v>2281</v>
      </c>
      <c r="H3" s="749"/>
      <c r="I3" s="749"/>
      <c r="J3" s="749"/>
      <c r="K3" s="749"/>
      <c r="L3" s="749"/>
      <c r="M3" s="749"/>
      <c r="N3" s="749"/>
      <c r="O3" s="749"/>
      <c r="P3" s="749"/>
      <c r="Q3" s="749"/>
    </row>
    <row r="4" spans="1:29" ht="36.75">
      <c r="A4" s="2245"/>
      <c r="B4" s="313" t="s">
        <v>2254</v>
      </c>
      <c r="C4" s="2265" t="s">
        <v>3414</v>
      </c>
      <c r="D4" s="2262"/>
      <c r="E4" s="2266"/>
      <c r="F4" s="1279" t="s">
        <v>2255</v>
      </c>
      <c r="G4" s="2267" t="s">
        <v>2256</v>
      </c>
      <c r="H4" s="749"/>
      <c r="I4" s="749"/>
      <c r="J4" s="749"/>
      <c r="K4" s="749"/>
      <c r="L4" s="749"/>
      <c r="M4" s="749"/>
      <c r="N4" s="749"/>
      <c r="O4" s="749"/>
      <c r="P4" s="749"/>
      <c r="Q4" s="749"/>
    </row>
    <row r="5" spans="1:29" ht="36.75">
      <c r="A5" s="2245"/>
      <c r="B5" s="313" t="s">
        <v>2257</v>
      </c>
      <c r="C5" s="2265" t="s">
        <v>3415</v>
      </c>
      <c r="D5" s="2262"/>
      <c r="E5" s="2266"/>
      <c r="F5" s="313" t="s">
        <v>2258</v>
      </c>
      <c r="G5" s="2267" t="s">
        <v>2259</v>
      </c>
      <c r="H5" s="749"/>
      <c r="I5" s="749"/>
      <c r="J5" s="749"/>
      <c r="K5" s="749"/>
      <c r="L5" s="749"/>
      <c r="M5" s="749"/>
      <c r="N5" s="749"/>
      <c r="O5" s="749"/>
      <c r="P5" s="749"/>
      <c r="Q5" s="749"/>
    </row>
    <row r="6" spans="1:29" ht="48">
      <c r="A6" s="2245"/>
      <c r="B6" s="313" t="s">
        <v>2260</v>
      </c>
      <c r="C6" s="3165" t="s">
        <v>3420</v>
      </c>
      <c r="D6" s="2262"/>
      <c r="E6" s="2266"/>
      <c r="F6" s="313" t="s">
        <v>2261</v>
      </c>
      <c r="G6" s="2267" t="s">
        <v>2262</v>
      </c>
      <c r="H6" s="749"/>
      <c r="I6" s="749"/>
      <c r="J6" s="749"/>
      <c r="K6" s="749"/>
      <c r="L6" s="749"/>
      <c r="M6" s="749"/>
      <c r="N6" s="749"/>
      <c r="O6" s="749"/>
      <c r="P6" s="749"/>
      <c r="Q6" s="749"/>
    </row>
    <row r="7" spans="1:29" ht="144.75" thickBot="1">
      <c r="A7" s="2245"/>
      <c r="B7" s="313" t="s">
        <v>2258</v>
      </c>
      <c r="C7" s="3165" t="s">
        <v>3418</v>
      </c>
      <c r="D7" s="2242"/>
      <c r="E7" s="2268"/>
      <c r="F7" s="2269" t="s">
        <v>2263</v>
      </c>
      <c r="G7" s="2270" t="s">
        <v>2264</v>
      </c>
      <c r="H7" s="749"/>
      <c r="I7" s="749"/>
      <c r="J7" s="749"/>
      <c r="K7" s="749"/>
      <c r="L7" s="749"/>
      <c r="M7" s="749"/>
      <c r="N7" s="749"/>
      <c r="O7" s="749"/>
      <c r="P7" s="749"/>
      <c r="Q7" s="749"/>
    </row>
    <row r="8" spans="1:29">
      <c r="A8" s="2245"/>
      <c r="B8" s="313" t="s">
        <v>2261</v>
      </c>
      <c r="C8" s="3165" t="s">
        <v>3416</v>
      </c>
      <c r="D8" s="2242"/>
      <c r="E8" s="2242"/>
      <c r="F8" s="120"/>
      <c r="G8" s="120"/>
      <c r="H8" s="749"/>
      <c r="I8" s="749"/>
      <c r="J8" s="749"/>
      <c r="K8" s="749"/>
      <c r="L8" s="749"/>
      <c r="M8" s="749"/>
      <c r="N8" s="749"/>
      <c r="O8" s="749"/>
      <c r="P8" s="749"/>
      <c r="Q8" s="749"/>
    </row>
    <row r="9" spans="1:29" ht="60">
      <c r="A9" s="2245"/>
      <c r="B9" s="313" t="s">
        <v>2265</v>
      </c>
      <c r="C9" s="3166" t="s">
        <v>3419</v>
      </c>
      <c r="D9" s="2262"/>
      <c r="E9" s="2242"/>
      <c r="F9" s="120"/>
      <c r="G9" s="120"/>
      <c r="H9" s="749"/>
      <c r="I9" s="749"/>
      <c r="J9" s="749"/>
      <c r="K9" s="749"/>
      <c r="L9" s="749"/>
      <c r="M9" s="749"/>
      <c r="N9" s="749"/>
      <c r="O9" s="749"/>
      <c r="P9" s="749"/>
      <c r="Q9" s="749"/>
    </row>
    <row r="10" spans="1:29" ht="15" thickBot="1">
      <c r="A10" s="2246"/>
      <c r="B10" s="2271" t="s">
        <v>2266</v>
      </c>
      <c r="C10" s="2272"/>
      <c r="D10" s="2262"/>
      <c r="E10" s="2262"/>
      <c r="F10" s="120"/>
      <c r="G10" s="120"/>
      <c r="J10" s="2274"/>
      <c r="M10" s="2274"/>
      <c r="P10" s="2274"/>
      <c r="R10" s="2273"/>
    </row>
    <row r="11" spans="1:29">
      <c r="A11" s="2275"/>
      <c r="B11" s="2242"/>
      <c r="C11" s="2262"/>
      <c r="D11" s="2262"/>
      <c r="E11" s="2262"/>
      <c r="F11" s="2242"/>
      <c r="G11" s="2242"/>
      <c r="J11" s="2274"/>
      <c r="M11" s="2274"/>
      <c r="P11" s="2274"/>
      <c r="R11" s="2273"/>
    </row>
    <row r="12" spans="1:29" s="2256" customFormat="1" ht="18">
      <c r="A12" s="2275"/>
      <c r="B12" s="2242"/>
      <c r="C12" s="2262"/>
      <c r="D12" s="2276"/>
      <c r="E12" s="2262"/>
      <c r="F12" s="2242"/>
      <c r="G12" s="2242"/>
      <c r="H12" s="2277"/>
      <c r="I12" s="2277"/>
      <c r="J12" s="2277"/>
      <c r="K12" s="2277"/>
      <c r="L12" s="2278"/>
      <c r="M12" s="2277"/>
      <c r="N12" s="2279"/>
      <c r="O12" s="2279"/>
      <c r="P12" s="2279"/>
      <c r="Q12" s="2279"/>
      <c r="R12" s="2255"/>
      <c r="S12" s="2255"/>
      <c r="T12" s="2255"/>
      <c r="U12" s="2255"/>
      <c r="V12" s="2255"/>
      <c r="W12" s="2255"/>
      <c r="X12" s="2255"/>
      <c r="Y12" s="2255"/>
      <c r="Z12" s="2255"/>
      <c r="AA12" s="2255"/>
      <c r="AB12" s="2255"/>
      <c r="AC12" s="2255"/>
    </row>
    <row r="13" spans="1:29" ht="15.75" thickBot="1">
      <c r="A13" s="2280" t="s">
        <v>2283</v>
      </c>
      <c r="B13" s="2276"/>
      <c r="C13" s="2276"/>
      <c r="D13" s="2275"/>
      <c r="E13" s="2276"/>
      <c r="F13" s="2276"/>
      <c r="G13" s="2276"/>
    </row>
    <row r="14" spans="1:29" ht="15" thickBot="1">
      <c r="A14" s="2281"/>
      <c r="B14" s="2281"/>
      <c r="C14" s="2282" t="s">
        <v>2267</v>
      </c>
      <c r="D14" s="2262"/>
      <c r="E14" s="2283"/>
      <c r="F14" s="2283"/>
      <c r="G14" s="2259" t="s">
        <v>2268</v>
      </c>
    </row>
    <row r="15" spans="1:29" ht="51">
      <c r="A15" s="2247" t="s">
        <v>2269</v>
      </c>
      <c r="B15" s="2284" t="s">
        <v>2252</v>
      </c>
      <c r="C15" s="2285" t="str">
        <f>C3</f>
        <v>周边有合生国际家园、优士阁、双花园南里、广渠家园、百环家园等住宅小区，居住社区成熟度好。</v>
      </c>
      <c r="D15" s="2262"/>
      <c r="E15" s="2248" t="s">
        <v>2270</v>
      </c>
      <c r="F15" s="2284" t="s">
        <v>2271</v>
      </c>
      <c r="G15" s="2286" t="str">
        <f>G3</f>
        <v>估价对象位于XX开发区，园区建设成熟度XX，产业集聚程度XX</v>
      </c>
    </row>
    <row r="16" spans="1:29" ht="38.25">
      <c r="A16" s="2249"/>
      <c r="B16" s="2287" t="s">
        <v>2254</v>
      </c>
      <c r="C16" s="2288" t="str">
        <f>C4</f>
        <v>估价对象位于XX商圈，周边商业氛围成熟，人流量大，商业繁华度好</v>
      </c>
      <c r="D16" s="2262"/>
      <c r="E16" s="2250"/>
      <c r="F16" s="2289" t="s">
        <v>2255</v>
      </c>
      <c r="G16" s="2290" t="str">
        <f>G4</f>
        <v>估价对象周边道路状况、公共交通通达情况、停车便捷程度，综合评价交通便捷度较好</v>
      </c>
    </row>
    <row r="17" spans="1:17" ht="38.25">
      <c r="A17" s="2249"/>
      <c r="B17" s="2287" t="s">
        <v>2257</v>
      </c>
      <c r="C17" s="2288" t="str">
        <f>C5</f>
        <v>估价对象位于XX商圈，周边办公楼项目较多，入驻率高，办公集聚程度较好</v>
      </c>
      <c r="D17" s="2242"/>
      <c r="E17" s="2250"/>
      <c r="F17" s="2289" t="s">
        <v>2272</v>
      </c>
      <c r="G17" s="2291"/>
    </row>
    <row r="18" spans="1:17" ht="51">
      <c r="A18" s="2249"/>
      <c r="B18" s="2289" t="s">
        <v>2260</v>
      </c>
      <c r="C18" s="2290" t="str">
        <f>C6</f>
        <v>周边有28路、57路、72路、98路、300路等多条公交线路，地铁7号线与10号线换乘站双井站，综合评价交通便捷度好。</v>
      </c>
      <c r="D18" s="2242"/>
      <c r="E18" s="2250"/>
      <c r="F18" s="2289" t="s">
        <v>2263</v>
      </c>
      <c r="G18" s="2290" t="str">
        <f>G7</f>
        <v>该园区内是否有污染型企业，绿化情况，卫生条件，整体环境状况判断</v>
      </c>
    </row>
    <row r="19" spans="1:17" ht="25.5">
      <c r="A19" s="2249"/>
      <c r="B19" s="2289" t="s">
        <v>2273</v>
      </c>
      <c r="C19" s="2291"/>
      <c r="D19" s="2262"/>
      <c r="E19" s="2250"/>
      <c r="F19" s="313" t="s">
        <v>2258</v>
      </c>
      <c r="G19" s="2290" t="str">
        <f>G5</f>
        <v>估价对象所在区域公共配套设施齐备情况</v>
      </c>
    </row>
    <row r="20" spans="1:17" ht="63.75">
      <c r="A20" s="2249"/>
      <c r="B20" s="2289" t="s">
        <v>2274</v>
      </c>
      <c r="C20" s="2288" t="str">
        <f>C9</f>
        <v>自然环境：CBD城市森林公园、通惠河水系等自然景观；
人文环境：北京今日美术馆等人文场所；
综合评价环境状况较好。</v>
      </c>
      <c r="D20" s="2242"/>
      <c r="E20" s="2250"/>
      <c r="F20" s="313" t="s">
        <v>2261</v>
      </c>
      <c r="G20" s="2290" t="str">
        <f>G6</f>
        <v>估价对象所在区域基础设施水平</v>
      </c>
    </row>
    <row r="21" spans="1:17" ht="153">
      <c r="A21" s="2249"/>
      <c r="B21" s="313" t="s">
        <v>2258</v>
      </c>
      <c r="C21" s="2290" t="str">
        <f>C7</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D21" s="2262"/>
      <c r="E21" s="2250"/>
      <c r="F21" s="2289" t="s">
        <v>2275</v>
      </c>
      <c r="G21" s="2292"/>
    </row>
    <row r="22" spans="1:17" ht="13.5" customHeight="1">
      <c r="A22" s="2249"/>
      <c r="B22" s="313" t="s">
        <v>2261</v>
      </c>
      <c r="C22" s="2290" t="str">
        <f>C8</f>
        <v>估价对象所在区域基础设施水平</v>
      </c>
      <c r="D22" s="2262"/>
      <c r="E22" s="2250"/>
      <c r="F22" s="2289" t="s">
        <v>2266</v>
      </c>
      <c r="G22" s="2291"/>
    </row>
    <row r="23" spans="1:17" s="749" customFormat="1" ht="15" thickBot="1">
      <c r="A23" s="2249"/>
      <c r="B23" s="2289" t="s">
        <v>2275</v>
      </c>
      <c r="C23" s="2292"/>
      <c r="D23" s="1612"/>
      <c r="E23" s="2251"/>
      <c r="F23" s="2293" t="s">
        <v>2276</v>
      </c>
      <c r="G23" s="2294"/>
      <c r="H23" s="2273"/>
      <c r="I23" s="2273"/>
      <c r="J23" s="2273"/>
      <c r="K23" s="2273"/>
      <c r="L23" s="2273"/>
      <c r="M23" s="2273"/>
      <c r="N23" s="2273"/>
      <c r="O23" s="2273"/>
      <c r="P23" s="2273"/>
      <c r="Q23" s="2273"/>
    </row>
    <row r="24" spans="1:17" s="749" customFormat="1" ht="15" thickBot="1">
      <c r="A24" s="2252"/>
      <c r="B24" s="2293" t="s">
        <v>2277</v>
      </c>
      <c r="C24" s="2295">
        <f>C10</f>
        <v>0</v>
      </c>
      <c r="D24" s="1612"/>
      <c r="E24" s="2242"/>
      <c r="F24" s="2242"/>
      <c r="G24" s="2242"/>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0</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45755</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SUM(D14:D23)</f>
        <v>0</v>
      </c>
      <c r="C5" s="2296">
        <f ca="1">IF(B5=D14,结果表!H102,ROUND(B5*10000/$B$1,0))</f>
        <v>0</v>
      </c>
      <c r="D5" s="2296" t="e">
        <f>ROUND(B5*10000/$B$2,0)</f>
        <v>#DIV/0!</v>
      </c>
      <c r="E5" s="2458"/>
      <c r="F5" s="2459"/>
      <c r="G5" s="2459"/>
      <c r="H5" s="2459"/>
      <c r="I5" s="2459"/>
      <c r="J5" s="2459"/>
      <c r="K5" s="2459"/>
    </row>
    <row r="6" spans="1:11" ht="16.5">
      <c r="A6" s="2296" t="s">
        <v>656</v>
      </c>
      <c r="B6" s="2296">
        <f>SUM(G14:G23)</f>
        <v>0</v>
      </c>
      <c r="C6" s="2296">
        <f ca="1">IF(B6=G14,结果表!H108,ROUND(B6*10000/$B$1,0))</f>
        <v>0</v>
      </c>
      <c r="D6" s="2296" t="e">
        <f>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2"/>
      <c r="C9" s="2458"/>
      <c r="D9" s="2458"/>
      <c r="E9" s="2458"/>
      <c r="F9" s="2459"/>
      <c r="G9" s="2459"/>
      <c r="H9" s="2459"/>
      <c r="I9" s="2459"/>
      <c r="J9" s="2459"/>
      <c r="K9" s="2459"/>
    </row>
    <row r="10" spans="1:11" ht="16.5">
      <c r="A10" s="2296" t="s">
        <v>654</v>
      </c>
      <c r="B10" s="2296">
        <f>IF(E10="",0,ROUND(B1*(E10*365/G10)/10000,0))</f>
        <v>0</v>
      </c>
      <c r="C10" s="2296" t="s">
        <v>3352</v>
      </c>
      <c r="D10" s="2296" t="s">
        <v>3353</v>
      </c>
      <c r="E10" s="3133"/>
      <c r="F10" s="3137" t="s">
        <v>3354</v>
      </c>
      <c r="G10" s="3134"/>
      <c r="H10" s="2459"/>
      <c r="I10" s="2459"/>
      <c r="J10" s="2459"/>
      <c r="K10" s="2459"/>
    </row>
    <row r="11" spans="1:11" ht="16.5">
      <c r="A11" s="2296" t="s">
        <v>670</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c r="C14" s="2302"/>
      <c r="D14" s="2302"/>
      <c r="E14" s="2302" t="e">
        <f>ROUND(D14*10000/B14,0)</f>
        <v>#DIV/0!</v>
      </c>
      <c r="F14" s="2302" t="e">
        <f>ROUND(D14*10000/C14,0)</f>
        <v>#DIV/0!</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2"/>
      <c r="H15" s="1242"/>
      <c r="I15" s="2303"/>
      <c r="J15" s="2459"/>
      <c r="K15" s="2459"/>
    </row>
    <row r="16" spans="1:11" ht="16.5">
      <c r="A16" s="2301" t="s">
        <v>648</v>
      </c>
      <c r="B16" s="2303"/>
      <c r="C16" s="2303"/>
      <c r="D16" s="2303"/>
      <c r="E16" s="2302" t="e">
        <f t="shared" si="0"/>
        <v>#DIV/0!</v>
      </c>
      <c r="F16" s="2302" t="e">
        <f t="shared" si="1"/>
        <v>#DIV/0!</v>
      </c>
      <c r="G16" s="1242"/>
      <c r="H16" s="1242"/>
      <c r="I16" s="2303"/>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t="s">
        <v>3402</v>
      </c>
      <c r="D1" s="644"/>
      <c r="E1" s="644"/>
      <c r="F1" s="1619" t="s">
        <v>1263</v>
      </c>
      <c r="G1" s="1451" t="s">
        <v>3534</v>
      </c>
      <c r="H1" s="1619" t="str">
        <f>IF(G1="现房","——","估价对象范围")</f>
        <v>——</v>
      </c>
      <c r="I1" s="1620" t="s">
        <v>3535</v>
      </c>
    </row>
    <row r="2" spans="1:12" ht="21.75" customHeight="1" thickBot="1">
      <c r="A2" s="3326" t="str">
        <f>项目基本情况!S2</f>
        <v>北京市房地产</v>
      </c>
      <c r="B2" s="3327"/>
      <c r="C2" s="3327"/>
      <c r="D2" s="3327"/>
      <c r="E2" s="3327"/>
      <c r="F2" s="3327"/>
      <c r="G2" s="3327"/>
      <c r="H2" s="3327"/>
      <c r="I2" s="3328"/>
    </row>
    <row r="3" spans="1:12" ht="12.75">
      <c r="A3" s="3330" t="s">
        <v>1264</v>
      </c>
      <c r="B3" s="3331"/>
      <c r="C3" s="3331"/>
      <c r="D3" s="3331"/>
      <c r="E3" s="3331"/>
      <c r="F3" s="3331"/>
      <c r="G3" s="3331"/>
      <c r="H3" s="3331"/>
      <c r="I3" s="3331"/>
    </row>
    <row r="4" spans="1:12" ht="14.25">
      <c r="A4" s="1622" t="s">
        <v>1265</v>
      </c>
      <c r="B4" s="1623" t="s">
        <v>1266</v>
      </c>
      <c r="C4" s="1624" t="s">
        <v>3530</v>
      </c>
      <c r="D4" s="1624" t="s">
        <v>3413</v>
      </c>
      <c r="E4" s="3335" t="s">
        <v>1267</v>
      </c>
      <c r="F4" s="3336"/>
      <c r="G4" s="3336"/>
      <c r="H4" s="3336"/>
      <c r="I4" s="3337"/>
      <c r="K4" s="136" t="str">
        <f>IF(ISNUMBER(FIND("比较法",结果表!C4)),"比较法",IF(ISNUMBER(FIND("成本法",结果表!C4)),"成本法",IF(ISNUMBER(FIND("假设开发法",结果表!C4)),"假设开发法",IF(ISNUMBER(FIND("收益法",结果表!C4)),"收益法","基准地价系数修正法"))))</f>
        <v>比较法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274" t="s">
        <v>1268</v>
      </c>
      <c r="B5" s="3329">
        <v>25</v>
      </c>
      <c r="C5" s="3332"/>
      <c r="D5" s="3320"/>
      <c r="E5" s="122" t="s">
        <v>1269</v>
      </c>
      <c r="F5" s="1625"/>
      <c r="G5" s="1625"/>
      <c r="H5" s="1625"/>
      <c r="I5" s="1279"/>
    </row>
    <row r="6" spans="1:12" ht="12.75" customHeight="1">
      <c r="A6" s="3274"/>
      <c r="B6" s="3329"/>
      <c r="C6" s="3334"/>
      <c r="D6" s="3320"/>
      <c r="E6" s="122" t="s">
        <v>1270</v>
      </c>
      <c r="F6" s="1625"/>
      <c r="G6" s="1625"/>
      <c r="H6" s="1625"/>
      <c r="I6" s="1279"/>
    </row>
    <row r="7" spans="1:12" ht="12.75" customHeight="1">
      <c r="A7" s="3274"/>
      <c r="B7" s="3329"/>
      <c r="C7" s="3333"/>
      <c r="D7" s="3320"/>
      <c r="E7" s="122" t="s">
        <v>1271</v>
      </c>
      <c r="F7" s="1625"/>
      <c r="G7" s="1625"/>
      <c r="H7" s="1625"/>
      <c r="I7" s="1279"/>
    </row>
    <row r="8" spans="1:12" ht="12.75" customHeight="1">
      <c r="A8" s="3274" t="s">
        <v>1272</v>
      </c>
      <c r="B8" s="3329">
        <v>15</v>
      </c>
      <c r="C8" s="3332"/>
      <c r="D8" s="3320"/>
      <c r="E8" s="122" t="s">
        <v>1273</v>
      </c>
      <c r="F8" s="1625"/>
      <c r="G8" s="1625"/>
      <c r="H8" s="1625"/>
      <c r="I8" s="1279"/>
    </row>
    <row r="9" spans="1:12" ht="12.75" customHeight="1">
      <c r="A9" s="3274"/>
      <c r="B9" s="3329"/>
      <c r="C9" s="3334"/>
      <c r="D9" s="3320"/>
      <c r="E9" s="122" t="s">
        <v>1274</v>
      </c>
      <c r="F9" s="1625"/>
      <c r="G9" s="1625"/>
      <c r="H9" s="1625"/>
      <c r="I9" s="1279"/>
    </row>
    <row r="10" spans="1:12" ht="12.75" customHeight="1">
      <c r="A10" s="3274" t="s">
        <v>1275</v>
      </c>
      <c r="B10" s="3329">
        <v>15</v>
      </c>
      <c r="C10" s="3333"/>
      <c r="D10" s="3320"/>
      <c r="E10" s="122" t="s">
        <v>1276</v>
      </c>
      <c r="F10" s="1625"/>
      <c r="G10" s="1625"/>
      <c r="H10" s="1625"/>
      <c r="I10" s="1279"/>
    </row>
    <row r="11" spans="1:12" ht="12.75" customHeight="1">
      <c r="A11" s="3274"/>
      <c r="B11" s="3329"/>
      <c r="C11" s="3332"/>
      <c r="D11" s="3320"/>
      <c r="E11" s="122" t="s">
        <v>1277</v>
      </c>
      <c r="F11" s="1625"/>
      <c r="G11" s="1625"/>
      <c r="H11" s="1625"/>
      <c r="I11" s="1279"/>
    </row>
    <row r="12" spans="1:12" ht="12.75" customHeight="1">
      <c r="A12" s="3274" t="s">
        <v>1278</v>
      </c>
      <c r="B12" s="3329">
        <v>15</v>
      </c>
      <c r="C12" s="3334"/>
      <c r="D12" s="3320"/>
      <c r="E12" s="122" t="s">
        <v>1279</v>
      </c>
      <c r="F12" s="1625"/>
      <c r="G12" s="1625"/>
      <c r="H12" s="1625"/>
      <c r="I12" s="1279"/>
    </row>
    <row r="13" spans="1:12" ht="12.75" customHeight="1">
      <c r="A13" s="3274"/>
      <c r="B13" s="3329"/>
      <c r="C13" s="3333"/>
      <c r="D13" s="3320"/>
      <c r="E13" s="122" t="s">
        <v>1280</v>
      </c>
      <c r="F13" s="1625"/>
      <c r="G13" s="1625"/>
      <c r="H13" s="1625"/>
      <c r="I13" s="1279"/>
    </row>
    <row r="14" spans="1:12" ht="12.75">
      <c r="A14" s="3274" t="s">
        <v>1281</v>
      </c>
      <c r="B14" s="3329">
        <v>30</v>
      </c>
      <c r="C14" s="3332">
        <v>8</v>
      </c>
      <c r="D14" s="3320">
        <v>2</v>
      </c>
      <c r="E14" s="122" t="s">
        <v>1282</v>
      </c>
      <c r="F14" s="1625"/>
      <c r="G14" s="1625"/>
      <c r="H14" s="1625"/>
      <c r="I14" s="1279"/>
    </row>
    <row r="15" spans="1:12" ht="12.75">
      <c r="A15" s="3274"/>
      <c r="B15" s="3329"/>
      <c r="C15" s="3334"/>
      <c r="D15" s="3320"/>
      <c r="E15" s="122" t="s">
        <v>1283</v>
      </c>
      <c r="F15" s="1625"/>
      <c r="G15" s="1625"/>
      <c r="H15" s="1625"/>
      <c r="I15" s="1279"/>
    </row>
    <row r="16" spans="1:12" ht="12.75">
      <c r="A16" s="3274"/>
      <c r="B16" s="3329"/>
      <c r="C16" s="3333"/>
      <c r="D16" s="3320"/>
      <c r="E16" s="122" t="s">
        <v>1284</v>
      </c>
      <c r="F16" s="1625"/>
      <c r="G16" s="1625"/>
      <c r="H16" s="1625"/>
      <c r="I16" s="1279"/>
    </row>
    <row r="17" spans="1:36" ht="15">
      <c r="A17" s="1626" t="s">
        <v>1285</v>
      </c>
      <c r="B17" s="54"/>
      <c r="C17" s="123">
        <f>SUM(C5:C16)</f>
        <v>8</v>
      </c>
      <c r="D17" s="123">
        <f>SUM(D5:D16)</f>
        <v>2</v>
      </c>
      <c r="E17" s="120"/>
      <c r="F17" s="120"/>
      <c r="G17" s="120"/>
      <c r="H17" s="120"/>
      <c r="I17" s="120"/>
      <c r="K17" s="292"/>
      <c r="L17" s="292" t="s">
        <v>1286</v>
      </c>
      <c r="M17" s="292" t="s">
        <v>1287</v>
      </c>
    </row>
    <row r="18" spans="1:36" ht="31.9" customHeight="1" thickBot="1">
      <c r="A18" s="1627" t="s">
        <v>1288</v>
      </c>
      <c r="B18" s="1540"/>
      <c r="C18" s="124">
        <f>ROUND(C17/SUM(C17:D17),2)</f>
        <v>0.8</v>
      </c>
      <c r="D18" s="124">
        <f>1-C18</f>
        <v>0.19999999999999996</v>
      </c>
      <c r="E18" s="3351" t="s">
        <v>2131</v>
      </c>
      <c r="F18" s="3352"/>
      <c r="G18" s="3352"/>
      <c r="H18" s="3352"/>
      <c r="I18" s="3352"/>
      <c r="K18" s="292" t="s">
        <v>1289</v>
      </c>
      <c r="L18" s="292">
        <f>IF(C1="",'数据-汇总表'!E3,SUMIF(项目类型,C1,'数据-汇总表'!E17:E26)+SUMIF(项目类型,C1,'数据-汇总表'!I17:I26))</f>
        <v>143.31</v>
      </c>
      <c r="M18" s="292">
        <f>IF(C1="",'数据-汇总表'!E3,SUMIF(项目类型,C1,'数据-汇总表'!E17:E26))</f>
        <v>143.31</v>
      </c>
    </row>
    <row r="19" spans="1:36" ht="15">
      <c r="A19" s="1628" t="s">
        <v>1290</v>
      </c>
      <c r="B19" s="1629" t="s">
        <v>1291</v>
      </c>
      <c r="C19" s="125">
        <f ca="1">SUMIF(INDIRECT("'"&amp;C4&amp;"'"&amp;"!A:A"),结果表!B19,INDIRECT("'"&amp;C4&amp;"'"&amp;"!B:B"))</f>
        <v>1270.9160999999999</v>
      </c>
      <c r="D19" s="125">
        <f ca="1">SUMIF(INDIRECT("'"&amp;D4&amp;"'"&amp;"!A:A"),结果表!B19,INDIRECT("'"&amp;D4&amp;"'"&amp;"!B:B"))</f>
        <v>588.37170000000003</v>
      </c>
      <c r="E19" s="1628" t="s">
        <v>1292</v>
      </c>
      <c r="F19" s="1629" t="s">
        <v>1291</v>
      </c>
      <c r="G19" s="126">
        <f ca="1">ROUND(G20*'数据-基础表'!I13/10000,4)</f>
        <v>1134.4132999999999</v>
      </c>
      <c r="H19" s="1630" t="s">
        <v>1293</v>
      </c>
      <c r="I19" s="120"/>
      <c r="J19" s="682">
        <v>1200</v>
      </c>
      <c r="K19" s="292" t="s">
        <v>1294</v>
      </c>
      <c r="L19" s="292">
        <f>IF(C1="",'数据-汇总表'!D3,SUMIF(项目类型,C1,'数据-汇总表'!D17:D26)+SUMIF(项目类型,C1,'数据-汇总表'!H17:H27))</f>
        <v>0</v>
      </c>
      <c r="M19" s="292">
        <f>IF(C1="",'数据-汇总表'!D3,SUMIF(项目类型,C1,'数据-汇总表'!D17:D26))</f>
        <v>0</v>
      </c>
    </row>
    <row r="20" spans="1:36" ht="15">
      <c r="A20" s="1631"/>
      <c r="B20" s="43" t="s">
        <v>1295</v>
      </c>
      <c r="C20" s="127">
        <f ca="1">SUMIF(INDIRECT("'"&amp;C4&amp;"'"&amp;"!A:A"),结果表!B20,INDIRECT("'"&amp;C4&amp;"'"&amp;"!B:B"))</f>
        <v>88683</v>
      </c>
      <c r="D20" s="128">
        <f ca="1">SUMIF(INDIRECT("'"&amp;D4&amp;"'"&amp;"!A:A"),结果表!B20,INDIRECT("'"&amp;D4&amp;"'"&amp;"!B:B"))</f>
        <v>41056</v>
      </c>
      <c r="E20" s="1631"/>
      <c r="F20" s="43" t="s">
        <v>1295</v>
      </c>
      <c r="G20" s="129">
        <f ca="1">ROUND(C20*$C$18+D20*$D$18,0)</f>
        <v>79158</v>
      </c>
      <c r="H20" s="758" t="s">
        <v>1296</v>
      </c>
      <c r="I20" s="120"/>
      <c r="J20" s="682">
        <f ca="1">G19/J19</f>
        <v>0.94534441666666658</v>
      </c>
    </row>
    <row r="21" spans="1:36" ht="15" customHeight="1" thickBot="1">
      <c r="A21" s="447"/>
      <c r="B21" s="93" t="s">
        <v>1297</v>
      </c>
      <c r="C21" s="676" t="e">
        <f ca="1">ROUND(C19*10000/L19,0)</f>
        <v>#DIV/0!</v>
      </c>
      <c r="D21" s="677" t="e">
        <f ca="1">ROUND(D19*10000/L19,0)</f>
        <v>#DIV/0!</v>
      </c>
      <c r="E21" s="447"/>
      <c r="F21" s="93" t="s">
        <v>1297</v>
      </c>
      <c r="G21" s="130" t="e">
        <f ca="1">ROUND(G19*10000/L19,0)</f>
        <v>#DIV/0!</v>
      </c>
      <c r="H21" s="1632" t="s">
        <v>1296</v>
      </c>
      <c r="I21" s="120"/>
    </row>
    <row r="22" spans="1:36" ht="15" thickBot="1">
      <c r="A22" s="1562" t="s">
        <v>1298</v>
      </c>
      <c r="B22" s="1633"/>
      <c r="C22" s="1634"/>
      <c r="D22" s="678">
        <f ca="1">IF(C19&lt;D19,D19/C19-1,C19/D19-1)</f>
        <v>1.1600564745041271</v>
      </c>
      <c r="E22" s="120"/>
      <c r="F22" s="120"/>
      <c r="G22" s="120"/>
      <c r="H22" s="120"/>
      <c r="I22" s="120"/>
    </row>
    <row r="23" spans="1:36" ht="13.5" thickBot="1">
      <c r="A23" s="644"/>
      <c r="B23" s="644"/>
      <c r="C23" s="644"/>
      <c r="D23" s="644"/>
      <c r="E23" s="120"/>
      <c r="F23" s="120"/>
      <c r="G23" s="120"/>
      <c r="H23" s="120"/>
      <c r="I23" s="120"/>
    </row>
    <row r="24" spans="1:36" ht="14.25">
      <c r="A24" s="3344" t="s">
        <v>1299</v>
      </c>
      <c r="B24" s="1629" t="s">
        <v>1291</v>
      </c>
      <c r="C24" s="126">
        <f>IF(B30=0,0,D30)</f>
        <v>0</v>
      </c>
      <c r="D24" s="1635"/>
      <c r="E24" s="120"/>
      <c r="F24" s="120"/>
      <c r="G24" s="120"/>
      <c r="H24" s="120"/>
      <c r="I24" s="120"/>
    </row>
    <row r="25" spans="1:36" ht="14.25">
      <c r="A25" s="3345"/>
      <c r="B25" s="43" t="s">
        <v>1295</v>
      </c>
      <c r="C25" s="131">
        <f>IF(B30=0,0,C30)</f>
        <v>0</v>
      </c>
      <c r="D25" s="1636"/>
      <c r="E25" s="120"/>
      <c r="F25" s="120"/>
      <c r="G25" s="120"/>
      <c r="H25" s="120"/>
      <c r="I25" s="120"/>
    </row>
    <row r="26" spans="1:36" ht="13.5" customHeight="1">
      <c r="A26" s="1637" t="s">
        <v>1300</v>
      </c>
      <c r="B26" s="132" t="s">
        <v>1301</v>
      </c>
      <c r="C26" s="132" t="s">
        <v>1302</v>
      </c>
      <c r="D26" s="133" t="s">
        <v>1303</v>
      </c>
      <c r="E26" s="120"/>
      <c r="F26" s="120"/>
      <c r="G26" s="120"/>
      <c r="H26" s="120"/>
      <c r="I26" s="120"/>
    </row>
    <row r="27" spans="1:36" ht="14.25">
      <c r="A27" s="1637"/>
      <c r="B27" s="132">
        <v>0</v>
      </c>
      <c r="C27" s="132">
        <v>0</v>
      </c>
      <c r="D27" s="133">
        <f>ROUND(C27*B27/10000,0)</f>
        <v>0</v>
      </c>
      <c r="E27" s="120"/>
      <c r="F27" s="120"/>
      <c r="G27" s="120"/>
      <c r="H27" s="120"/>
      <c r="I27" s="120"/>
    </row>
    <row r="28" spans="1:36" ht="14.25">
      <c r="A28" s="1637"/>
      <c r="B28" s="132"/>
      <c r="C28" s="132"/>
      <c r="D28" s="133"/>
      <c r="E28" s="120"/>
      <c r="F28" s="120"/>
      <c r="G28" s="120"/>
      <c r="H28" s="120"/>
      <c r="I28" s="120"/>
    </row>
    <row r="29" spans="1:36" ht="14.25">
      <c r="A29" s="1637"/>
      <c r="B29" s="132"/>
      <c r="C29" s="132"/>
      <c r="D29" s="133"/>
      <c r="E29" s="120"/>
      <c r="F29" s="120"/>
      <c r="G29" s="120"/>
      <c r="H29" s="120"/>
      <c r="I29" s="120"/>
    </row>
    <row r="30" spans="1:36" ht="15" thickBot="1">
      <c r="A30" s="132" t="s">
        <v>1304</v>
      </c>
      <c r="B30" s="132"/>
      <c r="C30" s="132"/>
      <c r="D30" s="132"/>
      <c r="E30" s="2124" t="s">
        <v>2132</v>
      </c>
      <c r="F30" s="120"/>
      <c r="G30" s="120"/>
      <c r="H30" s="120"/>
      <c r="I30" s="120"/>
    </row>
    <row r="31" spans="1:36" s="2130" customFormat="1" ht="26.45" customHeight="1" thickTop="1" thickBot="1">
      <c r="A31" s="2125"/>
      <c r="B31" s="2126"/>
      <c r="C31" s="2126"/>
      <c r="D31" s="2126"/>
      <c r="E31" s="2126"/>
      <c r="F31" s="2126"/>
      <c r="G31" s="2126"/>
      <c r="H31" s="2126"/>
      <c r="I31" s="2127" t="s">
        <v>2133</v>
      </c>
      <c r="J31" s="2460"/>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8" t="s">
        <v>1305</v>
      </c>
      <c r="B32" s="1533"/>
      <c r="C32" s="134">
        <f ca="1">IF(D32="总价",G19-C24,G20-C25)</f>
        <v>79158</v>
      </c>
      <c r="D32" s="1639"/>
      <c r="E32" s="120"/>
      <c r="F32" s="120"/>
      <c r="G32" s="120"/>
      <c r="H32" s="120"/>
      <c r="I32" s="120"/>
    </row>
    <row r="33" spans="1:15" ht="15">
      <c r="A33" s="738" t="s">
        <v>1306</v>
      </c>
      <c r="B33" s="122"/>
      <c r="C33" s="1640"/>
      <c r="D33" s="1641"/>
      <c r="E33" s="1642" t="s">
        <v>1307</v>
      </c>
      <c r="F33" s="1643" t="str">
        <f>IF(D32="楼面单价","取值（单价）","取值（总价）")</f>
        <v>取值（总价）</v>
      </c>
      <c r="G33" s="120"/>
      <c r="H33" s="120"/>
      <c r="I33" s="120"/>
    </row>
    <row r="34" spans="1:15" ht="15">
      <c r="A34" s="1644"/>
      <c r="B34" s="1645"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4"/>
      <c r="G35" s="120"/>
      <c r="H35" s="120"/>
      <c r="I35" s="120"/>
    </row>
    <row r="36" spans="1:15" ht="15.75" thickBot="1">
      <c r="A36" s="3321" t="s">
        <v>1312</v>
      </c>
      <c r="B36" s="1650" t="s">
        <v>1313</v>
      </c>
      <c r="C36" s="135"/>
      <c r="D36" s="1651"/>
      <c r="E36" s="1565"/>
      <c r="F36" s="1652"/>
      <c r="G36" s="120"/>
      <c r="H36" s="120"/>
      <c r="I36" s="120"/>
    </row>
    <row r="37" spans="1:15" ht="15.75" thickBot="1">
      <c r="A37" s="3322"/>
      <c r="B37" s="1553" t="s">
        <v>1314</v>
      </c>
      <c r="C37" s="137"/>
      <c r="D37" s="1069"/>
      <c r="E37" s="1069"/>
      <c r="F37" s="1652"/>
      <c r="G37" s="120"/>
      <c r="H37" s="120"/>
      <c r="I37" s="120"/>
    </row>
    <row r="38" spans="1:15" ht="15.75" thickBot="1">
      <c r="A38" s="3323"/>
      <c r="B38" s="1653" t="s">
        <v>1315</v>
      </c>
      <c r="C38" s="639"/>
      <c r="D38" s="1654" t="s">
        <v>1316</v>
      </c>
      <c r="E38" s="1069"/>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39"/>
      <c r="C40" s="140"/>
      <c r="D40" s="140"/>
      <c r="E40" s="141"/>
      <c r="F40" s="1652"/>
      <c r="G40" s="120"/>
      <c r="H40" s="120"/>
      <c r="I40" s="120"/>
    </row>
    <row r="41" spans="1:15" ht="14.25">
      <c r="A41" s="1658" t="s">
        <v>1323</v>
      </c>
      <c r="B41" s="139"/>
      <c r="C41" s="140"/>
      <c r="D41" s="140"/>
      <c r="E41" s="141"/>
      <c r="F41" s="1652"/>
      <c r="G41" s="120"/>
      <c r="H41" s="120"/>
      <c r="I41" s="120"/>
    </row>
    <row r="42" spans="1:15" ht="15" thickBot="1">
      <c r="A42" s="1659"/>
      <c r="B42" s="142"/>
      <c r="C42" s="143"/>
      <c r="D42" s="143"/>
      <c r="E42" s="144"/>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41" t="s">
        <v>1326</v>
      </c>
      <c r="B45" s="3342"/>
      <c r="C45" s="3343"/>
      <c r="D45" s="145" t="e">
        <f ca="1">ROUND(H101*F45,0)</f>
        <v>#REF!</v>
      </c>
      <c r="E45" s="146" t="s">
        <v>1327</v>
      </c>
      <c r="F45" s="147">
        <v>1</v>
      </c>
      <c r="G45" s="148" t="s">
        <v>1328</v>
      </c>
      <c r="H45" s="120"/>
      <c r="I45" s="120"/>
      <c r="J45" s="3261" t="s">
        <v>1329</v>
      </c>
      <c r="K45" s="3261"/>
      <c r="L45" s="3261"/>
      <c r="M45" s="3261"/>
      <c r="N45" s="3261"/>
      <c r="O45" s="3261"/>
    </row>
    <row r="46" spans="1:15" ht="14.25" customHeight="1">
      <c r="A46" s="3338" t="s">
        <v>1330</v>
      </c>
      <c r="B46" s="3339"/>
      <c r="C46" s="3339"/>
      <c r="D46" s="3339"/>
      <c r="E46" s="3339"/>
      <c r="F46" s="3339"/>
      <c r="G46" s="3340"/>
      <c r="H46" s="1666"/>
      <c r="I46" s="149"/>
      <c r="J46" s="2306">
        <v>1</v>
      </c>
      <c r="K46" s="3262" t="s">
        <v>1331</v>
      </c>
      <c r="L46" s="3262"/>
      <c r="M46" s="3263"/>
      <c r="N46" s="3263"/>
      <c r="O46" s="3263"/>
    </row>
    <row r="47" spans="1:15" ht="12" customHeight="1">
      <c r="A47" s="150" t="s">
        <v>1332</v>
      </c>
      <c r="B47" s="151"/>
      <c r="C47" s="152"/>
      <c r="D47" s="1022" t="s">
        <v>1333</v>
      </c>
      <c r="E47" s="292" t="s">
        <v>1334</v>
      </c>
      <c r="F47" s="153" t="s">
        <v>1335</v>
      </c>
      <c r="G47" s="2329" t="s">
        <v>1336</v>
      </c>
      <c r="H47" s="2330"/>
      <c r="I47" s="149"/>
      <c r="J47" s="2306">
        <v>2</v>
      </c>
      <c r="K47" s="3262" t="s">
        <v>1337</v>
      </c>
      <c r="L47" s="3262"/>
      <c r="M47" s="3264">
        <f>'数据-取费表'!B2</f>
        <v>45755</v>
      </c>
      <c r="N47" s="3264"/>
      <c r="O47" s="3264"/>
    </row>
    <row r="48" spans="1:15" ht="25.5">
      <c r="A48" s="3324" t="s">
        <v>1338</v>
      </c>
      <c r="B48" s="3325"/>
      <c r="C48" s="3325"/>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62" t="s">
        <v>1340</v>
      </c>
      <c r="L48" s="3262"/>
      <c r="M48" s="3265" t="e">
        <f ca="1">H101</f>
        <v>#REF!</v>
      </c>
      <c r="N48" s="3265"/>
      <c r="O48" s="3265"/>
    </row>
    <row r="49" spans="1:35" ht="25.5" customHeight="1">
      <c r="A49" s="2149" t="s">
        <v>1341</v>
      </c>
      <c r="B49" s="3310" t="s">
        <v>1342</v>
      </c>
      <c r="C49" s="3310"/>
      <c r="D49" s="1476">
        <v>0</v>
      </c>
      <c r="E49" s="314" t="s">
        <v>1343</v>
      </c>
      <c r="F49" s="2230" t="s">
        <v>28</v>
      </c>
      <c r="G49" s="3293"/>
      <c r="H49" s="2131" t="s">
        <v>2134</v>
      </c>
      <c r="I49" s="2132"/>
      <c r="J49" s="2306">
        <v>4</v>
      </c>
      <c r="K49" s="3262" t="str">
        <f>IF(项目基本情况!E8="房地产抵押价值","房地产抵押价值","抵押担保权已注销时的房地产抵押价值")</f>
        <v>抵押担保权已注销时的房地产抵押价值</v>
      </c>
      <c r="L49" s="3262"/>
      <c r="M49" s="3265" t="str">
        <f>IF(项目基本情况!E8="房地产抵押价值",H107,H109)</f>
        <v>——</v>
      </c>
      <c r="N49" s="3265"/>
      <c r="O49" s="3265"/>
    </row>
    <row r="50" spans="1:35" ht="25.5" customHeight="1">
      <c r="A50" s="2334"/>
      <c r="B50" s="3310" t="s">
        <v>1344</v>
      </c>
      <c r="C50" s="3310"/>
      <c r="D50" s="2186"/>
      <c r="E50" s="321"/>
      <c r="F50" s="2230"/>
      <c r="G50" s="3294"/>
      <c r="H50" s="2133" t="s">
        <v>2135</v>
      </c>
      <c r="I50" s="2132"/>
      <c r="J50" s="3261" t="s">
        <v>1345</v>
      </c>
      <c r="K50" s="3261"/>
      <c r="L50" s="3261"/>
      <c r="M50" s="3261"/>
      <c r="N50" s="3261"/>
      <c r="O50" s="3261"/>
    </row>
    <row r="51" spans="1:35" ht="20.45" customHeight="1">
      <c r="A51" s="2335"/>
      <c r="B51" s="3310" t="s">
        <v>1346</v>
      </c>
      <c r="C51" s="3310"/>
      <c r="D51" s="1022"/>
      <c r="E51" s="317"/>
      <c r="F51" s="2230"/>
      <c r="G51" s="3295"/>
      <c r="H51" s="2133" t="s">
        <v>2136</v>
      </c>
      <c r="I51" s="2132"/>
      <c r="J51" s="2307" t="s">
        <v>1347</v>
      </c>
      <c r="K51" s="3262" t="s">
        <v>1348</v>
      </c>
      <c r="L51" s="3262"/>
      <c r="M51" s="2307" t="s">
        <v>1349</v>
      </c>
      <c r="N51" s="2307" t="s">
        <v>1350</v>
      </c>
      <c r="O51" s="2307" t="s">
        <v>1351</v>
      </c>
    </row>
    <row r="52" spans="1:35" ht="24" customHeight="1">
      <c r="A52" s="2150" t="s">
        <v>1352</v>
      </c>
      <c r="B52" s="3310" t="s">
        <v>1353</v>
      </c>
      <c r="C52" s="3310"/>
      <c r="D52" s="1022" t="e">
        <f ca="1">ROUND(D45*'数据-取费表'!B41/(1+'数据-取费表'!C42),0)</f>
        <v>#REF!</v>
      </c>
      <c r="E52" s="1254" t="s">
        <v>1354</v>
      </c>
      <c r="F52" s="2336">
        <f>'数据-取费表'!B41</f>
        <v>5.6000000000000001E-2</v>
      </c>
      <c r="G52" s="2337"/>
      <c r="H52" s="2327"/>
      <c r="I52" s="1667"/>
      <c r="J52" s="2306">
        <v>1</v>
      </c>
      <c r="K52" s="3287" t="s">
        <v>1355</v>
      </c>
      <c r="L52" s="3287"/>
      <c r="M52" s="2308" t="b">
        <f>D48</f>
        <v>0</v>
      </c>
      <c r="N52" s="2306" t="str">
        <f>E48</f>
        <v>销售额×税（费）率</v>
      </c>
      <c r="O52" s="2309">
        <f>F48</f>
        <v>5.6000000000000001E-2</v>
      </c>
    </row>
    <row r="53" spans="1:35" ht="12" customHeight="1">
      <c r="A53" s="2150" t="s">
        <v>1356</v>
      </c>
      <c r="B53" s="3311" t="s">
        <v>2287</v>
      </c>
      <c r="C53" s="3312"/>
      <c r="D53" s="1022" t="e">
        <f ca="1">ROUND(D45*'数据-取费表'!B41/(1+'数据-取费表'!C42),0)</f>
        <v>#REF!</v>
      </c>
      <c r="E53" s="1254" t="s">
        <v>1354</v>
      </c>
      <c r="F53" s="2336">
        <f>'数据-取费表'!B41</f>
        <v>5.6000000000000001E-2</v>
      </c>
      <c r="G53" s="2337"/>
      <c r="H53" s="2327"/>
      <c r="I53" s="1667"/>
      <c r="J53" s="2306">
        <v>2</v>
      </c>
      <c r="K53" s="3287" t="s">
        <v>1357</v>
      </c>
      <c r="L53" s="3287"/>
      <c r="M53" s="2308" t="e">
        <f t="shared" ref="M53:O54" ca="1" si="0">D55</f>
        <v>#REF!</v>
      </c>
      <c r="N53" s="2306" t="str">
        <f t="shared" si="0"/>
        <v>销售额×税（费）率</v>
      </c>
      <c r="O53" s="2309" t="str">
        <f t="shared" si="0"/>
        <v>免征</v>
      </c>
    </row>
    <row r="54" spans="1:35" ht="12" customHeight="1">
      <c r="A54" s="2150" t="s">
        <v>1358</v>
      </c>
      <c r="B54" s="3311" t="s">
        <v>2288</v>
      </c>
      <c r="C54" s="3312"/>
      <c r="D54" s="1022" t="e">
        <f ca="1">C68</f>
        <v>#REF!</v>
      </c>
      <c r="E54" s="317" t="s">
        <v>1359</v>
      </c>
      <c r="F54" s="2336">
        <f>'数据-取费表'!B41</f>
        <v>5.6000000000000001E-2</v>
      </c>
      <c r="G54" s="2337"/>
      <c r="H54" s="2338"/>
      <c r="I54" s="1667"/>
      <c r="J54" s="2306">
        <v>3</v>
      </c>
      <c r="K54" s="3287" t="s">
        <v>1360</v>
      </c>
      <c r="L54" s="3287"/>
      <c r="M54" s="2308" t="e">
        <f t="shared" ca="1" si="0"/>
        <v>#REF!</v>
      </c>
      <c r="N54" s="2306" t="str">
        <f t="shared" si="0"/>
        <v>增值额×税（费）率</v>
      </c>
      <c r="O54" s="2310" t="str">
        <f t="shared" si="0"/>
        <v>免征</v>
      </c>
    </row>
    <row r="55" spans="1:35" ht="24" customHeight="1">
      <c r="A55" s="3347" t="s">
        <v>1361</v>
      </c>
      <c r="B55" s="3325"/>
      <c r="C55" s="3325"/>
      <c r="D55" s="12" t="e">
        <f ca="1">IF(H55="个人住宅",0,ROUND(D45*I55,0))</f>
        <v>#REF!</v>
      </c>
      <c r="E55" s="1254" t="s">
        <v>1362</v>
      </c>
      <c r="F55" s="2336" t="str">
        <f>IF(H55="正常",I55,"免征")</f>
        <v>免征</v>
      </c>
      <c r="G55" s="2337"/>
      <c r="H55" s="2333"/>
      <c r="I55" s="155">
        <f>'数据-取费表'!B49</f>
        <v>5.0000000000000001E-4</v>
      </c>
      <c r="J55" s="2306">
        <f>IF(H59="非个人房产","",4)</f>
        <v>4</v>
      </c>
      <c r="K55" s="3287" t="str">
        <f>IF(H59="非个人房产","——","个人所得税")</f>
        <v>个人所得税</v>
      </c>
      <c r="L55" s="3287"/>
      <c r="M55" s="2311" t="e">
        <f ca="1">D59</f>
        <v>#REF!</v>
      </c>
      <c r="N55" s="1880" t="str">
        <f>E59</f>
        <v>差额计税</v>
      </c>
      <c r="O55" s="2312">
        <f>F59</f>
        <v>0.01</v>
      </c>
    </row>
    <row r="56" spans="1:35" ht="24.75">
      <c r="A56" s="3347" t="s">
        <v>1363</v>
      </c>
      <c r="B56" s="3325"/>
      <c r="C56" s="3325"/>
      <c r="D56" s="12" t="e">
        <f ca="1">IF(H56="个人住宅",D57,D58)</f>
        <v>#REF!</v>
      </c>
      <c r="E56" s="1254" t="s">
        <v>1364</v>
      </c>
      <c r="F56" s="2336" t="str">
        <f>IF(H56="正常",F58,"免征")</f>
        <v>免征</v>
      </c>
      <c r="G56" s="2339" t="s">
        <v>1365</v>
      </c>
      <c r="H56" s="2340"/>
      <c r="I56" s="1668"/>
      <c r="J56" s="2306" t="str">
        <f>IF(项目基本情况!K6="上海银行",IF(J55="",4,J55+1),"")</f>
        <v/>
      </c>
      <c r="K56" s="3268" t="str">
        <f>IF(项目基本情况!K6="上海银行","其他处置费用","")</f>
        <v/>
      </c>
      <c r="L56" s="3269"/>
      <c r="M56" s="2308" t="str">
        <f>IF(项目基本情况!K6="上海银行",M69,"")</f>
        <v/>
      </c>
      <c r="N56" s="3268" t="str">
        <f>IF(项目基本情况!K6="上海银行","包含处置中涉及的律师、诉讼、拍卖、评估等费用","")</f>
        <v/>
      </c>
      <c r="O56" s="3271"/>
    </row>
    <row r="57" spans="1:35" ht="12.75">
      <c r="A57" s="2150" t="s">
        <v>1341</v>
      </c>
      <c r="B57" s="3311" t="s">
        <v>1366</v>
      </c>
      <c r="C57" s="3312"/>
      <c r="D57" s="1476">
        <v>0</v>
      </c>
      <c r="E57" s="314" t="s">
        <v>1343</v>
      </c>
      <c r="F57" s="292"/>
      <c r="G57" s="2337"/>
      <c r="H57" s="2341"/>
      <c r="I57" s="1668"/>
      <c r="J57" s="3287">
        <f>IF(AND(J55="",J56=""),4,IF(项目基本情况!K6="上海银行",结果表!J56+1,结果表!J55+1))</f>
        <v>5</v>
      </c>
      <c r="K57" s="3287" t="s">
        <v>1367</v>
      </c>
      <c r="L57" s="2313" t="s">
        <v>1368</v>
      </c>
      <c r="M57" s="2314"/>
      <c r="N57" s="2315">
        <f ca="1">SUMIF(M52:M56,"&lt;9e307")</f>
        <v>0</v>
      </c>
      <c r="O57" s="2316"/>
      <c r="P57" s="2461" t="e">
        <f ca="1">N57/M49</f>
        <v>#VALUE!</v>
      </c>
    </row>
    <row r="58" spans="1:35" ht="24.75">
      <c r="A58" s="2150" t="s">
        <v>1352</v>
      </c>
      <c r="B58" s="3311" t="s">
        <v>1369</v>
      </c>
      <c r="C58" s="3310"/>
      <c r="D58" s="12" t="e">
        <f ca="1">IF(H58="转让取得",C81,C97)</f>
        <v>#REF!</v>
      </c>
      <c r="E58" s="1254" t="s">
        <v>1364</v>
      </c>
      <c r="F58" s="292" t="s">
        <v>28</v>
      </c>
      <c r="G58" s="2337"/>
      <c r="H58" s="2340"/>
      <c r="I58" s="1668"/>
      <c r="J58" s="3287"/>
      <c r="K58" s="3287"/>
      <c r="L58" s="2313" t="s">
        <v>1370</v>
      </c>
      <c r="M58" s="2317"/>
      <c r="N58" s="2318" t="str">
        <f ca="1">NUMBERSTRING(INT(N57*10000),2)&amp;"元整"</f>
        <v>零元整</v>
      </c>
      <c r="O58" s="2319"/>
    </row>
    <row r="59" spans="1:35" ht="24.75" thickBot="1">
      <c r="A59" s="3291" t="s">
        <v>1371</v>
      </c>
      <c r="B59" s="3292"/>
      <c r="C59" s="3292"/>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2137</v>
      </c>
      <c r="J59" s="3289">
        <f>J57+1</f>
        <v>6</v>
      </c>
      <c r="K59" s="3287" t="s">
        <v>1372</v>
      </c>
      <c r="L59" s="2306" t="s">
        <v>1368</v>
      </c>
      <c r="M59" s="2320"/>
      <c r="N59" s="2321" t="e">
        <f ca="1">M49-N57</f>
        <v>#VALUE!</v>
      </c>
      <c r="O59" s="2322"/>
    </row>
    <row r="60" spans="1:35" ht="12" customHeight="1">
      <c r="A60" s="1669"/>
      <c r="B60" s="644"/>
      <c r="C60" s="644"/>
      <c r="D60" s="644"/>
      <c r="E60" s="1464"/>
      <c r="F60" s="1668"/>
      <c r="G60" s="1668"/>
      <c r="H60" s="149"/>
      <c r="I60" s="120"/>
      <c r="J60" s="3290"/>
      <c r="K60" s="3287"/>
      <c r="L60" s="2313" t="s">
        <v>1370</v>
      </c>
      <c r="M60" s="2317"/>
      <c r="N60" s="2318" t="e">
        <f ca="1">NUMBERSTRING(INT(N59*10000),2)&amp;"元整"</f>
        <v>#VALUE!</v>
      </c>
      <c r="O60" s="2319"/>
    </row>
    <row r="61" spans="1:35" ht="13.5" thickBot="1">
      <c r="A61" s="3346" t="s">
        <v>1373</v>
      </c>
      <c r="B61" s="3346"/>
      <c r="C61" s="3346"/>
      <c r="D61" s="3346"/>
      <c r="E61" s="3346"/>
      <c r="F61" s="1668"/>
      <c r="G61" s="1668"/>
      <c r="H61" s="149"/>
      <c r="I61" s="120"/>
      <c r="J61" s="2306">
        <f>J59+1</f>
        <v>7</v>
      </c>
      <c r="K61" s="3287" t="s">
        <v>1374</v>
      </c>
      <c r="L61" s="3287"/>
      <c r="M61" s="2323"/>
      <c r="N61" s="2324" t="e">
        <f ca="1">ROUND(N59*10000/'数据-汇总表'!E3,0)</f>
        <v>#VALUE!</v>
      </c>
      <c r="O61" s="2325"/>
    </row>
    <row r="62" spans="1:35" ht="12.75">
      <c r="A62" s="3306" t="s">
        <v>1375</v>
      </c>
      <c r="B62" s="3307"/>
      <c r="C62" s="1862"/>
      <c r="D62" s="1862" t="s">
        <v>1376</v>
      </c>
      <c r="E62" s="156" t="s">
        <v>1377</v>
      </c>
      <c r="F62" s="1668"/>
      <c r="G62" s="1668"/>
      <c r="H62" s="149"/>
      <c r="I62" s="120"/>
    </row>
    <row r="63" spans="1:35" ht="12.75">
      <c r="A63" s="163" t="s">
        <v>330</v>
      </c>
      <c r="B63" s="157" t="s">
        <v>1378</v>
      </c>
      <c r="C63" s="2346" t="e">
        <f ca="1">ROUND((C64+C65)/(1+'数据-取费表'!C42),0)</f>
        <v>#REF!</v>
      </c>
      <c r="D63" s="157"/>
      <c r="E63" s="158"/>
      <c r="F63" s="1668"/>
      <c r="G63" s="1668"/>
      <c r="H63" s="149"/>
      <c r="I63" s="120"/>
      <c r="J63" s="3270" t="s">
        <v>1379</v>
      </c>
      <c r="K63" s="1243" t="s">
        <v>1380</v>
      </c>
      <c r="L63" s="1243" t="e">
        <f>IF(M49&gt;10000,M49*0.5%,IF(AND(M49&gt;1000,M49&lt;=10000),M49*1%,IF(AND(M49&gt;100,M49&lt;=1000),M49*3%,IF(AND(M49&gt;10,M49&lt;=100),M49*5%,M49*8%))))</f>
        <v>#VALUE!</v>
      </c>
      <c r="M63" s="292" t="e">
        <f>ROUND(L63,1)</f>
        <v>#VALUE!</v>
      </c>
      <c r="N63" s="2326"/>
      <c r="Z63" s="1621"/>
      <c r="AI63" s="1559"/>
    </row>
    <row r="64" spans="1:35" ht="14.25" customHeight="1">
      <c r="A64" s="159" t="s">
        <v>325</v>
      </c>
      <c r="B64" s="160" t="s">
        <v>1381</v>
      </c>
      <c r="C64" s="2347" t="e">
        <f ca="1">D45</f>
        <v>#REF!</v>
      </c>
      <c r="D64" s="160" t="s">
        <v>26</v>
      </c>
      <c r="E64" s="162"/>
      <c r="F64" s="1668"/>
      <c r="G64" s="1668"/>
      <c r="H64" s="149"/>
      <c r="I64" s="120"/>
      <c r="J64" s="327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327" t="s">
        <v>1383</v>
      </c>
      <c r="Z64" s="1621"/>
      <c r="AI64" s="1559"/>
    </row>
    <row r="65" spans="1:35" ht="14.25" customHeight="1">
      <c r="A65" s="159" t="s">
        <v>326</v>
      </c>
      <c r="B65" s="160" t="s">
        <v>1384</v>
      </c>
      <c r="C65" s="2348"/>
      <c r="D65" s="160"/>
      <c r="E65" s="162"/>
      <c r="F65" s="1668"/>
      <c r="G65" s="1668"/>
      <c r="H65" s="149"/>
      <c r="I65" s="120"/>
      <c r="J65" s="3270"/>
      <c r="K65" s="1243" t="s">
        <v>1385</v>
      </c>
      <c r="L65" s="1243" t="e">
        <f>IF(M49&gt;1000,M49*0.1%,IF(AND(M49&gt;500,M49&lt;=1000),M49*0.5%,IF(AND(M49&gt;50,M49&lt;=500),M49*1%,IF(AND(M49&gt;1,M49&lt;=50),M49*1.5%))))</f>
        <v>#VALUE!</v>
      </c>
      <c r="M65" s="292" t="e">
        <f t="shared" si="1"/>
        <v>#VALUE!</v>
      </c>
      <c r="N65" s="2327" t="s">
        <v>1383</v>
      </c>
      <c r="Z65" s="1621"/>
      <c r="AI65" s="1559"/>
    </row>
    <row r="66" spans="1:35" ht="14.25" customHeight="1">
      <c r="A66" s="163" t="s">
        <v>327</v>
      </c>
      <c r="B66" s="164" t="s">
        <v>1386</v>
      </c>
      <c r="C66" s="2349"/>
      <c r="D66" s="164" t="s">
        <v>26</v>
      </c>
      <c r="E66" s="1249" t="s">
        <v>671</v>
      </c>
      <c r="F66" s="1668"/>
      <c r="G66" s="1668"/>
      <c r="H66" s="149"/>
      <c r="I66" s="120"/>
      <c r="J66" s="3270"/>
      <c r="K66" s="1243" t="s">
        <v>1387</v>
      </c>
      <c r="L66" s="1243" t="e">
        <f>M49*0.5%</f>
        <v>#VALUE!</v>
      </c>
      <c r="M66" s="292" t="e">
        <f>IF(L66&gt;0.5,0.5,ROUND(L66,0))</f>
        <v>#VALUE!</v>
      </c>
      <c r="N66" s="2327" t="s">
        <v>1388</v>
      </c>
      <c r="Z66" s="1621"/>
      <c r="AI66" s="1559"/>
    </row>
    <row r="67" spans="1:35" ht="14.25" customHeight="1">
      <c r="A67" s="163" t="s">
        <v>328</v>
      </c>
      <c r="B67" s="164" t="s">
        <v>1389</v>
      </c>
      <c r="C67" s="2350" t="e">
        <f ca="1">C63-C66</f>
        <v>#REF!</v>
      </c>
      <c r="D67" s="160" t="s">
        <v>26</v>
      </c>
      <c r="E67" s="162"/>
      <c r="F67" s="1668"/>
      <c r="G67" s="1668"/>
      <c r="H67" s="149"/>
      <c r="I67" s="120"/>
      <c r="J67" s="327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6"/>
      <c r="Z67" s="1621"/>
      <c r="AI67" s="1559"/>
    </row>
    <row r="68" spans="1:35" ht="14.25" customHeight="1" thickBot="1">
      <c r="A68" s="166" t="s">
        <v>329</v>
      </c>
      <c r="B68" s="167" t="s">
        <v>1391</v>
      </c>
      <c r="C68" s="2351" t="e">
        <f ca="1">IF(C67&lt;=0,0,ROUND(C67*D68,0))</f>
        <v>#REF!</v>
      </c>
      <c r="D68" s="2352">
        <f>'数据-取费表'!B41</f>
        <v>5.6000000000000001E-2</v>
      </c>
      <c r="E68" s="168"/>
      <c r="F68" s="1668"/>
      <c r="G68" s="1668"/>
      <c r="H68" s="149"/>
      <c r="I68" s="120"/>
      <c r="J68" s="3270"/>
      <c r="K68" s="1243" t="s">
        <v>1392</v>
      </c>
      <c r="L68" s="1243" t="e">
        <f>IF(M49&gt;10000,M49*0.5%,IF(AND(M49&gt;5000,M49&lt;=10000),M49*1%,IF(AND(M49&gt;1000,M49&lt;=5000),M49*2%,IF(AND(M49&gt;200,M49&lt;=1000),M49*3%,M49*5%))))</f>
        <v>#VALUE!</v>
      </c>
      <c r="M68" s="292" t="e">
        <f>ROUND(L68,1)</f>
        <v>#VALUE!</v>
      </c>
      <c r="N68" s="2326"/>
      <c r="Z68" s="1621"/>
      <c r="AI68" s="1559"/>
    </row>
    <row r="69" spans="1:35" ht="16.5" customHeight="1">
      <c r="A69" s="1670"/>
      <c r="B69" s="1671"/>
      <c r="C69" s="1672"/>
      <c r="D69" s="1673"/>
      <c r="E69" s="1674"/>
      <c r="F69" s="1464"/>
      <c r="G69" s="1464"/>
      <c r="H69" s="1465"/>
      <c r="I69" s="644"/>
      <c r="J69" s="3270"/>
      <c r="K69" s="1243" t="s">
        <v>1393</v>
      </c>
      <c r="L69" s="1243"/>
      <c r="M69" s="292" t="e">
        <f>ROUND(SUM(M63:M68),0)</f>
        <v>#VALUE!</v>
      </c>
      <c r="N69" s="2328" t="e">
        <f>M69/M49</f>
        <v>#VALUE!</v>
      </c>
      <c r="Z69" s="1621"/>
      <c r="AI69" s="1559"/>
    </row>
    <row r="70" spans="1:35" s="640" customFormat="1" ht="15" thickBot="1">
      <c r="A70" s="3314" t="s">
        <v>1394</v>
      </c>
      <c r="B70" s="3315"/>
      <c r="C70" s="3315"/>
      <c r="D70" s="3315"/>
      <c r="E70" s="3315"/>
      <c r="F70" s="3315"/>
      <c r="G70" s="3315"/>
      <c r="H70" s="3315"/>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06" t="s">
        <v>1375</v>
      </c>
      <c r="B71" s="3307"/>
      <c r="C71" s="1862"/>
      <c r="D71" s="1862"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3" t="s">
        <v>330</v>
      </c>
      <c r="B72" s="164" t="s">
        <v>1395</v>
      </c>
      <c r="C72" s="2350" t="e">
        <f ca="1">ROUND(D45/(1+'数据-取费表'!C42),0)</f>
        <v>#REF!</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3" t="s">
        <v>327</v>
      </c>
      <c r="B73" s="153" t="s">
        <v>1396</v>
      </c>
      <c r="C73" s="2350" t="e">
        <f ca="1">C74+C78</f>
        <v>#REF!</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311" t="s">
        <v>1402</v>
      </c>
      <c r="F76" s="3310"/>
      <c r="G76" s="3310"/>
      <c r="H76" s="331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3.0499999999999999E-2</v>
      </c>
      <c r="E77" s="12" t="s">
        <v>1404</v>
      </c>
      <c r="F77" s="176"/>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t="e">
        <f ca="1">ROUND(D45*D78/(1+'数据-取费表'!C42),0)</f>
        <v>#REF!</v>
      </c>
      <c r="D78" s="2359">
        <f>'数据-取费表'!B43</f>
        <v>6.000000000000001E-3</v>
      </c>
      <c r="E78" s="3303" t="s">
        <v>1406</v>
      </c>
      <c r="F78" s="3304"/>
      <c r="G78" s="3304"/>
      <c r="H78" s="330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3" t="s">
        <v>334</v>
      </c>
      <c r="B79" s="164" t="s">
        <v>1407</v>
      </c>
      <c r="C79" s="2350" t="e">
        <f ca="1">C72-C73</f>
        <v>#REF!</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6" t="s">
        <v>336</v>
      </c>
      <c r="B81" s="167" t="s">
        <v>1409</v>
      </c>
      <c r="C81" s="2361" t="e">
        <f ca="1">ROUND(IF(C79&lt;=0,0,IF(C80&gt;=200%,C79*60%-C73*35%,IF(C80&gt;=100%,C79*50%-C73*15%,IF(C80&gt;=50%,C79*40%-C73*5%,IF(C80&lt;50%,C79*30%,0))))),0)</f>
        <v>#REF!</v>
      </c>
      <c r="D81" s="2362"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14" t="s">
        <v>1410</v>
      </c>
      <c r="B83" s="3315"/>
      <c r="C83" s="3315"/>
      <c r="D83" s="3315"/>
      <c r="E83" s="3315"/>
      <c r="F83" s="3315"/>
      <c r="G83" s="3315"/>
      <c r="H83" s="331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06" t="s">
        <v>1375</v>
      </c>
      <c r="B84" s="3307"/>
      <c r="C84" s="1862"/>
      <c r="D84" s="1862"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3" t="s">
        <v>330</v>
      </c>
      <c r="B85" s="164" t="s">
        <v>1395</v>
      </c>
      <c r="C85" s="2350" t="e">
        <f ca="1">ROUND(D45/(1+'数据-取费表'!C42),0)</f>
        <v>#REF!</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3" t="s">
        <v>327</v>
      </c>
      <c r="B86" s="153" t="s">
        <v>1396</v>
      </c>
      <c r="C86" s="2350" t="e">
        <f ca="1">IF(H88="仅含出让金",C87+C90+C91+C92+C93+C94,C87+C91+C92+C93+C94)</f>
        <v>#REF!</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59" t="s">
        <v>325</v>
      </c>
      <c r="B87" s="160"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59" t="s">
        <v>331</v>
      </c>
      <c r="B88" s="160" t="s">
        <v>1412</v>
      </c>
      <c r="C88" s="2364"/>
      <c r="D88" s="2359"/>
      <c r="E88" s="183" t="s">
        <v>1413</v>
      </c>
      <c r="F88" s="2145"/>
      <c r="G88" s="184" t="s">
        <v>1414</v>
      </c>
      <c r="H88" s="1682"/>
      <c r="I88" s="1679"/>
      <c r="J88" s="2304" t="s">
        <v>2284</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59" t="s">
        <v>332</v>
      </c>
      <c r="B89" s="160" t="s">
        <v>1403</v>
      </c>
      <c r="C89" s="2358">
        <f>ROUND(C88*D89,0)</f>
        <v>0</v>
      </c>
      <c r="D89" s="2359">
        <f>'数据-取费表'!B48+'数据-取费表'!B49</f>
        <v>3.0499999999999999E-2</v>
      </c>
      <c r="E89" s="183"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59" t="s">
        <v>326</v>
      </c>
      <c r="B90" s="160" t="s">
        <v>1416</v>
      </c>
      <c r="C90" s="2364"/>
      <c r="D90" s="2359"/>
      <c r="E90" s="183" t="str">
        <f>IF(H88="-","土地取得成本中已包含该笔费用"," ")</f>
        <v xml:space="preserve"> </v>
      </c>
      <c r="F90" s="2145"/>
      <c r="G90" s="3272" t="s">
        <v>2129</v>
      </c>
      <c r="H90" s="3273"/>
      <c r="I90" s="1679"/>
      <c r="J90" s="2304" t="s">
        <v>2285</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0</v>
      </c>
      <c r="D91" s="2359"/>
      <c r="E91" s="3303" t="s">
        <v>1419</v>
      </c>
      <c r="F91" s="3304"/>
      <c r="G91" s="330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0</v>
      </c>
      <c r="D92" s="2365"/>
      <c r="E92" s="3303" t="s">
        <v>1422</v>
      </c>
      <c r="F92" s="3304"/>
      <c r="G92" s="3304"/>
      <c r="H92" s="3305"/>
      <c r="I92" s="1679"/>
      <c r="J92" s="2305" t="s">
        <v>2286</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t="e">
        <f ca="1">ROUND(D45*D93/(1+'数据-取费表'!C42),0)</f>
        <v>#REF!</v>
      </c>
      <c r="D93" s="2359">
        <f>'数据-取费表'!B43</f>
        <v>6.000000000000001E-3</v>
      </c>
      <c r="E93" s="3303" t="s">
        <v>1406</v>
      </c>
      <c r="F93" s="3304"/>
      <c r="G93" s="3304"/>
      <c r="H93" s="330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0</v>
      </c>
      <c r="D94" s="2359">
        <v>0.2</v>
      </c>
      <c r="E94" s="3348" t="s">
        <v>1426</v>
      </c>
      <c r="F94" s="3349"/>
      <c r="G94" s="3349"/>
      <c r="H94" s="335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3" t="s">
        <v>334</v>
      </c>
      <c r="B95" s="164" t="s">
        <v>1407</v>
      </c>
      <c r="C95" s="2350" t="e">
        <f ca="1">ROUND(C85-C86,0)</f>
        <v>#REF!</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6" t="s">
        <v>336</v>
      </c>
      <c r="B97" s="167" t="s">
        <v>1409</v>
      </c>
      <c r="C97" s="2361" t="e">
        <f ca="1">ROUND(IF(C95&lt;=0,0,IF(C96&gt;=200%,C95*60%-C86*35%,IF(C96&gt;=100%,C95*50%-C86*15%,IF(C96&gt;=50%,C95*40%-C86*5%,IF(C96&lt;50%,C95*30%,0))))),0)</f>
        <v>#REF!</v>
      </c>
      <c r="D97" s="2362"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0"/>
    </row>
    <row r="99" spans="1:35" ht="21.75" customHeight="1" thickBot="1">
      <c r="A99" s="1462" t="s">
        <v>1427</v>
      </c>
      <c r="B99" s="644"/>
      <c r="C99" s="644"/>
      <c r="D99" s="644"/>
      <c r="E99" s="1464"/>
      <c r="F99" s="1464"/>
      <c r="G99" s="1464"/>
      <c r="H99" s="1465"/>
      <c r="I99" s="120"/>
    </row>
    <row r="100" spans="1:35" ht="18.75" customHeight="1">
      <c r="A100" s="3253" t="s">
        <v>1428</v>
      </c>
      <c r="B100" s="3254"/>
      <c r="C100" s="3254"/>
      <c r="D100" s="3288"/>
      <c r="E100" s="3254" t="s">
        <v>1429</v>
      </c>
      <c r="F100" s="3254"/>
      <c r="G100" s="3254"/>
      <c r="H100" s="3288"/>
      <c r="I100" s="120"/>
    </row>
    <row r="101" spans="1:35" ht="18.75" customHeight="1">
      <c r="A101" s="3296" t="s">
        <v>1430</v>
      </c>
      <c r="B101" s="3297"/>
      <c r="C101" s="2367" t="str">
        <f>C4</f>
        <v>比较法-住宅</v>
      </c>
      <c r="D101" s="2368" t="str">
        <f>D4</f>
        <v>收益法 (元)</v>
      </c>
      <c r="E101" s="3266" t="s">
        <v>1431</v>
      </c>
      <c r="F101" s="3267"/>
      <c r="G101" s="1685" t="s">
        <v>1432</v>
      </c>
      <c r="H101" s="2377" t="e">
        <f ca="1">H118</f>
        <v>#REF!</v>
      </c>
      <c r="I101" s="120"/>
    </row>
    <row r="102" spans="1:35" ht="18.75" customHeight="1">
      <c r="A102" s="3298" t="s">
        <v>1433</v>
      </c>
      <c r="B102" s="2366" t="s">
        <v>1432</v>
      </c>
      <c r="C102" s="2367">
        <f ca="1">IF(D32="楼面单价",ROUND(C19,0),C19)</f>
        <v>1270.9160999999999</v>
      </c>
      <c r="D102" s="2368">
        <f ca="1">IF(D32="楼面单价",ROUND(D19,0),D19)</f>
        <v>588.37170000000003</v>
      </c>
      <c r="E102" s="3266"/>
      <c r="F102" s="3267"/>
      <c r="G102" s="1685" t="s">
        <v>1434</v>
      </c>
      <c r="H102" s="2337" t="e">
        <f ca="1">I118</f>
        <v>#REF!</v>
      </c>
      <c r="I102" s="120"/>
    </row>
    <row r="103" spans="1:35" ht="42.75" customHeight="1">
      <c r="A103" s="3298"/>
      <c r="B103" s="2366" t="s">
        <v>1434</v>
      </c>
      <c r="C103" s="2369">
        <f ca="1">C20</f>
        <v>88683</v>
      </c>
      <c r="D103" s="2370">
        <f ca="1">D20</f>
        <v>41056</v>
      </c>
      <c r="E103" s="3259" t="s">
        <v>1435</v>
      </c>
      <c r="F103" s="3260"/>
      <c r="G103" s="1686" t="s">
        <v>1436</v>
      </c>
      <c r="H103" s="2377">
        <f>IF(D36="正常操作",H104+H105+H106,H105+H106)</f>
        <v>0</v>
      </c>
      <c r="I103" s="120"/>
    </row>
    <row r="104" spans="1:35" ht="18.75" customHeight="1">
      <c r="A104" s="3298" t="s">
        <v>1437</v>
      </c>
      <c r="B104" s="2371" t="s">
        <v>1432</v>
      </c>
      <c r="C104" s="2372" t="e">
        <f ca="1">H118</f>
        <v>#REF!</v>
      </c>
      <c r="D104" s="2373"/>
      <c r="E104" s="1553" t="s">
        <v>1438</v>
      </c>
      <c r="F104" s="1546"/>
      <c r="G104" s="1686" t="s">
        <v>1436</v>
      </c>
      <c r="H104" s="2378">
        <f>IF(D36="同一抵押权人同一抵押物续贷",C36&amp;"（续贷，未扣减，详见特别提示）",C36)</f>
        <v>0</v>
      </c>
      <c r="I104" s="120"/>
    </row>
    <row r="105" spans="1:35" ht="18.75" customHeight="1" thickBot="1">
      <c r="A105" s="3308"/>
      <c r="B105" s="2374" t="s">
        <v>1434</v>
      </c>
      <c r="C105" s="2375" t="e">
        <f ca="1">I118</f>
        <v>#REF!</v>
      </c>
      <c r="D105" s="2376"/>
      <c r="E105" s="1553" t="s">
        <v>1439</v>
      </c>
      <c r="F105" s="1546"/>
      <c r="G105" s="1686" t="s">
        <v>1436</v>
      </c>
      <c r="H105" s="2379">
        <f>C37</f>
        <v>0</v>
      </c>
      <c r="I105" s="120"/>
    </row>
    <row r="106" spans="1:35" ht="18.75" customHeight="1">
      <c r="A106" s="644" t="s">
        <v>1440</v>
      </c>
      <c r="B106" s="644"/>
      <c r="C106" s="644"/>
      <c r="D106" s="644"/>
      <c r="E106" s="1687" t="s">
        <v>1441</v>
      </c>
      <c r="F106" s="1546"/>
      <c r="G106" s="1686" t="s">
        <v>1436</v>
      </c>
      <c r="H106" s="2379">
        <f>C38</f>
        <v>0</v>
      </c>
      <c r="I106" s="120"/>
    </row>
    <row r="107" spans="1:35" ht="18.75" customHeight="1">
      <c r="A107" s="120"/>
      <c r="B107" s="120"/>
      <c r="C107" s="120"/>
      <c r="D107" s="120"/>
      <c r="E107" s="3299" t="str">
        <f>IF(项目基本情况!E8="已注销","——","3.房地产抵押价值")</f>
        <v>3.房地产抵押价值</v>
      </c>
      <c r="F107" s="3267"/>
      <c r="G107" s="1685" t="s">
        <v>1432</v>
      </c>
      <c r="H107" s="2377" t="e">
        <f ca="1">IF(E107="——","——",H101-H103)</f>
        <v>#REF!</v>
      </c>
      <c r="I107" s="120"/>
    </row>
    <row r="108" spans="1:35" ht="18.75" customHeight="1">
      <c r="A108" s="120"/>
      <c r="B108" s="120"/>
      <c r="C108" s="120"/>
      <c r="D108" s="120"/>
      <c r="E108" s="3299"/>
      <c r="F108" s="3267"/>
      <c r="G108" s="1685" t="s">
        <v>1434</v>
      </c>
      <c r="H108" s="2337">
        <f ca="1">IF(H107=H101,H102,ROUND(H107*10000/'数据-汇总表'!E3,0))</f>
        <v>0</v>
      </c>
      <c r="I108" s="120"/>
    </row>
    <row r="109" spans="1:35" ht="18.75" customHeight="1">
      <c r="A109" s="120"/>
      <c r="B109" s="120"/>
      <c r="C109" s="120"/>
      <c r="D109" s="120"/>
      <c r="E109" s="3299" t="str">
        <f>IF(项目基本情况!E8="已注销及未注销","4.抵押担保权已注销时的房地产抵押价值",IF(项目基本情况!E8="已注销","3.抵押担保权已注销时的房地产抵押价值","——"))</f>
        <v>——</v>
      </c>
      <c r="F109" s="3267"/>
      <c r="G109" s="1685" t="s">
        <v>1432</v>
      </c>
      <c r="H109" s="2380" t="str">
        <f>IF(E109="——","——",H101-H105-H106)</f>
        <v>——</v>
      </c>
      <c r="I109" s="120"/>
    </row>
    <row r="110" spans="1:35" ht="18.75" customHeight="1">
      <c r="A110" s="120"/>
      <c r="B110" s="120"/>
      <c r="C110" s="120"/>
      <c r="D110" s="120"/>
      <c r="E110" s="3299"/>
      <c r="F110" s="3267"/>
      <c r="G110" s="1685" t="s">
        <v>1434</v>
      </c>
      <c r="H110" s="2337" t="str">
        <f>IF(H109="——","——",ROUND(H109*10000/'数据-汇总表'!E3,0))</f>
        <v>——</v>
      </c>
      <c r="I110" s="120"/>
    </row>
    <row r="111" spans="1:35" ht="18.75" customHeight="1">
      <c r="A111" s="120"/>
      <c r="B111" s="120"/>
      <c r="C111" s="120"/>
      <c r="D111" s="120"/>
      <c r="E111" s="3300" t="str">
        <f>IF(项目基本情况!E9="抵押净值",IF(OR(项目基本情况!E8="已注销",项目基本情况!E8="房地产抵押价值"),"4.抵押净值","5.抵押净值"),"——")</f>
        <v>——</v>
      </c>
      <c r="F111" s="3286"/>
      <c r="G111" s="1685" t="s">
        <v>1432</v>
      </c>
      <c r="H111" s="2377" t="str">
        <f>IF(E111="——","——",N59)</f>
        <v>——</v>
      </c>
      <c r="I111" s="120"/>
    </row>
    <row r="112" spans="1:35" ht="18.75" customHeight="1" thickBot="1">
      <c r="A112" s="120"/>
      <c r="B112" s="120"/>
      <c r="C112" s="120"/>
      <c r="D112" s="120"/>
      <c r="E112" s="3301"/>
      <c r="F112" s="3302"/>
      <c r="G112" s="1688" t="s">
        <v>1434</v>
      </c>
      <c r="H112" s="2381" t="str">
        <f>IF(E111="——","——",N61)</f>
        <v>——</v>
      </c>
      <c r="I112" s="120"/>
    </row>
    <row r="113" spans="1:27" ht="18.75" customHeight="1">
      <c r="A113" s="120"/>
      <c r="B113" s="120"/>
      <c r="C113" s="120"/>
      <c r="D113" s="120"/>
      <c r="E113" s="3309" t="s">
        <v>1440</v>
      </c>
      <c r="F113" s="3309"/>
      <c r="G113" s="3309"/>
      <c r="H113" s="3309"/>
      <c r="I113" s="120"/>
    </row>
    <row r="114" spans="1:27" ht="3.75" customHeight="1">
      <c r="A114" s="644"/>
      <c r="B114" s="644"/>
      <c r="C114" s="644"/>
      <c r="D114" s="644"/>
      <c r="E114" s="1669"/>
      <c r="F114" s="1669"/>
      <c r="G114" s="1669"/>
      <c r="H114" s="1669"/>
      <c r="I114" s="644"/>
    </row>
    <row r="115" spans="1:27" ht="18.75" customHeight="1">
      <c r="A115" s="3317" t="s">
        <v>1442</v>
      </c>
      <c r="B115" s="3318"/>
      <c r="C115" s="3318"/>
      <c r="D115" s="3318"/>
      <c r="E115" s="3318"/>
      <c r="F115" s="3318"/>
      <c r="G115" s="3318"/>
      <c r="H115" s="3318"/>
      <c r="I115" s="3319"/>
    </row>
    <row r="116" spans="1:27" ht="27" customHeight="1">
      <c r="A116" s="3274" t="s">
        <v>1443</v>
      </c>
      <c r="B116" s="3278" t="s">
        <v>1444</v>
      </c>
      <c r="C116" s="3278" t="s">
        <v>1445</v>
      </c>
      <c r="D116" s="3284" t="s">
        <v>1446</v>
      </c>
      <c r="E116" s="3285"/>
      <c r="F116" s="3316" t="s">
        <v>1447</v>
      </c>
      <c r="G116" s="3316"/>
      <c r="H116" s="3274" t="s">
        <v>1448</v>
      </c>
      <c r="I116" s="3274"/>
    </row>
    <row r="117" spans="1:27" ht="18.75" customHeight="1">
      <c r="A117" s="3274"/>
      <c r="B117" s="3279"/>
      <c r="C117" s="3279"/>
      <c r="D117" s="2147" t="s">
        <v>1449</v>
      </c>
      <c r="E117" s="2147" t="s">
        <v>1450</v>
      </c>
      <c r="F117" s="2147" t="s">
        <v>1449</v>
      </c>
      <c r="G117" s="2147" t="s">
        <v>1451</v>
      </c>
      <c r="H117" s="2147" t="s">
        <v>1449</v>
      </c>
      <c r="I117" s="2147" t="s">
        <v>1451</v>
      </c>
    </row>
    <row r="118" spans="1:27" ht="24.75" customHeight="1">
      <c r="A118" s="2382" t="str">
        <f>项目基本情况!S2</f>
        <v>北京市房地产</v>
      </c>
      <c r="B118" s="2147">
        <f>M18</f>
        <v>143.31</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74" t="s">
        <v>1452</v>
      </c>
      <c r="B119" s="3274"/>
      <c r="C119" s="3274"/>
      <c r="D119" s="3280" t="e">
        <f ca="1">NUMBERSTRING(INT(D118*10000),2)&amp;"元整"</f>
        <v>#REF!</v>
      </c>
      <c r="E119" s="3281"/>
      <c r="F119" s="3280" t="e">
        <f ca="1">NUMBERSTRING(INT(F118*10000),2)&amp;"元整"</f>
        <v>#REF!</v>
      </c>
      <c r="G119" s="3281"/>
      <c r="H119" s="3280" t="e">
        <f ca="1">NUMBERSTRING(INT(H118*10000),2)&amp;"元整"</f>
        <v>#REF!</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80" t="s">
        <v>1452</v>
      </c>
      <c r="B121" s="3282"/>
      <c r="C121" s="3281"/>
      <c r="D121" s="3280" t="str">
        <f>IF(D120=0,"零元整",NUMBERSTRING(INT(D120*10000),2)&amp;"元整")</f>
        <v>零元整</v>
      </c>
      <c r="E121" s="3282"/>
      <c r="F121" s="3282"/>
      <c r="G121" s="3282"/>
      <c r="H121" s="3282"/>
      <c r="I121" s="3281"/>
      <c r="AA121" s="682"/>
    </row>
    <row r="122" spans="1:27" ht="18.75" customHeight="1">
      <c r="A122" s="3286" t="str">
        <f>IF(项目基本情况!B9="房地产市场价值","",MID(E107,3,LEN(E107)-2))</f>
        <v>房地产抵押价值</v>
      </c>
      <c r="B122" s="3286"/>
      <c r="C122" s="3286"/>
      <c r="D122" s="3275" t="e">
        <f ca="1">H107</f>
        <v>#REF!</v>
      </c>
      <c r="E122" s="3276"/>
      <c r="F122" s="3276"/>
      <c r="G122" s="3276"/>
      <c r="H122" s="3276"/>
      <c r="I122" s="3277"/>
      <c r="AA122" s="682"/>
    </row>
    <row r="123" spans="1:27" ht="18.75" customHeight="1">
      <c r="A123" s="3274" t="s">
        <v>1452</v>
      </c>
      <c r="B123" s="3274"/>
      <c r="C123" s="3274"/>
      <c r="D123" s="3280" t="e">
        <f ca="1">NUMBERSTRING(INT(D122*10000),2)&amp;"元整"</f>
        <v>#REF!</v>
      </c>
      <c r="E123" s="3282"/>
      <c r="F123" s="3282"/>
      <c r="G123" s="3282"/>
      <c r="H123" s="3282"/>
      <c r="I123" s="3281"/>
      <c r="AA123" s="682"/>
    </row>
    <row r="124" spans="1:27" ht="18.75" customHeight="1">
      <c r="A124" s="3286" t="str">
        <f>IF(项目基本情况!B9="房地产市场价值","",MID(E109,3,LEN(E109)-2))</f>
        <v/>
      </c>
      <c r="B124" s="3286"/>
      <c r="C124" s="3286"/>
      <c r="D124" s="3275" t="str">
        <f>H109</f>
        <v>——</v>
      </c>
      <c r="E124" s="3276"/>
      <c r="F124" s="3276"/>
      <c r="G124" s="3276"/>
      <c r="H124" s="3276"/>
      <c r="I124" s="3277"/>
      <c r="AA124" s="682"/>
    </row>
    <row r="125" spans="1:27" ht="18.75" customHeight="1">
      <c r="A125" s="3274" t="s">
        <v>1452</v>
      </c>
      <c r="B125" s="3274"/>
      <c r="C125" s="3274"/>
      <c r="D125" s="3280" t="e">
        <f>NUMBERSTRING(INT(D124*10000),2)&amp;"元整"</f>
        <v>#VALUE!</v>
      </c>
      <c r="E125" s="3282"/>
      <c r="F125" s="3282"/>
      <c r="G125" s="3282"/>
      <c r="H125" s="3282"/>
      <c r="I125" s="3281"/>
      <c r="AA125" s="682"/>
    </row>
    <row r="126" spans="1:27" ht="18.75" customHeight="1">
      <c r="A126" s="3286" t="str">
        <f>IF(项目基本情况!B9="房地产市场价值","",MID(E111,3,LEN(E111)-2))</f>
        <v/>
      </c>
      <c r="B126" s="3286"/>
      <c r="C126" s="3286"/>
      <c r="D126" s="3275" t="str">
        <f>H111</f>
        <v>——</v>
      </c>
      <c r="E126" s="3276"/>
      <c r="F126" s="3276"/>
      <c r="G126" s="3276"/>
      <c r="H126" s="3276"/>
      <c r="I126" s="3277"/>
      <c r="AA126" s="682"/>
    </row>
    <row r="127" spans="1:27" ht="18.75" customHeight="1">
      <c r="A127" s="3274" t="s">
        <v>1452</v>
      </c>
      <c r="B127" s="3274"/>
      <c r="C127" s="3274"/>
      <c r="D127" s="3280" t="e">
        <f>NUMBERSTRING(INT(D126*10000),2)&amp;"元整"</f>
        <v>#VALUE!</v>
      </c>
      <c r="E127" s="3282"/>
      <c r="F127" s="3282"/>
      <c r="G127" s="3282"/>
      <c r="H127" s="3282"/>
      <c r="I127" s="3281"/>
      <c r="AA127" s="682"/>
    </row>
    <row r="128" spans="1:27" ht="21.75" customHeight="1">
      <c r="A128" s="3283" t="s">
        <v>1453</v>
      </c>
      <c r="B128" s="3283"/>
      <c r="C128" s="3283"/>
      <c r="D128" s="3283"/>
      <c r="E128" s="3283"/>
      <c r="F128" s="3283"/>
      <c r="G128" s="3283"/>
      <c r="H128" s="3283"/>
      <c r="I128" s="3283"/>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1"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4">
    <mergeCell ref="C8:C10"/>
    <mergeCell ref="D8:D10"/>
    <mergeCell ref="C11:C13"/>
    <mergeCell ref="D11:D13"/>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A3:I3"/>
    <mergeCell ref="B8:B9"/>
    <mergeCell ref="A10:A11"/>
    <mergeCell ref="B10:B11"/>
    <mergeCell ref="C5:C7"/>
    <mergeCell ref="D5:D7"/>
    <mergeCell ref="E4:I4"/>
    <mergeCell ref="B12:B13"/>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4" stopIfTrue="1">
      <formula>$H$88&lt;&gt;"仅含出让金"</formula>
    </cfRule>
  </conditionalFormatting>
  <conditionalFormatting sqref="C91">
    <cfRule type="expression" dxfId="137" priority="3" stopIfTrue="1">
      <formula>$H$91="由企业提供"</formula>
    </cfRule>
  </conditionalFormatting>
  <conditionalFormatting sqref="C14:D16">
    <cfRule type="cellIs" dxfId="134" priority="7" stopIfTrue="1" operator="equal">
      <formula>30</formula>
    </cfRule>
  </conditionalFormatting>
  <conditionalFormatting sqref="E36">
    <cfRule type="expression" dxfId="133" priority="2" stopIfTrue="1">
      <formula>$D$36="同一抵押权人同一抵押物续贷"</formula>
    </cfRule>
  </conditionalFormatting>
  <conditionalFormatting sqref="C5:D13">
    <cfRule type="cellIs" dxfId="0" priority="1"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2"/>
      <c r="C1" s="188"/>
      <c r="D1" s="188"/>
      <c r="E1" s="188"/>
      <c r="F1" s="188"/>
      <c r="G1" s="1060">
        <f>MATCH(B1,'数据-取费表'!A6:A16,0)+5</f>
        <v>7</v>
      </c>
    </row>
    <row r="2" spans="1:9" s="190" customFormat="1" ht="18" customHeight="1">
      <c r="A2" s="191" t="s">
        <v>1462</v>
      </c>
      <c r="B2" s="192">
        <f ca="1">IF(D2="——",C52,C52-E2)</f>
        <v>30796</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2148908</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22930</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22930</v>
      </c>
      <c r="D8" s="212"/>
      <c r="E8" s="210"/>
      <c r="F8" s="211"/>
      <c r="G8" s="1712"/>
    </row>
    <row r="9" spans="1:9" s="204" customFormat="1" ht="13.5" customHeight="1">
      <c r="A9" s="731" t="s">
        <v>355</v>
      </c>
      <c r="B9" s="214" t="s">
        <v>1478</v>
      </c>
      <c r="C9" s="215">
        <f ca="1">ROUND(D9*E9/10000,0)</f>
        <v>2</v>
      </c>
      <c r="D9" s="793">
        <f ca="1">IF(B1="",'数据-汇总表'!E5,IF(INDIRECT("'数据-取费表'!c"&amp;$G$1)="住宅",INDIRECT("'数据-取费表'!k"&amp;$G$1),0))</f>
        <v>143.31</v>
      </c>
      <c r="E9" s="215">
        <f>'数据-取费表'!B27</f>
        <v>160</v>
      </c>
      <c r="F9" s="211"/>
      <c r="G9" s="1713"/>
      <c r="H9" s="1068"/>
      <c r="I9" s="1714"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3</v>
      </c>
      <c r="D19" s="202">
        <f ca="1">D9+D10</f>
        <v>143.31</v>
      </c>
      <c r="E19" s="201">
        <f>'数据-取费表'!B31</f>
        <v>200</v>
      </c>
      <c r="F19" s="221"/>
      <c r="G19" s="1712"/>
    </row>
    <row r="20" spans="1:7" s="204" customFormat="1" ht="13.5" customHeight="1">
      <c r="A20" s="245" t="s">
        <v>1493</v>
      </c>
      <c r="B20" s="200" t="s">
        <v>1494</v>
      </c>
      <c r="C20" s="222">
        <f ca="1">ROUND((C5+C19)*F20,0)</f>
        <v>459</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1458</v>
      </c>
      <c r="D22" s="225">
        <f ca="1">C26</f>
        <v>5.9999999999999995E-4</v>
      </c>
      <c r="E22" s="226" t="s">
        <v>1498</v>
      </c>
      <c r="F22" s="227">
        <f ca="1">'数据-取费表'!B40</f>
        <v>3.1E-2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1444</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14</v>
      </c>
      <c r="D25" s="228"/>
      <c r="E25" s="231"/>
      <c r="F25" s="229"/>
      <c r="G25" s="232" t="s">
        <v>1510</v>
      </c>
    </row>
    <row r="26" spans="1:7" s="204" customFormat="1">
      <c r="A26" s="732" t="s">
        <v>350</v>
      </c>
      <c r="B26" s="205" t="s">
        <v>1511</v>
      </c>
      <c r="C26" s="228">
        <f ca="1">ROUND(IF('数据-取费表'!B22&lt;=1,F21*F22*'数据-取费表'!B23/2,F21*(POWER((1+F22),'数据-取费表'!B23/2)-1)),4)</f>
        <v>5.9999999999999995E-4</v>
      </c>
      <c r="D26" s="228"/>
      <c r="E26" s="231"/>
      <c r="F26" s="229"/>
      <c r="G26" s="233"/>
    </row>
    <row r="27" spans="1:7" s="204" customFormat="1" ht="24.75">
      <c r="A27" s="245" t="s">
        <v>1512</v>
      </c>
      <c r="B27" s="234" t="s">
        <v>1513</v>
      </c>
      <c r="C27" s="235">
        <f ca="1">C28</f>
        <v>3509</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3509</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30721</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66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57</v>
      </c>
      <c r="D34" s="207"/>
      <c r="E34" s="210"/>
      <c r="F34" s="247">
        <f ca="1">IF('数据-取费表'!B24=0,1,IF(B1="",'数据-取费表'!N16,INDIRECT("'数据-取费表'!n"&amp;$G$1)))</f>
        <v>1</v>
      </c>
      <c r="G34" s="209" t="s">
        <v>1526</v>
      </c>
    </row>
    <row r="35" spans="1:7" ht="13.5" customHeight="1">
      <c r="A35" s="732" t="s">
        <v>351</v>
      </c>
      <c r="B35" s="205" t="s">
        <v>1527</v>
      </c>
      <c r="C35" s="210">
        <f ca="1">ROUND(C34*F35,0)</f>
        <v>2</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3</v>
      </c>
      <c r="D36" s="210"/>
      <c r="E36" s="210"/>
      <c r="F36" s="249">
        <f>'数据-取费表'!B34</f>
        <v>0.05</v>
      </c>
      <c r="G36" s="250" t="s">
        <v>1530</v>
      </c>
    </row>
    <row r="37" spans="1:7" s="248" customFormat="1" ht="13.5" customHeight="1">
      <c r="A37" s="732" t="s">
        <v>353</v>
      </c>
      <c r="B37" s="205" t="s">
        <v>1531</v>
      </c>
      <c r="C37" s="239">
        <f ca="1">ROUND(E37*D37*F34/10000,0)</f>
        <v>3</v>
      </c>
      <c r="D37" s="207">
        <f ca="1">D19</f>
        <v>143.31</v>
      </c>
      <c r="E37" s="239">
        <f>'数据-取费表'!B35</f>
        <v>200</v>
      </c>
      <c r="F37" s="249"/>
      <c r="G37" s="251" t="s">
        <v>1532</v>
      </c>
    </row>
    <row r="38" spans="1:7" ht="13.5" customHeight="1">
      <c r="A38" s="732" t="s">
        <v>354</v>
      </c>
      <c r="B38" s="205" t="s">
        <v>1533</v>
      </c>
      <c r="C38" s="210">
        <f ca="1">ROUND(C34*F38,0)</f>
        <v>1</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v>
      </c>
      <c r="D41" s="225">
        <f ca="1">C44</f>
        <v>5.9999999999999995E-4</v>
      </c>
      <c r="E41" s="226" t="s">
        <v>1539</v>
      </c>
      <c r="F41" s="227">
        <f ca="1">F22</f>
        <v>3.1E-2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2</v>
      </c>
      <c r="D42" s="228"/>
      <c r="E42" s="228"/>
      <c r="F42" s="229"/>
      <c r="G42" s="3353" t="s">
        <v>1544</v>
      </c>
    </row>
    <row r="43" spans="1:7" ht="13.5" customHeight="1">
      <c r="A43" s="732" t="s">
        <v>347</v>
      </c>
      <c r="B43" s="205" t="s">
        <v>1545</v>
      </c>
      <c r="C43" s="228">
        <f ca="1">ROUND(IF('数据-取费表'!B22&lt;=1,C39*F22*'数据-取费表'!B21/2,C39*(POWER((1+F22),'数据-取费表'!B21/2)-1)),0)</f>
        <v>0</v>
      </c>
      <c r="D43" s="228"/>
      <c r="E43" s="228"/>
      <c r="F43" s="229"/>
      <c r="G43" s="3354"/>
    </row>
    <row r="44" spans="1:7" ht="13.5" customHeight="1">
      <c r="A44" s="732" t="s">
        <v>348</v>
      </c>
      <c r="B44" s="205" t="s">
        <v>1546</v>
      </c>
      <c r="C44" s="228">
        <f ca="1">ROUND(IF('数据-取费表'!B22&lt;=1,C40*F22*'数据-取费表'!B21/2,C40*(POWER((1+F22),'数据-取费表'!B21/2)-1)),4)</f>
        <v>5.9999999999999995E-4</v>
      </c>
      <c r="D44" s="228"/>
      <c r="E44" s="228"/>
      <c r="F44" s="229"/>
      <c r="G44" s="3355"/>
    </row>
    <row r="45" spans="1:7" s="204" customFormat="1" ht="13.5" customHeight="1">
      <c r="A45" s="245" t="s">
        <v>1547</v>
      </c>
      <c r="B45" s="234" t="s">
        <v>1513</v>
      </c>
      <c r="C45" s="235">
        <f ca="1">C46</f>
        <v>10</v>
      </c>
      <c r="D45" s="225">
        <f ca="1">C47</f>
        <v>3.0000000000000001E-3</v>
      </c>
      <c r="E45" s="226" t="s">
        <v>1539</v>
      </c>
      <c r="F45" s="236">
        <f ca="1">F27</f>
        <v>0.15</v>
      </c>
      <c r="G45" s="237" t="s">
        <v>1548</v>
      </c>
    </row>
    <row r="46" spans="1:7" s="204" customFormat="1" ht="13.5" customHeight="1">
      <c r="A46" s="732" t="s">
        <v>346</v>
      </c>
      <c r="B46" s="238" t="s">
        <v>1549</v>
      </c>
      <c r="C46" s="239">
        <f ca="1">ROUND((C33+C39)*F27,0)</f>
        <v>10</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86</v>
      </c>
      <c r="D49" s="222"/>
      <c r="E49" s="222"/>
      <c r="F49" s="254"/>
      <c r="G49" s="224" t="s">
        <v>1554</v>
      </c>
    </row>
    <row r="50" spans="1:7" s="248" customFormat="1" ht="24">
      <c r="A50" s="245" t="s">
        <v>1555</v>
      </c>
      <c r="B50" s="200" t="s">
        <v>1556</v>
      </c>
      <c r="C50" s="222"/>
      <c r="D50" s="222"/>
      <c r="E50" s="222"/>
      <c r="F50" s="254">
        <f>IF('数据-取费表'!B24=0,'数据-取费表'!N16,1)</f>
        <v>0.87</v>
      </c>
      <c r="G50" s="237" t="s">
        <v>1557</v>
      </c>
    </row>
    <row r="51" spans="1:7" ht="16.5" customHeight="1">
      <c r="A51" s="245" t="s">
        <v>1558</v>
      </c>
      <c r="B51" s="200" t="s">
        <v>1559</v>
      </c>
      <c r="C51" s="222">
        <f ca="1">ROUND(C49*F50,0)</f>
        <v>75</v>
      </c>
      <c r="D51" s="222"/>
      <c r="E51" s="222"/>
      <c r="F51" s="254"/>
      <c r="G51" s="224" t="s">
        <v>1560</v>
      </c>
    </row>
    <row r="52" spans="1:7" s="198" customFormat="1" ht="16.5" thickBot="1">
      <c r="A52" s="255" t="s">
        <v>1561</v>
      </c>
      <c r="B52" s="256"/>
      <c r="C52" s="257">
        <f ca="1">C31+C51</f>
        <v>30796</v>
      </c>
      <c r="D52" s="256"/>
      <c r="E52" s="256"/>
      <c r="F52" s="256"/>
      <c r="G52" s="258"/>
    </row>
    <row r="55" spans="1:7" ht="15">
      <c r="B55" s="260" t="s">
        <v>1562</v>
      </c>
      <c r="C55" s="261"/>
    </row>
    <row r="56" spans="1:7">
      <c r="B56" s="263" t="s">
        <v>802</v>
      </c>
      <c r="C56" s="265">
        <f ca="1">1-C57</f>
        <v>0.998</v>
      </c>
    </row>
    <row r="57" spans="1:7">
      <c r="B57" s="263" t="s">
        <v>803</v>
      </c>
      <c r="C57" s="26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71" t="str">
        <f>项目基本情况!B1</f>
        <v>北京市预评估</v>
      </c>
      <c r="C37" s="3171"/>
      <c r="D37" s="3171"/>
      <c r="E37" s="3171"/>
      <c r="F37" s="3171"/>
      <c r="G37" s="3171"/>
      <c r="H37" s="3171"/>
      <c r="I37" s="3171"/>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1" sqref="C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2"/>
      <c r="C1" s="1715" t="s">
        <v>1563</v>
      </c>
      <c r="D1" s="188"/>
      <c r="E1" s="188"/>
      <c r="F1" s="188"/>
      <c r="G1" s="1060">
        <f>MATCH(B1,'数据-取费表'!A6:A16,0)+5</f>
        <v>7</v>
      </c>
      <c r="H1" s="996" t="str">
        <f>IF(ISERROR(FIND("住宅",B1)),"非住宅","住宅")</f>
        <v>非住宅</v>
      </c>
    </row>
    <row r="2" spans="1:8" s="190" customFormat="1" ht="18" customHeight="1">
      <c r="A2" s="191" t="s">
        <v>1462</v>
      </c>
      <c r="B2" s="3119">
        <f ca="1">ROUND(IF(D2="——",C52/10000,C52/10000-E2),4)</f>
        <v>81.429599999999994</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5682</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22930</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22930</v>
      </c>
      <c r="D8" s="212"/>
      <c r="E8" s="210"/>
      <c r="F8" s="211"/>
      <c r="G8" s="1712"/>
    </row>
    <row r="9" spans="1:8" s="204" customFormat="1" ht="13.5" customHeight="1">
      <c r="A9" s="731" t="s">
        <v>355</v>
      </c>
      <c r="B9" s="214" t="s">
        <v>1478</v>
      </c>
      <c r="C9" s="215">
        <f ca="1">ROUND(D9*E9,0)</f>
        <v>22930</v>
      </c>
      <c r="D9" s="793">
        <f ca="1">IF(B1="",'数据-汇总表'!E5,IF(INDIRECT("'数据-取费表'!c"&amp;$G$1)="住宅",INDIRECT("'数据-取费表'!k"&amp;$G$1),0))</f>
        <v>143.31</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28662</v>
      </c>
      <c r="D19" s="202">
        <f ca="1">D9+D10</f>
        <v>143.31</v>
      </c>
      <c r="E19" s="201">
        <f>'数据-取费表'!B31</f>
        <v>200</v>
      </c>
      <c r="F19" s="221"/>
      <c r="G19" s="1712"/>
    </row>
    <row r="20" spans="1:7" s="204" customFormat="1" ht="13.5" customHeight="1">
      <c r="A20" s="245" t="s">
        <v>1574</v>
      </c>
      <c r="B20" s="200" t="s">
        <v>1575</v>
      </c>
      <c r="C20" s="222">
        <f ca="1">ROUND((C5+C19)*F20,0)</f>
        <v>1032</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3281</v>
      </c>
      <c r="D22" s="225">
        <f ca="1">C26</f>
        <v>5.9999999999999995E-4</v>
      </c>
      <c r="E22" s="226" t="s">
        <v>1579</v>
      </c>
      <c r="F22" s="227">
        <f ca="1">'数据-取费表'!B40</f>
        <v>3.1E-2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1444</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1805</v>
      </c>
      <c r="D24" s="228"/>
      <c r="E24" s="228"/>
      <c r="F24" s="229"/>
      <c r="G24" s="230" t="s">
        <v>1586</v>
      </c>
    </row>
    <row r="25" spans="1:7" s="204" customFormat="1" ht="24">
      <c r="A25" s="732" t="s">
        <v>1476</v>
      </c>
      <c r="B25" s="205" t="s">
        <v>1587</v>
      </c>
      <c r="C25" s="228">
        <f ca="1">ROUND(IF('数据-取费表'!B22&lt;=1,C20*F22*'数据-取费表'!B22/2,C20*(POWER((1+F22),'数据-取费表'!B22/2)-1)),0)</f>
        <v>32</v>
      </c>
      <c r="D25" s="228"/>
      <c r="E25" s="231"/>
      <c r="F25" s="229"/>
      <c r="G25" s="232" t="s">
        <v>1588</v>
      </c>
    </row>
    <row r="26" spans="1:7" s="204" customFormat="1">
      <c r="A26" s="732" t="s">
        <v>350</v>
      </c>
      <c r="B26" s="205" t="s">
        <v>1511</v>
      </c>
      <c r="C26" s="228">
        <f ca="1">ROUND(IF('数据-取费表'!B22&lt;=1,F21*F22*'数据-取费表'!B22/2,F21*(POWER((1+F22),'数据-取费表'!B22/2)-1)),4)</f>
        <v>5.9999999999999995E-4</v>
      </c>
      <c r="D26" s="228"/>
      <c r="E26" s="231"/>
      <c r="F26" s="229"/>
      <c r="G26" s="233"/>
    </row>
    <row r="27" spans="1:7" s="204" customFormat="1" ht="24.75">
      <c r="A27" s="245" t="s">
        <v>1512</v>
      </c>
      <c r="B27" s="234" t="s">
        <v>1513</v>
      </c>
      <c r="C27" s="235">
        <f ca="1">C28</f>
        <v>7894</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7894</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69114</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656360</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573240</v>
      </c>
      <c r="D34" s="207"/>
      <c r="E34" s="210"/>
      <c r="F34" s="247"/>
      <c r="G34" s="209"/>
    </row>
    <row r="35" spans="1:7" ht="13.5" customHeight="1">
      <c r="A35" s="732" t="s">
        <v>351</v>
      </c>
      <c r="B35" s="205" t="s">
        <v>1527</v>
      </c>
      <c r="C35" s="210">
        <f ca="1">ROUND(C34*F35,0)</f>
        <v>17197</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28662</v>
      </c>
      <c r="D36" s="210"/>
      <c r="E36" s="210"/>
      <c r="F36" s="249">
        <f>'数据-取费表'!B34</f>
        <v>0.05</v>
      </c>
      <c r="G36" s="250" t="s">
        <v>1530</v>
      </c>
    </row>
    <row r="37" spans="1:7" s="248" customFormat="1" ht="13.5" customHeight="1">
      <c r="A37" s="732" t="s">
        <v>353</v>
      </c>
      <c r="B37" s="205" t="s">
        <v>1531</v>
      </c>
      <c r="C37" s="239">
        <f ca="1">ROUND(E37*D37,0)</f>
        <v>28662</v>
      </c>
      <c r="D37" s="207">
        <f ca="1">D19</f>
        <v>143.31</v>
      </c>
      <c r="E37" s="239">
        <f>'数据-取费表'!B35</f>
        <v>200</v>
      </c>
      <c r="F37" s="249"/>
      <c r="G37" s="251"/>
    </row>
    <row r="38" spans="1:7" ht="13.5" customHeight="1">
      <c r="A38" s="732" t="s">
        <v>354</v>
      </c>
      <c r="B38" s="205" t="s">
        <v>1533</v>
      </c>
      <c r="C38" s="210">
        <f ca="1">ROUND(C34*F38,0)</f>
        <v>8599</v>
      </c>
      <c r="D38" s="210"/>
      <c r="E38" s="210"/>
      <c r="F38" s="249">
        <f>'数据-取费表'!B36</f>
        <v>1.4999999999999999E-2</v>
      </c>
      <c r="G38" s="209" t="s">
        <v>1528</v>
      </c>
    </row>
    <row r="39" spans="1:7" s="204" customFormat="1" ht="13.5" customHeight="1">
      <c r="A39" s="245" t="s">
        <v>1534</v>
      </c>
      <c r="B39" s="200" t="s">
        <v>1535</v>
      </c>
      <c r="C39" s="222">
        <f ca="1">ROUND(C33*F20,0)</f>
        <v>13127</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20754</v>
      </c>
      <c r="D41" s="225">
        <f ca="1">C44</f>
        <v>5.9999999999999995E-4</v>
      </c>
      <c r="E41" s="226" t="s">
        <v>1539</v>
      </c>
      <c r="F41" s="227">
        <f ca="1">F22</f>
        <v>3.1E-2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20347</v>
      </c>
      <c r="D42" s="228"/>
      <c r="E42" s="228"/>
      <c r="F42" s="229"/>
      <c r="G42" s="3353" t="s">
        <v>1591</v>
      </c>
    </row>
    <row r="43" spans="1:7" ht="13.5" customHeight="1">
      <c r="A43" s="732" t="s">
        <v>347</v>
      </c>
      <c r="B43" s="205" t="s">
        <v>1545</v>
      </c>
      <c r="C43" s="228">
        <f ca="1">ROUND(IF('数据-取费表'!B22&lt;=1,C39*F22*'数据-取费表'!B20/2,C39*(POWER((1+F22),'数据-取费表'!B20/2)-1)),0)</f>
        <v>407</v>
      </c>
      <c r="D43" s="228"/>
      <c r="E43" s="228"/>
      <c r="F43" s="229"/>
      <c r="G43" s="3354"/>
    </row>
    <row r="44" spans="1:7" ht="13.5" customHeight="1">
      <c r="A44" s="732" t="s">
        <v>348</v>
      </c>
      <c r="B44" s="205" t="s">
        <v>1546</v>
      </c>
      <c r="C44" s="228">
        <f ca="1">ROUND(IF('数据-取费表'!B22&lt;=1,C40*F22*'数据-取费表'!B20/2,C40*(POWER((1+F22),'数据-取费表'!B20/2)-1)),4)</f>
        <v>5.9999999999999995E-4</v>
      </c>
      <c r="D44" s="228"/>
      <c r="E44" s="228"/>
      <c r="F44" s="229"/>
      <c r="G44" s="3355"/>
    </row>
    <row r="45" spans="1:7" s="204" customFormat="1" ht="13.5" customHeight="1">
      <c r="A45" s="245" t="s">
        <v>1547</v>
      </c>
      <c r="B45" s="234" t="s">
        <v>1513</v>
      </c>
      <c r="C45" s="235">
        <f ca="1">C46</f>
        <v>100423</v>
      </c>
      <c r="D45" s="225">
        <f ca="1">C47</f>
        <v>3.0000000000000001E-3</v>
      </c>
      <c r="E45" s="226" t="s">
        <v>1539</v>
      </c>
      <c r="F45" s="236">
        <f ca="1">F27</f>
        <v>0.15</v>
      </c>
      <c r="G45" s="237" t="s">
        <v>1548</v>
      </c>
    </row>
    <row r="46" spans="1:7" s="204" customFormat="1" ht="13.5" customHeight="1">
      <c r="A46" s="732" t="s">
        <v>346</v>
      </c>
      <c r="B46" s="238" t="s">
        <v>1549</v>
      </c>
      <c r="C46" s="239">
        <f ca="1">ROUND((C33+C39)*F27,0)</f>
        <v>100423</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856531</v>
      </c>
      <c r="D49" s="222"/>
      <c r="E49" s="222"/>
      <c r="F49" s="254"/>
      <c r="G49" s="224" t="s">
        <v>1554</v>
      </c>
    </row>
    <row r="50" spans="1:7" s="248" customFormat="1">
      <c r="A50" s="245" t="s">
        <v>1555</v>
      </c>
      <c r="B50" s="200" t="s">
        <v>1556</v>
      </c>
      <c r="C50" s="222"/>
      <c r="D50" s="222"/>
      <c r="E50" s="222"/>
      <c r="F50" s="254">
        <f>IF('数据-取费表'!B24=0,'数据-取费表'!N16,1)</f>
        <v>0.87</v>
      </c>
      <c r="G50" s="237"/>
    </row>
    <row r="51" spans="1:7" ht="16.5" customHeight="1">
      <c r="A51" s="245" t="s">
        <v>1558</v>
      </c>
      <c r="B51" s="200" t="s">
        <v>1593</v>
      </c>
      <c r="C51" s="222">
        <f ca="1">ROUND(C49*F50,0)</f>
        <v>745182</v>
      </c>
      <c r="D51" s="222"/>
      <c r="E51" s="222"/>
      <c r="F51" s="254"/>
      <c r="G51" s="224" t="s">
        <v>1560</v>
      </c>
    </row>
    <row r="52" spans="1:7" s="198" customFormat="1" ht="16.5" thickBot="1">
      <c r="A52" s="255" t="s">
        <v>1561</v>
      </c>
      <c r="B52" s="256"/>
      <c r="C52" s="257">
        <f ca="1">C31+C51</f>
        <v>814296</v>
      </c>
      <c r="D52" s="256"/>
      <c r="E52" s="256"/>
      <c r="F52" s="256"/>
      <c r="G52" s="258"/>
    </row>
    <row r="55" spans="1:7" ht="15">
      <c r="B55" s="260" t="s">
        <v>1562</v>
      </c>
      <c r="C55" s="261"/>
    </row>
    <row r="56" spans="1:7">
      <c r="B56" s="263" t="s">
        <v>802</v>
      </c>
      <c r="C56" s="265">
        <f ca="1">1-C57</f>
        <v>8.4999999999999964E-2</v>
      </c>
    </row>
    <row r="57" spans="1:7">
      <c r="B57" s="263" t="s">
        <v>803</v>
      </c>
      <c r="C57" s="26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20"/>
      <c r="C1" s="1108"/>
      <c r="D1" s="1107"/>
      <c r="E1" s="2564"/>
      <c r="F1" s="2564"/>
      <c r="G1" s="2445"/>
      <c r="H1" s="2564"/>
      <c r="I1" s="2564"/>
      <c r="J1" s="2564"/>
      <c r="K1" s="2565">
        <f>MATCH(C1,'数据-取费表'!A6:A16,0)+5</f>
        <v>7</v>
      </c>
    </row>
    <row r="2" spans="1:33" ht="18" customHeight="1">
      <c r="A2" s="191" t="s">
        <v>1462</v>
      </c>
      <c r="B2" s="194">
        <f ca="1">C32</f>
        <v>26137</v>
      </c>
      <c r="C2" s="266" t="s">
        <v>1595</v>
      </c>
      <c r="D2" s="266"/>
      <c r="E2" s="2564"/>
      <c r="F2" s="2564"/>
      <c r="G2" s="2564"/>
      <c r="H2" s="2564"/>
      <c r="I2" s="2564"/>
      <c r="J2" s="2564"/>
      <c r="K2" s="2564"/>
    </row>
    <row r="3" spans="1:33" ht="18" customHeight="1" thickBot="1">
      <c r="A3" s="193" t="s">
        <v>1464</v>
      </c>
      <c r="B3" s="194">
        <f ca="1">ROUND(B2*10000/IF(C1="",'数据-汇总表'!E3,INDIRECT("'数据-取费表'!K"&amp;$K$1)),0)</f>
        <v>1823809</v>
      </c>
      <c r="C3" s="266" t="s">
        <v>1596</v>
      </c>
      <c r="D3" s="266"/>
      <c r="E3" s="2564"/>
      <c r="F3" s="2564"/>
      <c r="G3" s="2564"/>
      <c r="H3" s="2564"/>
      <c r="I3" s="2564"/>
      <c r="J3" s="2564"/>
      <c r="K3" s="2564"/>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143.31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143.31</v>
      </c>
      <c r="E17" s="21">
        <f>'数据-取费表'!B32</f>
        <v>0</v>
      </c>
      <c r="F17" s="756"/>
      <c r="G17" s="122"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-22928</v>
      </c>
      <c r="D18" s="794"/>
      <c r="E18" s="21"/>
      <c r="F18" s="754"/>
      <c r="G18" s="1718"/>
      <c r="H18" s="1104"/>
      <c r="I18" s="1719"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143.31</v>
      </c>
      <c r="E19" s="21">
        <f>'数据-取费表'!B27</f>
        <v>160</v>
      </c>
      <c r="F19" s="754"/>
      <c r="G19" s="12"/>
      <c r="H19" s="1106"/>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-22928</v>
      </c>
      <c r="D21" s="765"/>
      <c r="E21" s="271"/>
      <c r="F21" s="271"/>
      <c r="G21" s="122" t="s">
        <v>1629</v>
      </c>
      <c r="H21" s="757"/>
      <c r="I21" s="757"/>
      <c r="J21" s="757"/>
      <c r="K21" s="758"/>
    </row>
    <row r="22" spans="1:33" s="753" customFormat="1" ht="13.5" customHeight="1">
      <c r="A22" s="742" t="s">
        <v>1601</v>
      </c>
      <c r="B22" s="763" t="s">
        <v>1630</v>
      </c>
      <c r="C22" s="764">
        <f ca="1">ROUND(C21*F22,0)</f>
        <v>-459</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（1）-（3）项×((1+年利率)^(建设期÷2)-1)</v>
      </c>
      <c r="H27" s="757"/>
      <c r="I27" s="757"/>
      <c r="J27" s="757"/>
      <c r="K27" s="758"/>
    </row>
    <row r="28" spans="1:33" s="279" customFormat="1" ht="13.5" customHeight="1">
      <c r="A28" s="742" t="s">
        <v>1641</v>
      </c>
      <c r="B28" s="1721" t="s">
        <v>1642</v>
      </c>
      <c r="C28" s="277">
        <f ca="1">C30</f>
        <v>-3508</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2" t="s">
        <v>1644</v>
      </c>
      <c r="H29" s="757"/>
      <c r="I29" s="757"/>
      <c r="J29" s="757"/>
      <c r="K29" s="758"/>
    </row>
    <row r="30" spans="1:33" s="281" customFormat="1" ht="13.5" customHeight="1">
      <c r="A30" s="750" t="s">
        <v>359</v>
      </c>
      <c r="B30" s="771" t="s">
        <v>1645</v>
      </c>
      <c r="C30" s="282">
        <f ca="1">ROUND((C21+C22+C23)*F28,0)</f>
        <v>-3508</v>
      </c>
      <c r="D30" s="274"/>
      <c r="E30" s="275"/>
      <c r="F30" s="280"/>
      <c r="G30" s="122"/>
      <c r="H30" s="757"/>
      <c r="I30" s="757"/>
      <c r="J30" s="757"/>
      <c r="K30" s="758"/>
    </row>
    <row r="31" spans="1:33" s="753" customFormat="1" ht="13.5" customHeight="1" thickBot="1">
      <c r="A31" s="1722"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7" t="s">
        <v>1649</v>
      </c>
      <c r="B32" s="777"/>
      <c r="C32" s="778">
        <f ca="1">ROUND((C4-C21-C22-C23-C25-C28-C31)/(1+C24+D25+D28),0)</f>
        <v>26137</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c r="D1" s="1269" t="s">
        <v>43</v>
      </c>
      <c r="E1" s="1270" t="s">
        <v>678</v>
      </c>
      <c r="F1" s="997">
        <f ca="1">J53</f>
        <v>0</v>
      </c>
      <c r="G1" s="1284">
        <f>MATCH(C1,'数据-取费表'!A6:A16,0)+5</f>
        <v>7</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#DIV/0!</v>
      </c>
      <c r="C2" s="1287" t="s">
        <v>805</v>
      </c>
      <c r="D2" s="1287"/>
      <c r="E2" s="1293"/>
      <c r="F2" s="1294"/>
      <c r="G2" s="2475"/>
      <c r="H2" s="2465"/>
      <c r="I2" s="2465"/>
      <c r="J2" s="2465"/>
      <c r="K2" s="2466"/>
      <c r="L2" s="2465"/>
      <c r="M2" s="2465"/>
    </row>
    <row r="3" spans="1:37" ht="18" customHeight="1" thickBot="1">
      <c r="A3" s="1295" t="s">
        <v>806</v>
      </c>
      <c r="B3" s="1296">
        <f ca="1">IF(ISERROR(B2*10000/F43),0,ROUND(B2*10000/F43,0))</f>
        <v>0</v>
      </c>
      <c r="C3" s="1287" t="s">
        <v>807</v>
      </c>
      <c r="D3" s="1287"/>
      <c r="E3" s="1293"/>
      <c r="F3" s="1294"/>
      <c r="G3" s="2475"/>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0</v>
      </c>
      <c r="D5" s="1271" t="s">
        <v>693</v>
      </c>
      <c r="E5" s="1006"/>
      <c r="F5" s="1007"/>
      <c r="G5" s="1290"/>
      <c r="H5" s="289">
        <v>1</v>
      </c>
      <c r="I5" s="290" t="s">
        <v>692</v>
      </c>
      <c r="J5" s="1005">
        <f ca="1">J6+J10+J12</f>
        <v>0</v>
      </c>
      <c r="K5" s="1271" t="s">
        <v>693</v>
      </c>
      <c r="L5" s="1006"/>
      <c r="M5" s="1007"/>
    </row>
    <row r="6" spans="1:37" ht="18" customHeight="1">
      <c r="A6" s="1004" t="s">
        <v>398</v>
      </c>
      <c r="B6" s="3358" t="s">
        <v>694</v>
      </c>
      <c r="C6" s="1009">
        <f ca="1">ROUND(F6*F8*F7*(1-F9)/10000,0)</f>
        <v>0</v>
      </c>
      <c r="D6" s="145" t="s">
        <v>2109</v>
      </c>
      <c r="E6" s="292" t="s">
        <v>696</v>
      </c>
      <c r="F6" s="293">
        <f ca="1">INDIRECT("'数据-取费表'!u"&amp;$G$1)</f>
        <v>0</v>
      </c>
      <c r="G6" s="1290"/>
      <c r="H6" s="1004" t="s">
        <v>398</v>
      </c>
      <c r="I6" s="3358" t="s">
        <v>694</v>
      </c>
      <c r="J6" s="291">
        <f ca="1">ROUND(M6*M8*M7*(1-M9)/10000,0)</f>
        <v>0</v>
      </c>
      <c r="K6" s="145" t="s">
        <v>2108</v>
      </c>
      <c r="L6" s="292" t="s">
        <v>696</v>
      </c>
      <c r="M6" s="293">
        <f ca="1">INDIRECT("'数据-取费表'!z"&amp;$G$1)</f>
        <v>0</v>
      </c>
    </row>
    <row r="7" spans="1:37" ht="18" customHeight="1">
      <c r="A7" s="1008"/>
      <c r="B7" s="3359"/>
      <c r="C7" s="1010"/>
      <c r="D7" s="297"/>
      <c r="E7" s="1011" t="s">
        <v>697</v>
      </c>
      <c r="F7" s="293">
        <f ca="1">IF(INDIRECT("'数据-取费表'!ah"&amp;$G$1)="",INDIRECT("'数据-取费表'!k"&amp;$G$1),INDIRECT("'数据-取费表'!ah"&amp;$G$1))</f>
        <v>0</v>
      </c>
      <c r="G7" s="1290"/>
      <c r="H7" s="294"/>
      <c r="I7" s="3359"/>
      <c r="J7" s="296"/>
      <c r="K7" s="297"/>
      <c r="L7" s="292" t="s">
        <v>697</v>
      </c>
      <c r="M7" s="293">
        <f ca="1">F7</f>
        <v>0</v>
      </c>
    </row>
    <row r="8" spans="1:37" ht="18" customHeight="1">
      <c r="A8" s="294"/>
      <c r="B8" s="3359"/>
      <c r="C8" s="296"/>
      <c r="D8" s="297"/>
      <c r="E8" s="292" t="s">
        <v>698</v>
      </c>
      <c r="F8" s="293">
        <f ca="1">INDIRECT("'数据-取费表'!ai"&amp;$G$1)</f>
        <v>0</v>
      </c>
      <c r="G8" s="1290"/>
      <c r="H8" s="294"/>
      <c r="I8" s="3359"/>
      <c r="J8" s="296"/>
      <c r="K8" s="297"/>
      <c r="L8" s="292" t="s">
        <v>698</v>
      </c>
      <c r="M8" s="293">
        <f ca="1">INDIRECT("'数据-取费表'!ai"&amp;$G$1)</f>
        <v>0</v>
      </c>
    </row>
    <row r="9" spans="1:37" ht="18" customHeight="1">
      <c r="A9" s="294"/>
      <c r="B9" s="3360"/>
      <c r="C9" s="296"/>
      <c r="D9" s="297"/>
      <c r="E9" s="292" t="s">
        <v>699</v>
      </c>
      <c r="F9" s="302">
        <f ca="1">INDIRECT("'数据-取费表'!w"&amp;$G$1)</f>
        <v>0</v>
      </c>
      <c r="G9" s="1290"/>
      <c r="H9" s="294"/>
      <c r="I9" s="3360"/>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2117</v>
      </c>
      <c r="E10" s="303" t="s">
        <v>701</v>
      </c>
      <c r="F10" s="1051"/>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0</v>
      </c>
      <c r="D14" s="1255" t="s">
        <v>708</v>
      </c>
      <c r="E14" s="1253"/>
      <c r="F14" s="309"/>
      <c r="G14" s="1290"/>
      <c r="H14" s="926" t="s">
        <v>398</v>
      </c>
      <c r="I14" s="292" t="s">
        <v>709</v>
      </c>
      <c r="J14" s="21">
        <f ca="1">C29</f>
        <v>0</v>
      </c>
      <c r="K14" s="12"/>
      <c r="L14" s="757"/>
      <c r="M14" s="758"/>
    </row>
    <row r="15" spans="1:37" s="1302" customFormat="1" ht="18" customHeight="1" thickBot="1">
      <c r="A15" s="926" t="s">
        <v>399</v>
      </c>
      <c r="B15" s="292" t="s">
        <v>710</v>
      </c>
      <c r="C15" s="21">
        <f ca="1">ROUND(C14*F15,0)</f>
        <v>0</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0</v>
      </c>
      <c r="K16" s="1022" t="s">
        <v>715</v>
      </c>
      <c r="L16" s="1023"/>
      <c r="M16" s="1007"/>
    </row>
    <row r="17" spans="1:37" s="1302" customFormat="1" ht="18" customHeight="1">
      <c r="A17" s="926" t="s">
        <v>681</v>
      </c>
      <c r="B17" s="292" t="s">
        <v>716</v>
      </c>
      <c r="C17" s="21">
        <f ca="1">ROUND(F17*(F43+INDIRECT("'数据-取费表'!S"&amp;$G$1))/10000,0)</f>
        <v>0</v>
      </c>
      <c r="D17" s="292" t="s">
        <v>717</v>
      </c>
      <c r="E17" s="292" t="s">
        <v>718</v>
      </c>
      <c r="F17" s="23">
        <f>'数据-取费表'!B35</f>
        <v>200</v>
      </c>
      <c r="G17" s="1301"/>
      <c r="H17" s="926" t="s">
        <v>398</v>
      </c>
      <c r="I17" s="292" t="s">
        <v>719</v>
      </c>
      <c r="J17" s="2137">
        <f ca="1">ROUND(IF(AND(项目基本情况!B11="自然人",项目基本情况!B10="北京市"),J6*M17/(1+'数据-取费表'!C42),J18+J19+J20),2)</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0</v>
      </c>
      <c r="D18" s="292" t="s">
        <v>711</v>
      </c>
      <c r="E18" s="292" t="s">
        <v>712</v>
      </c>
      <c r="F18" s="312">
        <f>'数据-取费表'!B36</f>
        <v>1.4999999999999999E-2</v>
      </c>
      <c r="G18" s="1301"/>
      <c r="H18" s="926" t="s">
        <v>397</v>
      </c>
      <c r="I18" s="292" t="s">
        <v>723</v>
      </c>
      <c r="J18" s="21">
        <f ca="1">ROUND(J6*M18/(1+'数据-取费表'!C42),2)</f>
        <v>0</v>
      </c>
      <c r="K18" s="1254" t="s">
        <v>724</v>
      </c>
      <c r="L18" s="292" t="s">
        <v>712</v>
      </c>
      <c r="M18" s="312">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0</v>
      </c>
      <c r="D19" s="122" t="s">
        <v>726</v>
      </c>
      <c r="E19" s="1267"/>
      <c r="F19" s="23"/>
      <c r="G19" s="1290"/>
      <c r="H19" s="926" t="s">
        <v>399</v>
      </c>
      <c r="I19" s="292" t="s">
        <v>727</v>
      </c>
      <c r="J19" s="21">
        <f ca="1">IF(K19="按租金收入计税",ROUND(J6*M19/(1+'数据-取费表'!C42),2),ROUND(C29*M19*0.7,2))</f>
        <v>0</v>
      </c>
      <c r="K19" s="1276" t="s">
        <v>3332</v>
      </c>
      <c r="L19" s="292" t="s">
        <v>712</v>
      </c>
      <c r="M19" s="312">
        <f>IF(K19="按租金收入计税",'数据-取费表'!B51,'数据-取费表'!B50)</f>
        <v>0.12</v>
      </c>
    </row>
    <row r="20" spans="1:37" s="1302" customFormat="1" ht="18" customHeight="1">
      <c r="A20" s="926" t="s">
        <v>402</v>
      </c>
      <c r="B20" s="292" t="s">
        <v>728</v>
      </c>
      <c r="C20" s="21">
        <f ca="1">ROUND(C19*F20,0)</f>
        <v>0</v>
      </c>
      <c r="D20" s="313" t="s">
        <v>729</v>
      </c>
      <c r="E20" s="292" t="s">
        <v>712</v>
      </c>
      <c r="F20" s="312">
        <f>'数据-取费表'!B37</f>
        <v>0.02</v>
      </c>
      <c r="G20" s="1301"/>
      <c r="H20" s="926" t="s">
        <v>680</v>
      </c>
      <c r="I20" s="145" t="s">
        <v>730</v>
      </c>
      <c r="J20" s="22">
        <f ca="1">ROUND(M20*M21/10000,2)</f>
        <v>0</v>
      </c>
      <c r="K20" s="314" t="s">
        <v>731</v>
      </c>
      <c r="L20" s="292" t="s">
        <v>732</v>
      </c>
      <c r="M20" s="315">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0.02</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2" t="str">
        <f>IF(F23&lt;=1,"单利计息。","复利计息。")&amp;"建造成本、管理费用、销售费用产生的利息。"</f>
        <v>复利计息。建造成本、管理费用、销售费用产生的利息。</v>
      </c>
      <c r="E22" s="1267"/>
      <c r="F22" s="23"/>
      <c r="G22" s="1290"/>
      <c r="H22" s="926" t="s">
        <v>402</v>
      </c>
      <c r="I22" s="292" t="s">
        <v>738</v>
      </c>
      <c r="J22" s="21">
        <f ca="1">ROUND(J14*M22,2)</f>
        <v>0</v>
      </c>
      <c r="K22" s="1254" t="s">
        <v>739</v>
      </c>
      <c r="L22" s="292" t="s">
        <v>712</v>
      </c>
      <c r="M22" s="318">
        <f ca="1">INDIRECT("'数据-取费表'!Ak"&amp;$G$1)</f>
        <v>0</v>
      </c>
    </row>
    <row r="23" spans="1:37" s="1302"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f ca="1">ROUND(J13*M23,2)</f>
        <v>0</v>
      </c>
      <c r="K23" s="1254" t="s">
        <v>743</v>
      </c>
      <c r="L23" s="292" t="s">
        <v>744</v>
      </c>
      <c r="M23" s="319">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2" t="s">
        <v>751</v>
      </c>
      <c r="E25" s="1267"/>
      <c r="F25" s="23"/>
      <c r="G25" s="1290"/>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90"/>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5.33E-2</v>
      </c>
      <c r="D28" s="313" t="s">
        <v>765</v>
      </c>
      <c r="E28" s="292" t="s">
        <v>712</v>
      </c>
      <c r="F28" s="312">
        <f>'数据-取费表'!B41</f>
        <v>5.6000000000000001E-2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3" t="s">
        <v>396</v>
      </c>
      <c r="I29" s="324" t="s">
        <v>768</v>
      </c>
      <c r="J29" s="325">
        <f ca="1">ROUND(J26/(1+F40)^F41,0)</f>
        <v>0</v>
      </c>
      <c r="K29" s="326" t="s">
        <v>769</v>
      </c>
      <c r="L29" s="327"/>
      <c r="M29" s="328">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0</v>
      </c>
      <c r="D30" s="1022" t="s">
        <v>715</v>
      </c>
      <c r="E30" s="1023"/>
      <c r="F30" s="1007"/>
      <c r="G30" s="1290"/>
      <c r="H30" s="2467"/>
      <c r="I30" s="1303"/>
      <c r="J30" s="1304"/>
      <c r="K30" s="120"/>
      <c r="L30" s="2468"/>
      <c r="M30" s="2469"/>
    </row>
    <row r="31" spans="1:37" ht="18" customHeight="1">
      <c r="A31" s="926" t="s">
        <v>398</v>
      </c>
      <c r="B31" s="292" t="s">
        <v>719</v>
      </c>
      <c r="C31" s="2137">
        <f ca="1">ROUND(IF(AND(项目基本情况!B11="自然人",项目基本情况!B10="北京市"),C6*F31/(1+'数据-取费表'!C42),C32+C33+C34),2)</f>
        <v>0</v>
      </c>
      <c r="D31" s="1255" t="s">
        <v>720</v>
      </c>
      <c r="E31" s="1254" t="s">
        <v>770</v>
      </c>
      <c r="F31" s="2136">
        <f ca="1">IF(项目基本情况!B11="企业","——",IF(M47="住宅",IF(F6*F7*F8/12/(1+'数据-取费表'!F30)&gt;100000,4%,2.5%),IF(F6*F7*F8/12/(1+'数据-取费表'!F30)&gt;100000,12%,7%)))</f>
        <v>7.0000000000000007E-2</v>
      </c>
      <c r="G31" s="1290"/>
      <c r="H31" s="2566" t="s">
        <v>2302</v>
      </c>
      <c r="I31" s="1303"/>
      <c r="J31" s="1304"/>
      <c r="K31" s="120"/>
      <c r="L31" s="2468"/>
      <c r="M31" s="2469"/>
    </row>
    <row r="32" spans="1:37" ht="18" customHeight="1">
      <c r="A32" s="926" t="s">
        <v>397</v>
      </c>
      <c r="B32" s="292" t="s">
        <v>723</v>
      </c>
      <c r="C32" s="21" t="str">
        <f>IF(项目基本情况!B11="自然人","——",ROUND(C6*F32/(1+'数据-取费表'!C42),2))</f>
        <v>——</v>
      </c>
      <c r="D32" s="1254" t="s">
        <v>724</v>
      </c>
      <c r="E32" s="292" t="s">
        <v>712</v>
      </c>
      <c r="F32" s="320">
        <f>'数据-取费表'!B41</f>
        <v>5.6000000000000001E-2</v>
      </c>
      <c r="G32" s="1290"/>
      <c r="H32" s="2467"/>
      <c r="I32" s="1303"/>
      <c r="J32" s="1304"/>
      <c r="K32" s="120"/>
      <c r="L32" s="2468"/>
      <c r="M32" s="2469"/>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6" t="s">
        <v>3332</v>
      </c>
      <c r="E33" s="292" t="s">
        <v>712</v>
      </c>
      <c r="F33" s="312">
        <f>IF(D33="按票据","——",IF(D33="按租金收入计税",'数据-取费表'!B51,'数据-取费表'!B50))</f>
        <v>0.12</v>
      </c>
      <c r="G33" s="1290"/>
      <c r="H33" s="2470"/>
      <c r="I33" s="1303"/>
      <c r="J33" s="1304"/>
      <c r="K33" s="2471"/>
      <c r="L33" s="2470"/>
      <c r="M33" s="2470"/>
    </row>
    <row r="34" spans="1:18" ht="18" customHeight="1">
      <c r="A34" s="1004" t="s">
        <v>680</v>
      </c>
      <c r="B34" s="145" t="s">
        <v>730</v>
      </c>
      <c r="C34" s="22" t="str">
        <f>IF(项目基本情况!B11="自然人","——",ROUND(F34*F35/10000,2))</f>
        <v>——</v>
      </c>
      <c r="D34" s="314" t="s">
        <v>731</v>
      </c>
      <c r="E34" s="292" t="s">
        <v>732</v>
      </c>
      <c r="F34" s="315">
        <f>'数据-取费表'!B52</f>
        <v>0</v>
      </c>
      <c r="G34" s="1290"/>
      <c r="H34" s="2467"/>
      <c r="I34" s="1303"/>
      <c r="J34" s="1304"/>
      <c r="K34" s="2472"/>
      <c r="L34" s="2473"/>
      <c r="M34" s="2473"/>
    </row>
    <row r="35" spans="1:18" ht="18" customHeight="1">
      <c r="A35" s="1038"/>
      <c r="B35" s="1036"/>
      <c r="C35" s="26"/>
      <c r="D35" s="317"/>
      <c r="E35" s="292" t="s">
        <v>736</v>
      </c>
      <c r="F35" s="293">
        <f ca="1">INDIRECT("'数据-取费表'!r"&amp;$G$1)</f>
        <v>0</v>
      </c>
      <c r="G35" s="1290"/>
      <c r="H35" s="2467"/>
      <c r="I35" s="1303"/>
      <c r="J35" s="1304"/>
      <c r="K35" s="2471"/>
      <c r="L35" s="2470"/>
      <c r="M35" s="2470"/>
    </row>
    <row r="36" spans="1:18" ht="18" customHeight="1">
      <c r="A36" s="1037" t="s">
        <v>402</v>
      </c>
      <c r="B36" s="292" t="s">
        <v>738</v>
      </c>
      <c r="C36" s="21">
        <f ca="1">ROUND(C29*F36,2)</f>
        <v>0</v>
      </c>
      <c r="D36" s="1254" t="s">
        <v>771</v>
      </c>
      <c r="E36" s="292" t="s">
        <v>712</v>
      </c>
      <c r="F36" s="318">
        <f ca="1">INDIRECT("'数据-取费表'!Ak"&amp;$G$1)</f>
        <v>0</v>
      </c>
      <c r="G36" s="1290"/>
      <c r="H36" s="2470"/>
      <c r="I36" s="1303"/>
      <c r="J36" s="1304"/>
      <c r="K36" s="2327"/>
      <c r="L36" s="2470"/>
      <c r="M36" s="2470"/>
    </row>
    <row r="37" spans="1:18" ht="18" customHeight="1">
      <c r="A37" s="926" t="s">
        <v>437</v>
      </c>
      <c r="B37" s="292" t="s">
        <v>742</v>
      </c>
      <c r="C37" s="21">
        <f ca="1">ROUND(C13*F37,2)</f>
        <v>0</v>
      </c>
      <c r="D37" s="1254" t="s">
        <v>743</v>
      </c>
      <c r="E37" s="292" t="s">
        <v>744</v>
      </c>
      <c r="F37" s="319">
        <f ca="1">INDIRECT("'数据-取费表'!Al"&amp;$G$1)</f>
        <v>0</v>
      </c>
      <c r="G37" s="1290"/>
      <c r="H37" s="2470"/>
      <c r="I37" s="1303"/>
      <c r="J37" s="1304"/>
      <c r="K37" s="2327"/>
      <c r="L37" s="2470"/>
      <c r="M37" s="2470"/>
    </row>
    <row r="38" spans="1:18" ht="18" customHeight="1" thickBot="1">
      <c r="A38" s="1024" t="s">
        <v>684</v>
      </c>
      <c r="B38" s="1025" t="s">
        <v>728</v>
      </c>
      <c r="C38" s="1026">
        <f ca="1">ROUND(C5*F38,2)</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0">
        <f ca="1">C5-C30</f>
        <v>0</v>
      </c>
      <c r="D39" s="1030" t="s">
        <v>773</v>
      </c>
      <c r="E39" s="1031"/>
      <c r="F39" s="1032"/>
      <c r="G39" s="1290"/>
      <c r="H39" s="2470"/>
      <c r="I39" s="1303"/>
      <c r="J39" s="1304"/>
      <c r="K39" s="2468"/>
      <c r="L39" s="2470"/>
      <c r="M39" s="2470"/>
    </row>
    <row r="40" spans="1:18" ht="18" customHeight="1">
      <c r="A40" s="289" t="s">
        <v>395</v>
      </c>
      <c r="B40" s="290" t="s">
        <v>774</v>
      </c>
      <c r="C40" s="291" t="e">
        <f ca="1">ROUND(C39*(1-((1+F42)/(1+F40))^F41)/(F40-F42),0)</f>
        <v>#DIV/0!</v>
      </c>
      <c r="D40" s="314" t="s">
        <v>758</v>
      </c>
      <c r="E40" s="292" t="s">
        <v>759</v>
      </c>
      <c r="F40" s="302">
        <f ca="1">INDIRECT("'数据-取费表'!I"&amp;$G$1)</f>
        <v>0</v>
      </c>
      <c r="G40" s="1290"/>
      <c r="H40" s="1364"/>
      <c r="I40" s="1303"/>
      <c r="J40" s="1304"/>
      <c r="K40" s="2468"/>
      <c r="L40" s="1364"/>
      <c r="M40" s="1364"/>
    </row>
    <row r="41" spans="1:18" ht="18" customHeight="1">
      <c r="A41" s="294"/>
      <c r="B41" s="295"/>
      <c r="C41" s="296"/>
      <c r="D41" s="321" t="s">
        <v>775</v>
      </c>
      <c r="E41" s="292" t="s">
        <v>763</v>
      </c>
      <c r="F41" s="322">
        <f ca="1">IF(INDIRECT("'数据-取费表'!af"&amp;$G$1)=0,INDIRECT("'数据-取费表'!ae"&amp;$G$1),INDIRECT("'数据-取费表'!af"&amp;$G$1))</f>
        <v>0</v>
      </c>
      <c r="G41" s="1290"/>
      <c r="H41" s="120"/>
      <c r="I41" s="1303"/>
      <c r="J41" s="1304"/>
      <c r="K41" s="2327"/>
      <c r="L41" s="120"/>
      <c r="M41" s="120"/>
    </row>
    <row r="42" spans="1:18" ht="18" customHeight="1">
      <c r="A42" s="298"/>
      <c r="B42" s="299"/>
      <c r="C42" s="300"/>
      <c r="D42" s="317"/>
      <c r="E42" s="292" t="s">
        <v>766</v>
      </c>
      <c r="F42" s="302">
        <f ca="1">INDIRECT("'数据-取费表'!v"&amp;$G$1)</f>
        <v>0</v>
      </c>
      <c r="G42" s="1290"/>
      <c r="H42" s="120"/>
      <c r="I42" s="1303"/>
      <c r="J42" s="1304"/>
      <c r="K42" s="2327"/>
      <c r="L42" s="120"/>
      <c r="M42" s="120"/>
    </row>
    <row r="43" spans="1:18" ht="18" customHeight="1" thickBot="1">
      <c r="A43" s="323" t="s">
        <v>396</v>
      </c>
      <c r="B43" s="324" t="s">
        <v>776</v>
      </c>
      <c r="C43" s="325" t="e">
        <f ca="1">ROUND(C40*10000/F43,0)</f>
        <v>#DIV/0!</v>
      </c>
      <c r="D43" s="326" t="s">
        <v>777</v>
      </c>
      <c r="E43" s="327" t="s">
        <v>778</v>
      </c>
      <c r="F43" s="328">
        <f ca="1">INDIRECT("'数据-取费表'!k"&amp;$G$1)</f>
        <v>0</v>
      </c>
      <c r="G43" s="1290"/>
      <c r="H43" s="120"/>
      <c r="I43" s="120"/>
      <c r="J43" s="120"/>
      <c r="K43" s="2327"/>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4"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0"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2110</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3">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6">
        <f ca="1">ROUND(IF(F53="押一",C49/12*F11,IF(F53="押二",C49/12*2*F11,IF(F53="押三",C49/12*3*F11,C54*F11))),0)</f>
        <v>0</v>
      </c>
      <c r="D53" s="148" t="s">
        <v>2116</v>
      </c>
      <c r="E53" s="303" t="s">
        <v>701</v>
      </c>
      <c r="F53" s="1051"/>
      <c r="I53" s="1342" t="s">
        <v>836</v>
      </c>
      <c r="J53" s="2003">
        <f ca="1">IF(M47="住宅",IF(D1="——",MAX(J51,L48),MAX(J51,L48-'数据-取费表'!B24)),IF(D1="——",MIN(J51,L48),MIN(J51,L48-'数据-取费表'!B24)))</f>
        <v>0</v>
      </c>
      <c r="K53" s="3356" t="s">
        <v>837</v>
      </c>
      <c r="L53" s="3357"/>
      <c r="O53" s="1323" t="s">
        <v>409</v>
      </c>
      <c r="P53" s="1324" t="s">
        <v>838</v>
      </c>
      <c r="Q53" s="1325" t="e">
        <f ca="1">Q47+Q48</f>
        <v>#DIV/0!</v>
      </c>
      <c r="R53" s="1325" t="s">
        <v>410</v>
      </c>
    </row>
    <row r="54" spans="1:18" s="1290" customFormat="1" ht="13.5"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2">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28">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5" t="s">
        <v>393</v>
      </c>
      <c r="B58" s="902" t="s">
        <v>714</v>
      </c>
      <c r="C58" s="306">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7">
        <f ca="1">ROUND(IF(AND(项目基本情况!B11="自然人",项目基本情况!B10="北京市"),C49*F59/(1+'数据-取费表'!C42),C60+C61+C62),0)</f>
        <v>0</v>
      </c>
      <c r="D59" s="907" t="s">
        <v>720</v>
      </c>
      <c r="E59" s="908" t="s">
        <v>721</v>
      </c>
      <c r="F59" s="2136">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t="str">
        <f>IF(项目基本情况!B11="自然人","——",ROUND(C48*F60/(1+'数据-取费表'!C42),2))</f>
        <v>——</v>
      </c>
      <c r="D60" s="908" t="s">
        <v>724</v>
      </c>
      <c r="E60" s="894" t="s">
        <v>712</v>
      </c>
      <c r="F60" s="320">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t="str">
        <f ca="1">IF(项目基本情况!B11="自然人","——",IF(D61="按租金收入计税",ROUND(C49*F61/(1+'数据-取费表'!C42),2),IF(D61="按房产原值计税",ROUND(C57*F61*0.7,2),INDIRECT("'数据-取费表'!Aj"&amp;$G$1))))</f>
        <v>——</v>
      </c>
      <c r="D61" s="1276" t="s">
        <v>3332</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t="str">
        <f>IF(项目基本情况!B11="自然人","——",ROUND(F62*F63/10000,2))</f>
        <v>——</v>
      </c>
      <c r="D62" s="909" t="s">
        <v>786</v>
      </c>
      <c r="E62" s="894" t="s">
        <v>787</v>
      </c>
      <c r="F62" s="315">
        <f t="shared" si="0"/>
        <v>0</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18">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19">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2">
        <f t="shared" ca="1" si="0"/>
        <v>0</v>
      </c>
      <c r="O66" s="1323" t="s">
        <v>404</v>
      </c>
      <c r="P66" s="1324" t="s">
        <v>846</v>
      </c>
      <c r="Q66" s="1325" t="e">
        <f ca="1">L60</f>
        <v>#DIV/0!</v>
      </c>
      <c r="R66" s="1325" t="s">
        <v>869</v>
      </c>
    </row>
    <row r="67" spans="1:18" s="1290" customFormat="1" ht="16.5" thickBot="1">
      <c r="A67" s="901" t="s">
        <v>394</v>
      </c>
      <c r="B67" s="911" t="s">
        <v>752</v>
      </c>
      <c r="C67" s="306">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1" t="e">
        <f ca="1">ROUND(C67*(1-((1+F70)/(1+F68))^F69)/(F68-F70),0)</f>
        <v>#DIV/0!</v>
      </c>
      <c r="D68" s="909" t="s">
        <v>758</v>
      </c>
      <c r="E68" s="894" t="s">
        <v>759</v>
      </c>
      <c r="F68" s="302">
        <f ca="1">F40</f>
        <v>0</v>
      </c>
      <c r="O68" s="1332" t="s">
        <v>406</v>
      </c>
      <c r="P68" s="1369" t="s">
        <v>871</v>
      </c>
      <c r="Q68" s="1325">
        <f ca="1">ROUND(Q69-Q70*Q71,0)</f>
        <v>0</v>
      </c>
      <c r="R68" s="1325" t="s">
        <v>414</v>
      </c>
    </row>
    <row r="69" spans="1:18" s="1290" customFormat="1" ht="13.5" thickBot="1">
      <c r="A69" s="895"/>
      <c r="B69" s="896"/>
      <c r="C69" s="296"/>
      <c r="D69" s="914" t="s">
        <v>762</v>
      </c>
      <c r="E69" s="894" t="s">
        <v>763</v>
      </c>
      <c r="F69" s="322">
        <f ca="1">F41</f>
        <v>0</v>
      </c>
      <c r="O69" s="1332" t="s">
        <v>411</v>
      </c>
      <c r="P69" s="1369" t="s">
        <v>872</v>
      </c>
      <c r="Q69" s="1325">
        <f ca="1">C39</f>
        <v>0</v>
      </c>
      <c r="R69" s="1325" t="s">
        <v>818</v>
      </c>
    </row>
    <row r="70" spans="1:18" s="1290" customFormat="1" ht="13.5" thickBot="1">
      <c r="A70" s="898"/>
      <c r="B70" s="899"/>
      <c r="C70" s="300"/>
      <c r="D70" s="910"/>
      <c r="E70" s="894" t="s">
        <v>766</v>
      </c>
      <c r="F70" s="989"/>
      <c r="O70" s="1332" t="s">
        <v>412</v>
      </c>
      <c r="P70" s="1369" t="s">
        <v>873</v>
      </c>
      <c r="Q70" s="1325">
        <f ca="1">C13</f>
        <v>0</v>
      </c>
      <c r="R70" s="1325" t="s">
        <v>818</v>
      </c>
    </row>
    <row r="71" spans="1:18" s="1290" customFormat="1" ht="13.5" thickBot="1">
      <c r="A71" s="915" t="s">
        <v>396</v>
      </c>
      <c r="B71" s="916" t="s">
        <v>776</v>
      </c>
      <c r="C71" s="325" t="e">
        <f ca="1">ROUND(C68*10000/F71,0)</f>
        <v>#DIV/0!</v>
      </c>
      <c r="D71" s="917" t="s">
        <v>777</v>
      </c>
      <c r="E71" s="918" t="s">
        <v>778</v>
      </c>
      <c r="F71" s="328">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0</v>
      </c>
      <c r="D75" s="1290"/>
      <c r="E75" s="1290"/>
      <c r="F75" s="1290"/>
      <c r="K75" s="1307"/>
      <c r="L75" s="1290"/>
      <c r="O75" s="1323" t="s">
        <v>409</v>
      </c>
      <c r="P75" s="1324" t="s">
        <v>838</v>
      </c>
      <c r="Q75" s="1325" t="e">
        <f ca="1">Q65+Q66</f>
        <v>#DIV/0!</v>
      </c>
      <c r="R75" s="1325" t="s">
        <v>410</v>
      </c>
    </row>
    <row r="76" spans="1:18">
      <c r="B76" s="331" t="s">
        <v>796</v>
      </c>
      <c r="C76" s="332">
        <f ca="1">INDIRECT("'数据-取费表'!j"&amp;$G$1)</f>
        <v>0</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K45" sqref="K45"/>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1661</v>
      </c>
      <c r="C1" s="1153" t="s">
        <v>1662</v>
      </c>
      <c r="D1" s="1140" t="s">
        <v>3402</v>
      </c>
      <c r="E1" s="3121" t="s">
        <v>3533</v>
      </c>
      <c r="F1" s="1733" t="s">
        <v>3528</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2">
        <f>IF(E1="项目模式",IF(C2="——",ROUND(C49*D3/10000,0),ROUND(C49*D3/10000,0)-D2),IF(E1="单套模式",IF(C2="——",ROUND(C49*D3/10000,4),ROUND(C49*D3/10000,4)-D2)))</f>
        <v>1270.9160999999999</v>
      </c>
      <c r="C2" s="1735" t="s">
        <v>43</v>
      </c>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88683</v>
      </c>
      <c r="C3" s="342" t="s">
        <v>1665</v>
      </c>
      <c r="D3" s="341">
        <f>IF(D1="",'数据-汇总表'!E3,SUMIF('数据-汇总表'!$C19:$C33,D1,'数据-汇总表'!$E19:$E33))</f>
        <v>143.31</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3" t="s">
        <v>1666</v>
      </c>
      <c r="B4" s="344"/>
      <c r="C4" s="3379" t="s">
        <v>1667</v>
      </c>
      <c r="D4" s="3380"/>
      <c r="E4" s="3381" t="s">
        <v>1668</v>
      </c>
      <c r="F4" s="3382"/>
      <c r="G4" s="3379" t="s">
        <v>1669</v>
      </c>
      <c r="H4" s="3380"/>
      <c r="I4" s="3379" t="s">
        <v>1670</v>
      </c>
      <c r="J4" s="3380"/>
      <c r="K4" s="1742" t="s">
        <v>1671</v>
      </c>
      <c r="L4" s="2483"/>
      <c r="M4" s="2484"/>
      <c r="N4" s="2484"/>
      <c r="O4" s="2484"/>
      <c r="P4" s="3383" t="s">
        <v>1672</v>
      </c>
      <c r="Q4" s="3384"/>
      <c r="R4" s="3366" t="s">
        <v>1668</v>
      </c>
      <c r="S4" s="3367"/>
      <c r="T4" s="3366" t="s">
        <v>1669</v>
      </c>
      <c r="U4" s="3367"/>
      <c r="V4" s="3391" t="s">
        <v>1670</v>
      </c>
      <c r="W4" s="3391"/>
      <c r="X4" s="1263"/>
      <c r="Y4" s="3366" t="s">
        <v>1672</v>
      </c>
      <c r="Z4" s="3367"/>
      <c r="AA4" s="3361" t="s">
        <v>1668</v>
      </c>
      <c r="AB4" s="3361" t="s">
        <v>1669</v>
      </c>
      <c r="AC4" s="3361" t="s">
        <v>1670</v>
      </c>
    </row>
    <row r="5" spans="1:29" ht="15">
      <c r="A5" s="346"/>
      <c r="B5" s="347"/>
      <c r="C5" s="3511" t="s">
        <v>3472</v>
      </c>
      <c r="D5" s="3373"/>
      <c r="E5" s="3370" t="str">
        <f>案例!B2</f>
        <v>朝阳区广渠门外大街3号院8号楼4层505</v>
      </c>
      <c r="F5" s="3371"/>
      <c r="G5" s="3372" t="str">
        <f>案例!B3</f>
        <v>朝阳区广渠门外大街3号院1号楼12层1503</v>
      </c>
      <c r="H5" s="3373"/>
      <c r="I5" s="3372" t="str">
        <f>案例!B4</f>
        <v>朝阳区广渠门外大街3号院9号楼15层1802</v>
      </c>
      <c r="J5" s="3373"/>
      <c r="K5" s="1743"/>
      <c r="L5" s="2483"/>
      <c r="M5" s="2484"/>
      <c r="N5" s="2484"/>
      <c r="O5" s="2484"/>
      <c r="P5" s="3385"/>
      <c r="Q5" s="3386"/>
      <c r="R5" s="3368"/>
      <c r="S5" s="3369"/>
      <c r="T5" s="3368"/>
      <c r="U5" s="3369"/>
      <c r="V5" s="3391"/>
      <c r="W5" s="3391"/>
      <c r="X5" s="1263"/>
      <c r="Y5" s="3368"/>
      <c r="Z5" s="3369"/>
      <c r="AA5" s="3362"/>
      <c r="AB5" s="3362"/>
      <c r="AC5" s="3362"/>
    </row>
    <row r="6" spans="1:29" ht="15.75" thickBot="1">
      <c r="A6" s="348"/>
      <c r="B6" s="349"/>
      <c r="C6" s="3374" t="s">
        <v>1677</v>
      </c>
      <c r="D6" s="3375"/>
      <c r="E6" s="3376" t="s">
        <v>1677</v>
      </c>
      <c r="F6" s="3377"/>
      <c r="G6" s="3374" t="s">
        <v>1677</v>
      </c>
      <c r="H6" s="3375"/>
      <c r="I6" s="3374" t="s">
        <v>1677</v>
      </c>
      <c r="J6" s="3375"/>
      <c r="K6" s="1743" t="s">
        <v>1678</v>
      </c>
      <c r="L6" s="2483"/>
      <c r="M6" s="2484"/>
      <c r="N6" s="2484"/>
      <c r="O6" s="2484"/>
      <c r="P6" s="3387"/>
      <c r="Q6" s="3388"/>
      <c r="R6" s="3368"/>
      <c r="S6" s="3369"/>
      <c r="T6" s="3389"/>
      <c r="U6" s="3390"/>
      <c r="V6" s="3391"/>
      <c r="W6" s="3391"/>
      <c r="X6" s="1263"/>
      <c r="Y6" s="3389"/>
      <c r="Z6" s="3390"/>
      <c r="AA6" s="3363"/>
      <c r="AB6" s="3363"/>
      <c r="AC6" s="3363"/>
    </row>
    <row r="7" spans="1:29" s="101" customFormat="1" ht="15.75" thickBot="1">
      <c r="A7" s="350" t="s">
        <v>1679</v>
      </c>
      <c r="B7" s="351"/>
      <c r="C7" s="352">
        <f>'数据-取费表'!B2</f>
        <v>45755</v>
      </c>
      <c r="D7" s="353">
        <v>100</v>
      </c>
      <c r="E7" s="354">
        <f>案例!M2</f>
        <v>45738</v>
      </c>
      <c r="F7" s="355">
        <f>SUMIF(58:58,YEAR(E7)&amp;"-"&amp;MONTH(E7),59:59)</f>
        <v>100.1</v>
      </c>
      <c r="G7" s="354">
        <f>案例!M3</f>
        <v>45674</v>
      </c>
      <c r="H7" s="353">
        <f>SUMIF(58:58,YEAR(G7)&amp;"-"&amp;MONTH(G7),59:59)</f>
        <v>100.1</v>
      </c>
      <c r="I7" s="354">
        <f>案例!M4</f>
        <v>45644</v>
      </c>
      <c r="J7" s="353">
        <f>SUMIF(58:58,YEAR(I7)&amp;"-"&amp;MONTH(I7),59:59)</f>
        <v>100.19999999999999</v>
      </c>
      <c r="K7" s="1744"/>
      <c r="L7" s="2485"/>
      <c r="M7" s="2436"/>
      <c r="N7" s="2436"/>
      <c r="O7" s="2436"/>
      <c r="P7" s="3364" t="s">
        <v>1680</v>
      </c>
      <c r="Q7" s="3392"/>
      <c r="R7" s="662" t="s">
        <v>20</v>
      </c>
      <c r="S7" s="663">
        <f t="shared" ref="S7:S15" si="0">F7</f>
        <v>100.1</v>
      </c>
      <c r="T7" s="662" t="s">
        <v>20</v>
      </c>
      <c r="U7" s="663">
        <f t="shared" ref="U7:U15" si="1">H7</f>
        <v>100.1</v>
      </c>
      <c r="V7" s="662" t="s">
        <v>20</v>
      </c>
      <c r="W7" s="663">
        <f t="shared" ref="W7:W15" si="2">J7</f>
        <v>100.19999999999999</v>
      </c>
      <c r="X7" s="664"/>
      <c r="Y7" s="3364" t="s">
        <v>1680</v>
      </c>
      <c r="Z7" s="3365"/>
      <c r="AA7" s="50">
        <f>D7/F7</f>
        <v>0.99900099900099903</v>
      </c>
      <c r="AB7" s="50">
        <f>D7/H7</f>
        <v>0.99900099900099903</v>
      </c>
      <c r="AC7" s="50">
        <f>D7/J7</f>
        <v>0.99800399201596812</v>
      </c>
    </row>
    <row r="8" spans="1:29" s="101" customFormat="1" ht="15.75" thickBot="1">
      <c r="A8" s="350" t="s">
        <v>1681</v>
      </c>
      <c r="B8" s="351"/>
      <c r="C8" s="356" t="s">
        <v>3473</v>
      </c>
      <c r="D8" s="353">
        <v>100</v>
      </c>
      <c r="E8" s="1745" t="s">
        <v>3473</v>
      </c>
      <c r="F8" s="355">
        <f>SUMIF(61:61,E8,62:62)-SUMIF(61:61,C8,62:62)+100</f>
        <v>100</v>
      </c>
      <c r="G8" s="1745" t="s">
        <v>3473</v>
      </c>
      <c r="H8" s="353">
        <f>SUMIF(61:61,G8,62:62)-SUMIF(61:61,C8,62:62)+100</f>
        <v>100</v>
      </c>
      <c r="I8" s="1745" t="s">
        <v>3473</v>
      </c>
      <c r="J8" s="353">
        <f>SUMIF(61:61,I8,62:62)-SUMIF(61:61,C8,62:62)+100</f>
        <v>100</v>
      </c>
      <c r="K8" s="1744"/>
      <c r="L8" s="2485"/>
      <c r="M8" s="2436"/>
      <c r="N8" s="2436"/>
      <c r="O8" s="2436"/>
      <c r="P8" s="3364" t="s">
        <v>1683</v>
      </c>
      <c r="Q8" s="3365"/>
      <c r="R8" s="662" t="s">
        <v>20</v>
      </c>
      <c r="S8" s="663">
        <f t="shared" si="0"/>
        <v>100</v>
      </c>
      <c r="T8" s="662" t="s">
        <v>20</v>
      </c>
      <c r="U8" s="663">
        <f t="shared" si="1"/>
        <v>100</v>
      </c>
      <c r="V8" s="662" t="s">
        <v>20</v>
      </c>
      <c r="W8" s="663">
        <f t="shared" si="2"/>
        <v>100</v>
      </c>
      <c r="X8" s="664"/>
      <c r="Y8" s="3364" t="s">
        <v>1683</v>
      </c>
      <c r="Z8" s="3365"/>
      <c r="AA8" s="50">
        <f t="shared" ref="AA8:AA19" si="3">D8/F8</f>
        <v>1</v>
      </c>
      <c r="AB8" s="50">
        <f t="shared" ref="AB8:AB19" si="4">D8/H8</f>
        <v>1</v>
      </c>
      <c r="AC8" s="50">
        <f t="shared" ref="AC8:AC19" si="5">D8/J8</f>
        <v>1</v>
      </c>
    </row>
    <row r="9" spans="1:29" s="101" customFormat="1" ht="15" thickBot="1">
      <c r="A9" s="357" t="s">
        <v>1684</v>
      </c>
      <c r="B9" s="60" t="s">
        <v>1685</v>
      </c>
      <c r="C9" s="3512" t="s">
        <v>3474</v>
      </c>
      <c r="D9" s="59">
        <v>100</v>
      </c>
      <c r="E9" s="359" t="s">
        <v>3402</v>
      </c>
      <c r="F9" s="60">
        <f>SUMIF(63:63,E9,64:64)-SUMIF(63:63,C9,64:64)+100</f>
        <v>100</v>
      </c>
      <c r="G9" s="359" t="s">
        <v>3402</v>
      </c>
      <c r="H9" s="59">
        <f>SUMIF(63:63,G9,64:64)-SUMIF(63:63,C9,64:64)+100</f>
        <v>100</v>
      </c>
      <c r="I9" s="359" t="s">
        <v>3402</v>
      </c>
      <c r="J9" s="59">
        <f>SUMIF(63:63,I9,64:64)-SUMIF(63:63,C9,64:64)+100</f>
        <v>100</v>
      </c>
      <c r="K9" s="1744"/>
      <c r="L9" s="2485"/>
      <c r="M9" s="2436"/>
      <c r="N9" s="2436"/>
      <c r="O9" s="2436"/>
      <c r="P9" s="3378"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hidden="1">
      <c r="A10" s="361"/>
      <c r="B10" s="362" t="s">
        <v>1688</v>
      </c>
      <c r="C10" s="3129"/>
      <c r="D10" s="118">
        <v>100</v>
      </c>
      <c r="E10" s="3130"/>
      <c r="F10" s="362">
        <f>SUMIF(65:65,E10,66:66)-SUMIF(65:65,C10,66:66)+100</f>
        <v>100</v>
      </c>
      <c r="G10" s="3129"/>
      <c r="H10" s="118">
        <f>SUMIF(65:65,G10,66:66)-SUMIF(65:65,C10,66:66)+100</f>
        <v>100</v>
      </c>
      <c r="I10" s="3129"/>
      <c r="J10" s="118">
        <f>SUMIF(65:65,I10,66:66)-SUMIF(65:65,C10,66:66)+100</f>
        <v>100</v>
      </c>
      <c r="K10" s="1744"/>
      <c r="L10" s="2486"/>
      <c r="M10" s="2487"/>
      <c r="N10" s="2487"/>
      <c r="O10" s="2487"/>
      <c r="P10" s="3378"/>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hidden="1">
      <c r="A11" s="365"/>
      <c r="B11" s="362" t="s">
        <v>1689</v>
      </c>
      <c r="C11" s="366"/>
      <c r="D11" s="118">
        <v>100</v>
      </c>
      <c r="E11" s="367"/>
      <c r="F11" s="362">
        <f>LOOKUP(E11,68:68,69:69)-LOOKUP(C11,68:68,69:69)+100</f>
        <v>100</v>
      </c>
      <c r="G11" s="366"/>
      <c r="H11" s="118">
        <f>LOOKUP(G11,68:68,69:69)-LOOKUP(C11,68:68,69:69)+100</f>
        <v>100</v>
      </c>
      <c r="I11" s="366"/>
      <c r="J11" s="118">
        <f>LOOKUP(I11,68:68,69:69)-LOOKUP(C11,68:68,69:69)+100</f>
        <v>100</v>
      </c>
      <c r="K11" s="363"/>
      <c r="L11" s="2488"/>
      <c r="M11" s="2484"/>
      <c r="N11" s="2484"/>
      <c r="O11" s="2484"/>
      <c r="P11" s="3378"/>
      <c r="Q11" s="528" t="str">
        <f t="shared" si="6"/>
        <v>容积率</v>
      </c>
      <c r="R11" s="662" t="s">
        <v>18</v>
      </c>
      <c r="S11" s="663">
        <f t="shared" si="0"/>
        <v>100</v>
      </c>
      <c r="T11" s="662" t="s">
        <v>18</v>
      </c>
      <c r="U11" s="663">
        <f t="shared" si="1"/>
        <v>100</v>
      </c>
      <c r="V11" s="662" t="s">
        <v>18</v>
      </c>
      <c r="W11" s="663">
        <f t="shared" si="2"/>
        <v>100</v>
      </c>
      <c r="X11" s="664"/>
      <c r="Y11" s="3329"/>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8">
        <f>SUMIF(70:70,G12,71:71)-SUMIF(70:70,C12,71:71)+100</f>
        <v>100</v>
      </c>
      <c r="I12" s="369"/>
      <c r="J12" s="118">
        <f>SUMIF(70:70,I12,71:71)-SUMIF(70:70,C12,71:71)+100</f>
        <v>100</v>
      </c>
      <c r="K12" s="1746"/>
      <c r="L12" s="2485"/>
      <c r="M12" s="2436"/>
      <c r="N12" s="2436"/>
      <c r="O12" s="2436"/>
      <c r="P12" s="3378"/>
      <c r="Q12" s="528">
        <f t="shared" si="6"/>
        <v>111</v>
      </c>
      <c r="R12" s="662" t="s">
        <v>18</v>
      </c>
      <c r="S12" s="663">
        <f t="shared" si="0"/>
        <v>100</v>
      </c>
      <c r="T12" s="662" t="s">
        <v>18</v>
      </c>
      <c r="U12" s="663">
        <f t="shared" si="1"/>
        <v>100</v>
      </c>
      <c r="V12" s="662" t="s">
        <v>18</v>
      </c>
      <c r="W12" s="663">
        <f t="shared" si="2"/>
        <v>100</v>
      </c>
      <c r="X12" s="664"/>
      <c r="Y12" s="3329"/>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9"/>
      <c r="M13" s="2484"/>
      <c r="N13" s="2484"/>
      <c r="O13" s="2484"/>
      <c r="P13" s="3378"/>
      <c r="Q13" s="528">
        <f t="shared" si="6"/>
        <v>111</v>
      </c>
      <c r="R13" s="662" t="s">
        <v>18</v>
      </c>
      <c r="S13" s="663">
        <f t="shared" si="0"/>
        <v>100</v>
      </c>
      <c r="T13" s="662" t="s">
        <v>18</v>
      </c>
      <c r="U13" s="663">
        <f t="shared" si="1"/>
        <v>100</v>
      </c>
      <c r="V13" s="662" t="s">
        <v>18</v>
      </c>
      <c r="W13" s="663">
        <f t="shared" si="2"/>
        <v>100</v>
      </c>
      <c r="X13" s="664"/>
      <c r="Y13" s="3329"/>
      <c r="Z13" s="50">
        <f t="shared" si="7"/>
        <v>111</v>
      </c>
      <c r="AA13" s="50">
        <f t="shared" si="3"/>
        <v>1</v>
      </c>
      <c r="AB13" s="50">
        <f t="shared" si="4"/>
        <v>1</v>
      </c>
      <c r="AC13" s="50">
        <f t="shared" si="5"/>
        <v>1</v>
      </c>
    </row>
    <row r="14" spans="1:29" ht="15.75" hidden="1"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9"/>
      <c r="M14" s="2484"/>
      <c r="N14" s="2484"/>
      <c r="O14" s="2484"/>
      <c r="P14" s="3378"/>
      <c r="Q14" s="528">
        <f t="shared" si="6"/>
        <v>111</v>
      </c>
      <c r="R14" s="662" t="s">
        <v>18</v>
      </c>
      <c r="S14" s="663">
        <f t="shared" si="0"/>
        <v>100</v>
      </c>
      <c r="T14" s="662" t="s">
        <v>18</v>
      </c>
      <c r="U14" s="663">
        <f t="shared" si="1"/>
        <v>100</v>
      </c>
      <c r="V14" s="662" t="s">
        <v>18</v>
      </c>
      <c r="W14" s="663">
        <f t="shared" si="2"/>
        <v>100</v>
      </c>
      <c r="X14" s="664"/>
      <c r="Y14" s="3329"/>
      <c r="Z14" s="50">
        <f t="shared" si="7"/>
        <v>111</v>
      </c>
      <c r="AA14" s="50">
        <f t="shared" si="3"/>
        <v>1</v>
      </c>
      <c r="AB14" s="50">
        <f t="shared" si="4"/>
        <v>1</v>
      </c>
      <c r="AC14" s="50">
        <f t="shared" si="5"/>
        <v>1</v>
      </c>
    </row>
    <row r="15" spans="1:29" ht="85.5">
      <c r="A15" s="377" t="s">
        <v>1690</v>
      </c>
      <c r="B15" s="58" t="s">
        <v>1257</v>
      </c>
      <c r="C15" s="1748" t="str">
        <f>估价对象房地状况!C3</f>
        <v>周边有合生国际家园、优士阁、双花园南里、广渠家园、百环家园等住宅小区，居住社区成熟度好。</v>
      </c>
      <c r="D15" s="378">
        <v>100</v>
      </c>
      <c r="E15" s="3513" t="s">
        <v>3475</v>
      </c>
      <c r="F15" s="378">
        <f>SUMIF(76:76,E16,77:77)-SUMIF(76:76,C16,77:77)+100</f>
        <v>100</v>
      </c>
      <c r="G15" s="379" t="str">
        <f>E15</f>
        <v>周边有合生国际家园、优士阁、双花园南里、广渠家园、百环家园等住宅小区，居住社区成熟度好。</v>
      </c>
      <c r="H15" s="378">
        <f>SUMIF(76:76,G16,77:77)-SUMIF(76:76,C16,77:77)+100</f>
        <v>100</v>
      </c>
      <c r="I15" s="379" t="str">
        <f>E15</f>
        <v>周边有合生国际家园、优士阁、双花园南里、广渠家园、百环家园等住宅小区，居住社区成熟度好。</v>
      </c>
      <c r="J15" s="378">
        <f>SUMIF(76:76,I16,77:77)-SUMIF(76:76,C16,77:77)+100</f>
        <v>100</v>
      </c>
      <c r="K15" s="382"/>
      <c r="L15" s="2489"/>
      <c r="M15" s="2484"/>
      <c r="N15" s="2484"/>
      <c r="O15" s="2484"/>
      <c r="P15" s="3404" t="s">
        <v>1691</v>
      </c>
      <c r="Q15" s="1261" t="str">
        <f t="shared" si="6"/>
        <v>居住社区成熟度</v>
      </c>
      <c r="R15" s="665" t="s">
        <v>18</v>
      </c>
      <c r="S15" s="666">
        <f t="shared" si="0"/>
        <v>100</v>
      </c>
      <c r="T15" s="665" t="s">
        <v>18</v>
      </c>
      <c r="U15" s="666">
        <f t="shared" si="1"/>
        <v>100</v>
      </c>
      <c r="V15" s="665" t="s">
        <v>18</v>
      </c>
      <c r="W15" s="666">
        <f t="shared" si="2"/>
        <v>100</v>
      </c>
      <c r="X15" s="1263"/>
      <c r="Y15" s="3397" t="s">
        <v>1691</v>
      </c>
      <c r="Z15" s="1262" t="str">
        <f t="shared" si="7"/>
        <v>居住社区成熟度</v>
      </c>
      <c r="AA15" s="1262">
        <f t="shared" si="3"/>
        <v>1</v>
      </c>
      <c r="AB15" s="1262">
        <f t="shared" si="4"/>
        <v>1</v>
      </c>
      <c r="AC15" s="1262">
        <f t="shared" si="5"/>
        <v>1</v>
      </c>
    </row>
    <row r="16" spans="1:29" ht="15">
      <c r="A16" s="365"/>
      <c r="B16" s="383"/>
      <c r="C16" s="384" t="s">
        <v>3479</v>
      </c>
      <c r="D16" s="385"/>
      <c r="E16" s="1749" t="s">
        <v>3479</v>
      </c>
      <c r="F16" s="385"/>
      <c r="G16" s="1749" t="s">
        <v>3479</v>
      </c>
      <c r="H16" s="387"/>
      <c r="I16" s="1749" t="s">
        <v>3479</v>
      </c>
      <c r="J16" s="385"/>
      <c r="K16" s="1751"/>
      <c r="L16" s="2489"/>
      <c r="M16" s="2484"/>
      <c r="N16" s="2484"/>
      <c r="O16" s="2484"/>
      <c r="P16" s="3405"/>
      <c r="Q16" s="1261"/>
      <c r="R16" s="665"/>
      <c r="S16" s="666"/>
      <c r="T16" s="665"/>
      <c r="U16" s="666"/>
      <c r="V16" s="665"/>
      <c r="W16" s="666"/>
      <c r="X16" s="1263"/>
      <c r="Y16" s="3398"/>
      <c r="Z16" s="1262"/>
      <c r="AA16" s="1262">
        <v>1</v>
      </c>
      <c r="AB16" s="1262">
        <v>1</v>
      </c>
      <c r="AC16" s="1262">
        <v>1</v>
      </c>
    </row>
    <row r="17" spans="1:29" ht="99.75">
      <c r="A17" s="365"/>
      <c r="B17" s="388" t="s">
        <v>1259</v>
      </c>
      <c r="C17" s="1752" t="str">
        <f>估价对象房地状况!C6</f>
        <v>周边有28路、57路、72路、98路、300路等多条公交线路，地铁7号线与10号线换乘站双井站，综合评价交通便捷度好。</v>
      </c>
      <c r="D17" s="387">
        <v>100</v>
      </c>
      <c r="E17" s="3514" t="s">
        <v>3476</v>
      </c>
      <c r="F17" s="387">
        <f>SUMIF(78:78,E18,79:79)-SUMIF(78:78,C18,79:79)+100</f>
        <v>100</v>
      </c>
      <c r="G17" s="389" t="str">
        <f>E17</f>
        <v>周边有28路、57路、72路、98路、300路等多条公交线路，地铁7号线与10号线换乘站双井站，综合评价交通便捷度好。</v>
      </c>
      <c r="H17" s="392">
        <f>SUMIF(78:78,G18,79:79)-SUMIF(78:78,C18,79:79)+100</f>
        <v>100</v>
      </c>
      <c r="I17" s="389" t="str">
        <f>E17</f>
        <v>周边有28路、57路、72路、98路、300路等多条公交线路，地铁7号线与10号线换乘站双井站，综合评价交通便捷度好。</v>
      </c>
      <c r="J17" s="392">
        <f>SUMIF(78:78,I18,79:79)-SUMIF(78:78,C18,79:79)+100</f>
        <v>100</v>
      </c>
      <c r="K17" s="382"/>
      <c r="L17" s="2489"/>
      <c r="M17" s="2484"/>
      <c r="N17" s="2484"/>
      <c r="O17" s="2484"/>
      <c r="P17" s="3405"/>
      <c r="Q17" s="1261" t="str">
        <f>B17</f>
        <v>交通便捷度</v>
      </c>
      <c r="R17" s="665" t="s">
        <v>18</v>
      </c>
      <c r="S17" s="666">
        <f>F17</f>
        <v>100</v>
      </c>
      <c r="T17" s="665" t="s">
        <v>18</v>
      </c>
      <c r="U17" s="666">
        <f>H17</f>
        <v>100</v>
      </c>
      <c r="V17" s="665" t="s">
        <v>18</v>
      </c>
      <c r="W17" s="666">
        <f>J17</f>
        <v>100</v>
      </c>
      <c r="X17" s="1263"/>
      <c r="Y17" s="3398"/>
      <c r="Z17" s="1262" t="str">
        <f>Q17</f>
        <v>交通便捷度</v>
      </c>
      <c r="AA17" s="1262">
        <f t="shared" si="3"/>
        <v>1</v>
      </c>
      <c r="AB17" s="1262">
        <f t="shared" si="4"/>
        <v>1</v>
      </c>
      <c r="AC17" s="1262">
        <f t="shared" si="5"/>
        <v>1</v>
      </c>
    </row>
    <row r="18" spans="1:29" ht="15">
      <c r="A18" s="365"/>
      <c r="B18" s="393"/>
      <c r="C18" s="1753" t="s">
        <v>3479</v>
      </c>
      <c r="D18" s="387"/>
      <c r="E18" s="1754" t="s">
        <v>3479</v>
      </c>
      <c r="F18" s="387"/>
      <c r="G18" s="1754" t="s">
        <v>3479</v>
      </c>
      <c r="H18" s="385"/>
      <c r="I18" s="1754" t="s">
        <v>3479</v>
      </c>
      <c r="J18" s="385"/>
      <c r="K18" s="1751"/>
      <c r="L18" s="2489"/>
      <c r="M18" s="2484"/>
      <c r="N18" s="2484"/>
      <c r="O18" s="2484"/>
      <c r="P18" s="3405"/>
      <c r="Q18" s="1261"/>
      <c r="R18" s="665"/>
      <c r="S18" s="666"/>
      <c r="T18" s="665"/>
      <c r="U18" s="666"/>
      <c r="V18" s="665"/>
      <c r="W18" s="666"/>
      <c r="X18" s="1263"/>
      <c r="Y18" s="3398"/>
      <c r="Z18" s="1262"/>
      <c r="AA18" s="1262">
        <v>1</v>
      </c>
      <c r="AB18" s="1262">
        <v>1</v>
      </c>
      <c r="AC18" s="1262">
        <v>1</v>
      </c>
    </row>
    <row r="19" spans="1:29" ht="270.75">
      <c r="A19" s="365"/>
      <c r="B19" s="388" t="s">
        <v>1258</v>
      </c>
      <c r="C19" s="1752" t="str">
        <f>估价对象房地状况!C7</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D19" s="392">
        <v>100</v>
      </c>
      <c r="E19" s="3515" t="s">
        <v>3418</v>
      </c>
      <c r="F19" s="392">
        <f>SUMIF(80:80,E20,81:81)-SUMIF(80:80,C20,81:81)+100</f>
        <v>100</v>
      </c>
      <c r="G19" s="394" t="str">
        <f>E19</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H19" s="387">
        <f>SUMIF(80:80,G20,81:81)-SUMIF(80:80,C20,81:81)+100</f>
        <v>100</v>
      </c>
      <c r="I19" s="394" t="str">
        <f>E19</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J19" s="387">
        <f>SUMIF(80:80,I20,81:81)-SUMIF(80:80,C20,81:81)+100</f>
        <v>100</v>
      </c>
      <c r="K19" s="382"/>
      <c r="L19" s="2489"/>
      <c r="M19" s="2484"/>
      <c r="N19" s="2484"/>
      <c r="O19" s="2484"/>
      <c r="P19" s="3405"/>
      <c r="Q19" s="1261" t="str">
        <f>B19</f>
        <v>公共配套设施</v>
      </c>
      <c r="R19" s="665" t="s">
        <v>18</v>
      </c>
      <c r="S19" s="666">
        <f>F19</f>
        <v>100</v>
      </c>
      <c r="T19" s="665" t="s">
        <v>18</v>
      </c>
      <c r="U19" s="666">
        <f>H19</f>
        <v>100</v>
      </c>
      <c r="V19" s="665" t="s">
        <v>18</v>
      </c>
      <c r="W19" s="666">
        <f>J19</f>
        <v>100</v>
      </c>
      <c r="X19" s="1263"/>
      <c r="Y19" s="3398"/>
      <c r="Z19" s="1262" t="str">
        <f>Q19</f>
        <v>公共配套设施</v>
      </c>
      <c r="AA19" s="1262">
        <f t="shared" si="3"/>
        <v>1</v>
      </c>
      <c r="AB19" s="1262">
        <f t="shared" si="4"/>
        <v>1</v>
      </c>
      <c r="AC19" s="1262">
        <f t="shared" si="5"/>
        <v>1</v>
      </c>
    </row>
    <row r="20" spans="1:29" ht="15">
      <c r="A20" s="365"/>
      <c r="B20" s="393"/>
      <c r="C20" s="384" t="s">
        <v>3479</v>
      </c>
      <c r="D20" s="385"/>
      <c r="E20" s="1749" t="s">
        <v>3479</v>
      </c>
      <c r="F20" s="385"/>
      <c r="G20" s="1749" t="s">
        <v>3479</v>
      </c>
      <c r="H20" s="385"/>
      <c r="I20" s="1749" t="s">
        <v>3479</v>
      </c>
      <c r="J20" s="385"/>
      <c r="K20" s="1751"/>
      <c r="L20" s="2489"/>
      <c r="M20" s="2484"/>
      <c r="N20" s="2484"/>
      <c r="O20" s="2484"/>
      <c r="P20" s="3405"/>
      <c r="Q20" s="1261"/>
      <c r="R20" s="665"/>
      <c r="S20" s="666"/>
      <c r="T20" s="665"/>
      <c r="U20" s="666"/>
      <c r="V20" s="665"/>
      <c r="W20" s="666"/>
      <c r="X20" s="1263"/>
      <c r="Y20" s="3398"/>
      <c r="Z20" s="1262"/>
      <c r="AA20" s="1262">
        <v>1</v>
      </c>
      <c r="AB20" s="1262">
        <v>1</v>
      </c>
      <c r="AC20" s="1262">
        <v>1</v>
      </c>
    </row>
    <row r="21" spans="1:29" ht="28.5">
      <c r="A21" s="365"/>
      <c r="B21" s="584" t="s">
        <v>1260</v>
      </c>
      <c r="C21" s="1752"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89"/>
      <c r="M21" s="2484"/>
      <c r="N21" s="2484"/>
      <c r="O21" s="2484"/>
      <c r="P21" s="3405"/>
      <c r="Q21" s="1261" t="str">
        <f>B21</f>
        <v>基础设施水平</v>
      </c>
      <c r="R21" s="665" t="s">
        <v>14</v>
      </c>
      <c r="S21" s="666">
        <f>F21</f>
        <v>100</v>
      </c>
      <c r="T21" s="665" t="s">
        <v>14</v>
      </c>
      <c r="U21" s="666">
        <f>H21</f>
        <v>100</v>
      </c>
      <c r="V21" s="665" t="s">
        <v>14</v>
      </c>
      <c r="W21" s="666">
        <f>J21</f>
        <v>100</v>
      </c>
      <c r="X21" s="1263"/>
      <c r="Y21" s="3398"/>
      <c r="Z21" s="1262" t="str">
        <f>Q21</f>
        <v>基础设施水平</v>
      </c>
      <c r="AA21" s="1262">
        <f t="shared" ref="AA21" si="8">D21/F21</f>
        <v>1</v>
      </c>
      <c r="AB21" s="1262">
        <f t="shared" ref="AB21" si="9">D21/H21</f>
        <v>1</v>
      </c>
      <c r="AC21" s="1262">
        <f t="shared" ref="AC21" si="10">D21/J21</f>
        <v>1</v>
      </c>
    </row>
    <row r="22" spans="1:29" ht="15">
      <c r="A22" s="365"/>
      <c r="B22" s="584"/>
      <c r="C22" s="1753" t="s">
        <v>3478</v>
      </c>
      <c r="D22" s="385"/>
      <c r="E22" s="384" t="s">
        <v>3478</v>
      </c>
      <c r="F22" s="385"/>
      <c r="G22" s="1756" t="s">
        <v>3478</v>
      </c>
      <c r="H22" s="385"/>
      <c r="I22" s="384" t="s">
        <v>3478</v>
      </c>
      <c r="J22" s="385"/>
      <c r="K22" s="1757"/>
      <c r="L22" s="2489"/>
      <c r="M22" s="2484"/>
      <c r="N22" s="2484"/>
      <c r="O22" s="2484"/>
      <c r="P22" s="3405"/>
      <c r="Q22" s="1261"/>
      <c r="R22" s="665"/>
      <c r="S22" s="666"/>
      <c r="T22" s="665"/>
      <c r="U22" s="666"/>
      <c r="V22" s="665"/>
      <c r="W22" s="666"/>
      <c r="X22" s="1263"/>
      <c r="Y22" s="3398"/>
      <c r="Z22" s="1262"/>
      <c r="AA22" s="1262">
        <v>1</v>
      </c>
      <c r="AB22" s="1262">
        <v>1</v>
      </c>
      <c r="AC22" s="1262">
        <v>1</v>
      </c>
    </row>
    <row r="23" spans="1:29" ht="128.25">
      <c r="A23" s="365"/>
      <c r="B23" s="388" t="s">
        <v>1261</v>
      </c>
      <c r="C23" s="1752" t="str">
        <f>估价对象房地状况!C9</f>
        <v>自然环境：CBD城市森林公园、通惠河水系等自然景观；
人文环境：北京今日美术馆等人文场所；
综合评价环境状况较好。</v>
      </c>
      <c r="D23" s="387">
        <v>100</v>
      </c>
      <c r="E23" s="3516" t="s">
        <v>3477</v>
      </c>
      <c r="F23" s="387">
        <f>SUMIF(84:84,E24,85:85)-SUMIF(84:84,C24,85:85)+100</f>
        <v>100</v>
      </c>
      <c r="G23" s="389" t="str">
        <f>E23</f>
        <v>自然环境：CBD城市森林公园、通惠河水系等自然景观；
人文环境：北京今日美术馆等人文场所；
综合评价环境状况较好。</v>
      </c>
      <c r="H23" s="387">
        <f>SUMIF(84:84,G24,85:85)-SUMIF(84:84,C24,85:85)+100</f>
        <v>100</v>
      </c>
      <c r="I23" s="389" t="str">
        <f>E23</f>
        <v>自然环境：CBD城市森林公园、通惠河水系等自然景观；
人文环境：北京今日美术馆等人文场所；
综合评价环境状况较好。</v>
      </c>
      <c r="J23" s="387">
        <f>SUMIF(84:84,I24,85:85)-SUMIF(84:84,C24,85:85)+100</f>
        <v>100</v>
      </c>
      <c r="K23" s="382"/>
      <c r="L23" s="2489"/>
      <c r="M23" s="2484"/>
      <c r="N23" s="2484"/>
      <c r="O23" s="2484"/>
      <c r="P23" s="3405"/>
      <c r="Q23" s="1261" t="str">
        <f>B23</f>
        <v>自然及人文环境</v>
      </c>
      <c r="R23" s="665" t="s">
        <v>18</v>
      </c>
      <c r="S23" s="666">
        <f>F23</f>
        <v>100</v>
      </c>
      <c r="T23" s="665" t="s">
        <v>18</v>
      </c>
      <c r="U23" s="666">
        <f>H23</f>
        <v>100</v>
      </c>
      <c r="V23" s="665" t="s">
        <v>18</v>
      </c>
      <c r="W23" s="666">
        <f>J23</f>
        <v>100</v>
      </c>
      <c r="X23" s="1263"/>
      <c r="Y23" s="3398"/>
      <c r="Z23" s="1262" t="str">
        <f>Q23</f>
        <v>自然及人文环境</v>
      </c>
      <c r="AA23" s="1262">
        <f>D23/F23</f>
        <v>1</v>
      </c>
      <c r="AB23" s="1262">
        <f>D23/H23</f>
        <v>1</v>
      </c>
      <c r="AC23" s="1262">
        <f>D23/J23</f>
        <v>1</v>
      </c>
    </row>
    <row r="24" spans="1:29" ht="15">
      <c r="A24" s="365"/>
      <c r="B24" s="393"/>
      <c r="C24" s="384" t="s">
        <v>3480</v>
      </c>
      <c r="D24" s="385"/>
      <c r="E24" s="1749" t="s">
        <v>3480</v>
      </c>
      <c r="F24" s="385"/>
      <c r="G24" s="1749" t="s">
        <v>3480</v>
      </c>
      <c r="H24" s="385"/>
      <c r="I24" s="1749" t="s">
        <v>3480</v>
      </c>
      <c r="J24" s="385"/>
      <c r="K24" s="1751"/>
      <c r="L24" s="2489"/>
      <c r="M24" s="2484"/>
      <c r="N24" s="2484"/>
      <c r="O24" s="2484"/>
      <c r="P24" s="3405"/>
      <c r="Q24" s="1261"/>
      <c r="R24" s="665"/>
      <c r="S24" s="666"/>
      <c r="T24" s="665"/>
      <c r="U24" s="666"/>
      <c r="V24" s="665"/>
      <c r="W24" s="666"/>
      <c r="X24" s="1263"/>
      <c r="Y24" s="3398"/>
      <c r="Z24" s="1262"/>
      <c r="AA24" s="1262">
        <v>1</v>
      </c>
      <c r="AB24" s="1262">
        <v>1</v>
      </c>
      <c r="AC24" s="1262">
        <v>1</v>
      </c>
    </row>
    <row r="25" spans="1:29" ht="15">
      <c r="A25" s="365"/>
      <c r="B25" s="362" t="s">
        <v>1692</v>
      </c>
      <c r="C25" s="397" t="s">
        <v>3495</v>
      </c>
      <c r="D25" s="372">
        <v>100</v>
      </c>
      <c r="E25" s="1758" t="s">
        <v>3438</v>
      </c>
      <c r="F25" s="372">
        <f>SUMIF(86:86,E25,87:87)-SUMIF(86:86,C25,87:87)+100</f>
        <v>102.5</v>
      </c>
      <c r="G25" s="1759" t="s">
        <v>3464</v>
      </c>
      <c r="H25" s="372">
        <f>SUMIF(86:86,G25,87:87)-SUMIF(86:86,C25,87:87)+100</f>
        <v>105</v>
      </c>
      <c r="I25" s="1759" t="s">
        <v>3466</v>
      </c>
      <c r="J25" s="372">
        <f>SUMIF(86:86,I25,87:87)-SUMIF(86:86,C25,87:87)+100</f>
        <v>107.5</v>
      </c>
      <c r="K25" s="363">
        <v>2.5</v>
      </c>
      <c r="L25" s="2489"/>
      <c r="M25" s="2484"/>
      <c r="N25" s="2484"/>
      <c r="O25" s="2484"/>
      <c r="P25" s="3405"/>
      <c r="Q25" s="1261" t="str">
        <f t="shared" ref="Q25:Q46" si="11">B25</f>
        <v>楼层-1</v>
      </c>
      <c r="R25" s="665" t="s">
        <v>18</v>
      </c>
      <c r="S25" s="666">
        <f t="shared" ref="S25:S46" si="12">F25</f>
        <v>102.5</v>
      </c>
      <c r="T25" s="665" t="s">
        <v>18</v>
      </c>
      <c r="U25" s="666">
        <f t="shared" ref="U25:U46" si="13">H25</f>
        <v>105</v>
      </c>
      <c r="V25" s="665" t="s">
        <v>18</v>
      </c>
      <c r="W25" s="666">
        <f t="shared" ref="W25:W46" si="14">J25</f>
        <v>107.5</v>
      </c>
      <c r="X25" s="1263"/>
      <c r="Y25" s="3398"/>
      <c r="Z25" s="1262" t="str">
        <f>Q25</f>
        <v>楼层-1</v>
      </c>
      <c r="AA25" s="1262">
        <f t="shared" ref="AA25:AA46" si="15">D25/F25</f>
        <v>0.97560975609756095</v>
      </c>
      <c r="AB25" s="1262">
        <f t="shared" ref="AB25:AB46" si="16">D25/H25</f>
        <v>0.95238095238095233</v>
      </c>
      <c r="AC25" s="1262">
        <f t="shared" ref="AC25:AC46" si="17">D25/J25</f>
        <v>0.93023255813953487</v>
      </c>
    </row>
    <row r="26" spans="1:29" ht="15">
      <c r="A26" s="365"/>
      <c r="B26" s="362" t="s">
        <v>1693</v>
      </c>
      <c r="C26" s="397" t="s">
        <v>3494</v>
      </c>
      <c r="D26" s="372">
        <v>100</v>
      </c>
      <c r="E26" s="1758" t="s">
        <v>3456</v>
      </c>
      <c r="F26" s="372">
        <f>SUMIF(88:88,E26,89:89)-SUMIF(88:88,C26,89:89)+100</f>
        <v>98.5</v>
      </c>
      <c r="G26" s="1759" t="s">
        <v>3459</v>
      </c>
      <c r="H26" s="372">
        <f>SUMIF(88:88,G26,89:89)-SUMIF(88:88,C26,89:89)+100</f>
        <v>97</v>
      </c>
      <c r="I26" s="1759" t="s">
        <v>3456</v>
      </c>
      <c r="J26" s="372">
        <f>SUMIF(88:88,I26,89:89)-SUMIF(88:88,C26,89:89)+100</f>
        <v>98.5</v>
      </c>
      <c r="K26" s="363">
        <v>1.5</v>
      </c>
      <c r="L26" s="2489"/>
      <c r="M26" s="2484"/>
      <c r="N26" s="2484"/>
      <c r="O26" s="2484"/>
      <c r="P26" s="3405"/>
      <c r="Q26" s="1261" t="str">
        <f t="shared" si="11"/>
        <v>朝向</v>
      </c>
      <c r="R26" s="665" t="s">
        <v>18</v>
      </c>
      <c r="S26" s="666">
        <f t="shared" si="12"/>
        <v>98.5</v>
      </c>
      <c r="T26" s="665" t="s">
        <v>18</v>
      </c>
      <c r="U26" s="666">
        <f t="shared" si="13"/>
        <v>97</v>
      </c>
      <c r="V26" s="665" t="s">
        <v>18</v>
      </c>
      <c r="W26" s="666">
        <f t="shared" si="14"/>
        <v>98.5</v>
      </c>
      <c r="X26" s="1263"/>
      <c r="Y26" s="3398"/>
      <c r="Z26" s="1262" t="str">
        <f>Q26</f>
        <v>朝向</v>
      </c>
      <c r="AA26" s="1262">
        <f t="shared" si="15"/>
        <v>1.015228426395939</v>
      </c>
      <c r="AB26" s="1262">
        <f t="shared" si="16"/>
        <v>1.0309278350515463</v>
      </c>
      <c r="AC26" s="1262">
        <f t="shared" si="17"/>
        <v>1.015228426395939</v>
      </c>
    </row>
    <row r="27" spans="1:29" s="101"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5"/>
      <c r="M27" s="2436"/>
      <c r="N27" s="2436"/>
      <c r="O27" s="2436"/>
      <c r="P27" s="3405"/>
      <c r="Q27" s="528">
        <f t="shared" si="11"/>
        <v>111</v>
      </c>
      <c r="R27" s="662" t="s">
        <v>18</v>
      </c>
      <c r="S27" s="663">
        <f t="shared" si="12"/>
        <v>100</v>
      </c>
      <c r="T27" s="662" t="s">
        <v>18</v>
      </c>
      <c r="U27" s="663">
        <f t="shared" si="13"/>
        <v>100</v>
      </c>
      <c r="V27" s="662" t="s">
        <v>18</v>
      </c>
      <c r="W27" s="663">
        <f t="shared" si="14"/>
        <v>100</v>
      </c>
      <c r="X27" s="664"/>
      <c r="Y27" s="3398"/>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9"/>
      <c r="M28" s="2484"/>
      <c r="N28" s="2484"/>
      <c r="O28" s="2484"/>
      <c r="P28" s="3405"/>
      <c r="Q28" s="1261">
        <f t="shared" si="11"/>
        <v>111</v>
      </c>
      <c r="R28" s="665" t="s">
        <v>18</v>
      </c>
      <c r="S28" s="666">
        <f t="shared" si="12"/>
        <v>100</v>
      </c>
      <c r="T28" s="665" t="s">
        <v>18</v>
      </c>
      <c r="U28" s="666">
        <f t="shared" si="13"/>
        <v>100</v>
      </c>
      <c r="V28" s="665" t="s">
        <v>18</v>
      </c>
      <c r="W28" s="666">
        <f t="shared" si="14"/>
        <v>100</v>
      </c>
      <c r="X28" s="1263"/>
      <c r="Y28" s="3398"/>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9"/>
      <c r="M29" s="2484"/>
      <c r="N29" s="2484"/>
      <c r="O29" s="2484"/>
      <c r="P29" s="3405"/>
      <c r="Q29" s="1261">
        <f t="shared" si="11"/>
        <v>111</v>
      </c>
      <c r="R29" s="665" t="s">
        <v>18</v>
      </c>
      <c r="S29" s="666">
        <f t="shared" si="12"/>
        <v>100</v>
      </c>
      <c r="T29" s="665" t="s">
        <v>18</v>
      </c>
      <c r="U29" s="666">
        <f t="shared" si="13"/>
        <v>100</v>
      </c>
      <c r="V29" s="665" t="s">
        <v>18</v>
      </c>
      <c r="W29" s="666">
        <f t="shared" si="14"/>
        <v>100</v>
      </c>
      <c r="X29" s="1263"/>
      <c r="Y29" s="3398"/>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9"/>
      <c r="M30" s="2484"/>
      <c r="N30" s="2484"/>
      <c r="O30" s="2484"/>
      <c r="P30" s="3405"/>
      <c r="Q30" s="1261">
        <f t="shared" si="11"/>
        <v>111</v>
      </c>
      <c r="R30" s="665" t="s">
        <v>18</v>
      </c>
      <c r="S30" s="666">
        <f t="shared" si="12"/>
        <v>100</v>
      </c>
      <c r="T30" s="665" t="s">
        <v>18</v>
      </c>
      <c r="U30" s="666">
        <f t="shared" si="13"/>
        <v>100</v>
      </c>
      <c r="V30" s="665" t="s">
        <v>18</v>
      </c>
      <c r="W30" s="666">
        <f t="shared" si="14"/>
        <v>100</v>
      </c>
      <c r="X30" s="1263"/>
      <c r="Y30" s="3398"/>
      <c r="Z30" s="1262">
        <f t="shared" si="18"/>
        <v>111</v>
      </c>
      <c r="AA30" s="1262">
        <f t="shared" si="15"/>
        <v>1</v>
      </c>
      <c r="AB30" s="1262">
        <f t="shared" si="16"/>
        <v>1</v>
      </c>
      <c r="AC30" s="1262">
        <f t="shared" si="17"/>
        <v>1</v>
      </c>
    </row>
    <row r="31" spans="1:29" ht="15.75"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9"/>
      <c r="M31" s="2484"/>
      <c r="N31" s="2484"/>
      <c r="O31" s="2484"/>
      <c r="P31" s="3405"/>
      <c r="Q31" s="1261">
        <f t="shared" si="11"/>
        <v>111</v>
      </c>
      <c r="R31" s="665" t="s">
        <v>18</v>
      </c>
      <c r="S31" s="666">
        <f t="shared" si="12"/>
        <v>100</v>
      </c>
      <c r="T31" s="665" t="s">
        <v>18</v>
      </c>
      <c r="U31" s="666">
        <f t="shared" si="13"/>
        <v>100</v>
      </c>
      <c r="V31" s="665" t="s">
        <v>18</v>
      </c>
      <c r="W31" s="666">
        <f t="shared" si="14"/>
        <v>100</v>
      </c>
      <c r="X31" s="1263"/>
      <c r="Y31" s="3398"/>
      <c r="Z31" s="1262">
        <f t="shared" si="18"/>
        <v>111</v>
      </c>
      <c r="AA31" s="1262">
        <f t="shared" si="15"/>
        <v>1</v>
      </c>
      <c r="AB31" s="1262">
        <f t="shared" si="16"/>
        <v>1</v>
      </c>
      <c r="AC31" s="1262">
        <f t="shared" si="17"/>
        <v>1</v>
      </c>
    </row>
    <row r="32" spans="1:29" ht="15">
      <c r="A32" s="377" t="s">
        <v>1694</v>
      </c>
      <c r="B32" s="60" t="s">
        <v>1695</v>
      </c>
      <c r="C32" s="1762" t="s">
        <v>3522</v>
      </c>
      <c r="D32" s="403">
        <v>100</v>
      </c>
      <c r="E32" s="1763" t="s">
        <v>3501</v>
      </c>
      <c r="F32" s="398">
        <f>SUMIF(100:100,E32,101:101)-SUMIF(100:100,C32,101:101)+100</f>
        <v>100</v>
      </c>
      <c r="G32" s="1763" t="s">
        <v>3501</v>
      </c>
      <c r="H32" s="403">
        <f>SUMIF(100:100,G32,101:101)-SUMIF(100:100,C32,101:101)+100</f>
        <v>100</v>
      </c>
      <c r="I32" s="1763" t="s">
        <v>3522</v>
      </c>
      <c r="J32" s="372">
        <f>SUMIF(100:100,I32,101:101)-SUMIF(100:100,C32,101:101)+100</f>
        <v>100</v>
      </c>
      <c r="K32" s="363"/>
      <c r="L32" s="2489"/>
      <c r="M32" s="2484"/>
      <c r="N32" s="2484"/>
      <c r="O32" s="2484"/>
      <c r="P32" s="3399" t="s">
        <v>1696</v>
      </c>
      <c r="Q32" s="1261" t="str">
        <f t="shared" si="11"/>
        <v>建筑类型</v>
      </c>
      <c r="R32" s="665" t="s">
        <v>18</v>
      </c>
      <c r="S32" s="666">
        <f t="shared" si="12"/>
        <v>100</v>
      </c>
      <c r="T32" s="665" t="s">
        <v>18</v>
      </c>
      <c r="U32" s="666">
        <f t="shared" si="13"/>
        <v>100</v>
      </c>
      <c r="V32" s="665" t="s">
        <v>18</v>
      </c>
      <c r="W32" s="666">
        <f t="shared" si="14"/>
        <v>100</v>
      </c>
      <c r="X32" s="1263"/>
      <c r="Y32" s="3402" t="s">
        <v>1696</v>
      </c>
      <c r="Z32" s="1262" t="str">
        <f t="shared" si="18"/>
        <v>建筑类型</v>
      </c>
      <c r="AA32" s="1262">
        <f t="shared" si="15"/>
        <v>1</v>
      </c>
      <c r="AB32" s="1262">
        <f t="shared" si="16"/>
        <v>1</v>
      </c>
      <c r="AC32" s="1262">
        <f t="shared" si="17"/>
        <v>1</v>
      </c>
    </row>
    <row r="33" spans="1:29" s="406" customFormat="1" ht="15">
      <c r="A33" s="404"/>
      <c r="B33" s="362" t="s">
        <v>1697</v>
      </c>
      <c r="C33" s="405">
        <f>'数据-汇总表'!F19</f>
        <v>143.31</v>
      </c>
      <c r="D33" s="118">
        <v>100</v>
      </c>
      <c r="E33" s="367">
        <f>案例!E2</f>
        <v>126.33</v>
      </c>
      <c r="F33" s="362">
        <f>LOOKUP(E33,103:103,104:104)-LOOKUP(C33,103:103,104:104)+100</f>
        <v>102</v>
      </c>
      <c r="G33" s="366">
        <f>案例!E3</f>
        <v>120.45</v>
      </c>
      <c r="H33" s="118">
        <f>LOOKUP(G33,103:103,104:104)-LOOKUP(C33,103:103,104:104)+100</f>
        <v>102</v>
      </c>
      <c r="I33" s="367">
        <f>案例!E4</f>
        <v>170.23</v>
      </c>
      <c r="J33" s="118">
        <f>LOOKUP(I33,103:103,104:104)-LOOKUP(C33,103:103,104:104)+100</f>
        <v>98</v>
      </c>
      <c r="K33" s="1746">
        <v>2</v>
      </c>
      <c r="L33" s="2488"/>
      <c r="M33" s="2490"/>
      <c r="N33" s="2490"/>
      <c r="O33" s="2490"/>
      <c r="P33" s="3400"/>
      <c r="Q33" s="529" t="str">
        <f t="shared" si="11"/>
        <v>项目建筑规模</v>
      </c>
      <c r="R33" s="667" t="s">
        <v>18</v>
      </c>
      <c r="S33" s="668">
        <f t="shared" si="12"/>
        <v>102</v>
      </c>
      <c r="T33" s="667" t="s">
        <v>18</v>
      </c>
      <c r="U33" s="668">
        <f t="shared" si="13"/>
        <v>102</v>
      </c>
      <c r="V33" s="667" t="s">
        <v>18</v>
      </c>
      <c r="W33" s="668">
        <f t="shared" si="14"/>
        <v>98</v>
      </c>
      <c r="X33" s="669"/>
      <c r="Y33" s="3402"/>
      <c r="Z33" s="670" t="str">
        <f t="shared" si="18"/>
        <v>项目建筑规模</v>
      </c>
      <c r="AA33" s="1262">
        <f t="shared" si="15"/>
        <v>0.98039215686274506</v>
      </c>
      <c r="AB33" s="1262">
        <f t="shared" si="16"/>
        <v>0.98039215686274506</v>
      </c>
      <c r="AC33" s="1262">
        <f t="shared" si="17"/>
        <v>1.0204081632653061</v>
      </c>
    </row>
    <row r="34" spans="1:29" ht="15">
      <c r="A34" s="407"/>
      <c r="B34" s="362" t="s">
        <v>1698</v>
      </c>
      <c r="C34" s="397" t="s">
        <v>3523</v>
      </c>
      <c r="D34" s="372">
        <v>100</v>
      </c>
      <c r="E34" s="397" t="s">
        <v>3523</v>
      </c>
      <c r="F34" s="398">
        <f>SUMIF(105:105,E34,106:106)-SUMIF(105:105,C34,106:106)+100</f>
        <v>100</v>
      </c>
      <c r="G34" s="397" t="s">
        <v>3523</v>
      </c>
      <c r="H34" s="372">
        <f>SUMIF(105:105,G34,106:106)-SUMIF(105:105,C34,106:106)+100</f>
        <v>100</v>
      </c>
      <c r="I34" s="397" t="s">
        <v>3523</v>
      </c>
      <c r="J34" s="372">
        <f>SUMIF(105:105,I34,106:106)-SUMIF(105:105,C34,106:106)+100</f>
        <v>100</v>
      </c>
      <c r="K34" s="363"/>
      <c r="L34" s="2489"/>
      <c r="M34" s="2484"/>
      <c r="N34" s="2484"/>
      <c r="O34" s="2484"/>
      <c r="P34" s="3400"/>
      <c r="Q34" s="1261" t="str">
        <f t="shared" si="11"/>
        <v>建筑结构</v>
      </c>
      <c r="R34" s="665" t="s">
        <v>18</v>
      </c>
      <c r="S34" s="666">
        <f t="shared" si="12"/>
        <v>100</v>
      </c>
      <c r="T34" s="665" t="s">
        <v>18</v>
      </c>
      <c r="U34" s="666">
        <f t="shared" si="13"/>
        <v>100</v>
      </c>
      <c r="V34" s="665" t="s">
        <v>18</v>
      </c>
      <c r="W34" s="666">
        <f t="shared" si="14"/>
        <v>100</v>
      </c>
      <c r="X34" s="1263"/>
      <c r="Y34" s="3402"/>
      <c r="Z34" s="1262" t="str">
        <f t="shared" si="18"/>
        <v>建筑结构</v>
      </c>
      <c r="AA34" s="1262">
        <f t="shared" si="15"/>
        <v>1</v>
      </c>
      <c r="AB34" s="1262">
        <f t="shared" si="16"/>
        <v>1</v>
      </c>
      <c r="AC34" s="1262">
        <f t="shared" si="17"/>
        <v>1</v>
      </c>
    </row>
    <row r="35" spans="1:29" ht="15">
      <c r="A35" s="407"/>
      <c r="B35" s="362" t="s">
        <v>1699</v>
      </c>
      <c r="C35" s="1758" t="s">
        <v>3480</v>
      </c>
      <c r="D35" s="372">
        <v>100</v>
      </c>
      <c r="E35" s="1758" t="s">
        <v>3480</v>
      </c>
      <c r="F35" s="398">
        <f>SUMIF(107:107,E35,108:108)-SUMIF(107:107,C35,108:108)+100</f>
        <v>100</v>
      </c>
      <c r="G35" s="1758" t="s">
        <v>3480</v>
      </c>
      <c r="H35" s="372">
        <f>SUMIF(107:107,G35,108:108)-SUMIF(107:107,C35,108:108)+100</f>
        <v>100</v>
      </c>
      <c r="I35" s="1758" t="s">
        <v>3480</v>
      </c>
      <c r="J35" s="372">
        <f>SUMIF(107:107,I35,108:108)-SUMIF(107:107,C35,108:108)+100</f>
        <v>100</v>
      </c>
      <c r="K35" s="363"/>
      <c r="L35" s="2489"/>
      <c r="M35" s="2484"/>
      <c r="N35" s="2484"/>
      <c r="O35" s="2484"/>
      <c r="P35" s="3400"/>
      <c r="Q35" s="1261" t="str">
        <f t="shared" si="11"/>
        <v>建筑品质</v>
      </c>
      <c r="R35" s="665" t="s">
        <v>18</v>
      </c>
      <c r="S35" s="666">
        <f t="shared" si="12"/>
        <v>100</v>
      </c>
      <c r="T35" s="665" t="s">
        <v>18</v>
      </c>
      <c r="U35" s="666">
        <f t="shared" si="13"/>
        <v>100</v>
      </c>
      <c r="V35" s="665" t="s">
        <v>18</v>
      </c>
      <c r="W35" s="666">
        <f t="shared" si="14"/>
        <v>100</v>
      </c>
      <c r="X35" s="1263"/>
      <c r="Y35" s="3402"/>
      <c r="Z35" s="1262" t="str">
        <f t="shared" si="18"/>
        <v>建筑品质</v>
      </c>
      <c r="AA35" s="1262">
        <f t="shared" si="15"/>
        <v>1</v>
      </c>
      <c r="AB35" s="1262">
        <f t="shared" si="16"/>
        <v>1</v>
      </c>
      <c r="AC35" s="1262">
        <f t="shared" si="17"/>
        <v>1</v>
      </c>
    </row>
    <row r="36" spans="1:29" ht="15">
      <c r="A36" s="407"/>
      <c r="B36" s="362" t="s">
        <v>1700</v>
      </c>
      <c r="C36" s="1758" t="s">
        <v>3524</v>
      </c>
      <c r="D36" s="372">
        <v>100</v>
      </c>
      <c r="E36" s="1758" t="s">
        <v>3524</v>
      </c>
      <c r="F36" s="398">
        <f>SUMIF(109:109,E36,110:110)-SUMIF(109:109,C36,110:110)+100</f>
        <v>100</v>
      </c>
      <c r="G36" s="1758" t="s">
        <v>3524</v>
      </c>
      <c r="H36" s="372">
        <f>SUMIF(109:109,G36,110:110)-SUMIF(109:109,C36,110:110)+100</f>
        <v>100</v>
      </c>
      <c r="I36" s="1758" t="s">
        <v>3524</v>
      </c>
      <c r="J36" s="372">
        <f>SUMIF(109:109,I36,110:110)-SUMIF(109:109,C36,110:110)+100</f>
        <v>100</v>
      </c>
      <c r="K36" s="363"/>
      <c r="L36" s="2489"/>
      <c r="M36" s="2484"/>
      <c r="N36" s="2484"/>
      <c r="O36" s="2484"/>
      <c r="P36" s="3400"/>
      <c r="Q36" s="1261" t="str">
        <f t="shared" si="11"/>
        <v>公共部分装修</v>
      </c>
      <c r="R36" s="665" t="s">
        <v>18</v>
      </c>
      <c r="S36" s="666">
        <f t="shared" si="12"/>
        <v>100</v>
      </c>
      <c r="T36" s="665" t="s">
        <v>18</v>
      </c>
      <c r="U36" s="666">
        <f t="shared" si="13"/>
        <v>100</v>
      </c>
      <c r="V36" s="665" t="s">
        <v>18</v>
      </c>
      <c r="W36" s="666">
        <f t="shared" si="14"/>
        <v>100</v>
      </c>
      <c r="X36" s="1263"/>
      <c r="Y36" s="3402"/>
      <c r="Z36" s="1262" t="str">
        <f t="shared" si="18"/>
        <v>公共部分装修</v>
      </c>
      <c r="AA36" s="1262">
        <f t="shared" si="15"/>
        <v>1</v>
      </c>
      <c r="AB36" s="1262">
        <f t="shared" si="16"/>
        <v>1</v>
      </c>
      <c r="AC36" s="1262">
        <f t="shared" si="17"/>
        <v>1</v>
      </c>
    </row>
    <row r="37" spans="1:29" s="101" customFormat="1" ht="15">
      <c r="A37" s="408"/>
      <c r="B37" s="362" t="s">
        <v>1701</v>
      </c>
      <c r="C37" s="409">
        <v>0.87</v>
      </c>
      <c r="D37" s="118">
        <v>100</v>
      </c>
      <c r="E37" s="409">
        <v>0.87</v>
      </c>
      <c r="F37" s="362">
        <f>LOOKUP(E37,112:112,113:113)-LOOKUP(C37,112:112,113:113)+100</f>
        <v>100</v>
      </c>
      <c r="G37" s="409">
        <v>0.87</v>
      </c>
      <c r="H37" s="118">
        <f>LOOKUP(G37,112:112,113:113)-LOOKUP(C37,112:112,113:113)+100</f>
        <v>100</v>
      </c>
      <c r="I37" s="409">
        <v>0.87</v>
      </c>
      <c r="J37" s="118">
        <f>LOOKUP(I37,112:112,113:113)-LOOKUP(C37,112:112,113:113)+100</f>
        <v>100</v>
      </c>
      <c r="K37" s="363"/>
      <c r="L37" s="2485"/>
      <c r="M37" s="2436"/>
      <c r="N37" s="2436"/>
      <c r="O37" s="2436"/>
      <c r="P37" s="3400"/>
      <c r="Q37" s="528" t="str">
        <f t="shared" si="11"/>
        <v>成新度</v>
      </c>
      <c r="R37" s="662" t="s">
        <v>18</v>
      </c>
      <c r="S37" s="663">
        <f t="shared" si="12"/>
        <v>100</v>
      </c>
      <c r="T37" s="662" t="s">
        <v>18</v>
      </c>
      <c r="U37" s="663">
        <f t="shared" si="13"/>
        <v>100</v>
      </c>
      <c r="V37" s="662" t="s">
        <v>18</v>
      </c>
      <c r="W37" s="663">
        <f t="shared" si="14"/>
        <v>100</v>
      </c>
      <c r="X37" s="664"/>
      <c r="Y37" s="3402"/>
      <c r="Z37" s="50" t="str">
        <f t="shared" si="18"/>
        <v>成新度</v>
      </c>
      <c r="AA37" s="50">
        <f t="shared" si="15"/>
        <v>1</v>
      </c>
      <c r="AB37" s="50">
        <f t="shared" si="16"/>
        <v>1</v>
      </c>
      <c r="AC37" s="50">
        <f t="shared" si="17"/>
        <v>1</v>
      </c>
    </row>
    <row r="38" spans="1:29" ht="15">
      <c r="A38" s="407"/>
      <c r="B38" s="362" t="s">
        <v>1702</v>
      </c>
      <c r="C38" s="1758" t="s">
        <v>3525</v>
      </c>
      <c r="D38" s="372">
        <v>100</v>
      </c>
      <c r="E38" s="1758" t="s">
        <v>3525</v>
      </c>
      <c r="F38" s="398">
        <f>SUMIF(114:114,E38,115:115)-SUMIF(114:114,C38,115:115)+100</f>
        <v>100</v>
      </c>
      <c r="G38" s="1758" t="s">
        <v>3525</v>
      </c>
      <c r="H38" s="372">
        <f>SUMIF(114:114,G38,115:115)-SUMIF(114:114,C38,115:115)+100</f>
        <v>100</v>
      </c>
      <c r="I38" s="1758" t="s">
        <v>3525</v>
      </c>
      <c r="J38" s="372">
        <f>SUMIF(114:114,I38,115:115)-SUMIF(114:114,C38,115:115)+100</f>
        <v>100</v>
      </c>
      <c r="K38" s="363"/>
      <c r="L38" s="2489"/>
      <c r="M38" s="2484"/>
      <c r="N38" s="2484"/>
      <c r="O38" s="2484"/>
      <c r="P38" s="3400" t="s">
        <v>1696</v>
      </c>
      <c r="Q38" s="1261" t="str">
        <f t="shared" si="11"/>
        <v>物业管理</v>
      </c>
      <c r="R38" s="665" t="s">
        <v>18</v>
      </c>
      <c r="S38" s="666">
        <f t="shared" si="12"/>
        <v>100</v>
      </c>
      <c r="T38" s="665" t="s">
        <v>18</v>
      </c>
      <c r="U38" s="666">
        <f t="shared" si="13"/>
        <v>100</v>
      </c>
      <c r="V38" s="665" t="s">
        <v>18</v>
      </c>
      <c r="W38" s="666">
        <f t="shared" si="14"/>
        <v>100</v>
      </c>
      <c r="X38" s="1263"/>
      <c r="Y38" s="3402" t="s">
        <v>1696</v>
      </c>
      <c r="Z38" s="1262" t="str">
        <f t="shared" si="18"/>
        <v>物业管理</v>
      </c>
      <c r="AA38" s="1262">
        <f t="shared" si="15"/>
        <v>1</v>
      </c>
      <c r="AB38" s="1262">
        <f t="shared" si="16"/>
        <v>1</v>
      </c>
      <c r="AC38" s="1262">
        <f t="shared" si="17"/>
        <v>1</v>
      </c>
    </row>
    <row r="39" spans="1:29" ht="15">
      <c r="A39" s="407"/>
      <c r="B39" s="362" t="s">
        <v>1703</v>
      </c>
      <c r="C39" s="1758" t="s">
        <v>3478</v>
      </c>
      <c r="D39" s="372">
        <v>100</v>
      </c>
      <c r="E39" s="1758" t="s">
        <v>3478</v>
      </c>
      <c r="F39" s="398">
        <f>SUMIF(116:116,E39,117:117)-SUMIF(116:116,C39,117:117)+100</f>
        <v>100</v>
      </c>
      <c r="G39" s="1758" t="s">
        <v>3478</v>
      </c>
      <c r="H39" s="372">
        <f>SUMIF(116:116,G39,117:117)-SUMIF(116:116,C39,117:117)+100</f>
        <v>100</v>
      </c>
      <c r="I39" s="1758" t="s">
        <v>3478</v>
      </c>
      <c r="J39" s="372">
        <f>SUMIF(116:116,I39,117:117)-SUMIF(116:116,C39,117:117)+100</f>
        <v>100</v>
      </c>
      <c r="K39" s="363"/>
      <c r="L39" s="2489"/>
      <c r="M39" s="2484"/>
      <c r="N39" s="2484"/>
      <c r="O39" s="2484"/>
      <c r="P39" s="3400"/>
      <c r="Q39" s="1261" t="str">
        <f t="shared" si="11"/>
        <v>市政基础设施</v>
      </c>
      <c r="R39" s="665" t="s">
        <v>18</v>
      </c>
      <c r="S39" s="666">
        <f t="shared" si="12"/>
        <v>100</v>
      </c>
      <c r="T39" s="665" t="s">
        <v>18</v>
      </c>
      <c r="U39" s="666">
        <f t="shared" si="13"/>
        <v>100</v>
      </c>
      <c r="V39" s="665" t="s">
        <v>18</v>
      </c>
      <c r="W39" s="666">
        <f t="shared" si="14"/>
        <v>100</v>
      </c>
      <c r="X39" s="1263"/>
      <c r="Y39" s="3402"/>
      <c r="Z39" s="1262" t="str">
        <f t="shared" si="18"/>
        <v>市政基础设施</v>
      </c>
      <c r="AA39" s="1262">
        <f t="shared" si="15"/>
        <v>1</v>
      </c>
      <c r="AB39" s="1262">
        <f t="shared" si="16"/>
        <v>1</v>
      </c>
      <c r="AC39" s="1262">
        <f t="shared" si="17"/>
        <v>1</v>
      </c>
    </row>
    <row r="40" spans="1:29" ht="15">
      <c r="A40" s="407"/>
      <c r="B40" s="362" t="s">
        <v>1704</v>
      </c>
      <c r="C40" s="1758" t="s">
        <v>3526</v>
      </c>
      <c r="D40" s="372">
        <v>100</v>
      </c>
      <c r="E40" s="1759" t="s">
        <v>3526</v>
      </c>
      <c r="F40" s="398">
        <f>SUMIF(118:118,E40,119:119)-SUMIF(118:118,C40,119:119)+100</f>
        <v>100</v>
      </c>
      <c r="G40" s="1758" t="s">
        <v>3527</v>
      </c>
      <c r="H40" s="372">
        <f>SUMIF(118:118,G40,119:119)-SUMIF(118:118,C40,119:119)+100</f>
        <v>101</v>
      </c>
      <c r="I40" s="1759" t="s">
        <v>3527</v>
      </c>
      <c r="J40" s="372">
        <f>SUMIF(118:118,I40,119:119)-SUMIF(118:118,C40,119:119)+100</f>
        <v>101</v>
      </c>
      <c r="K40" s="363">
        <v>1</v>
      </c>
      <c r="L40" s="2489"/>
      <c r="M40" s="2484"/>
      <c r="N40" s="2484"/>
      <c r="O40" s="2484"/>
      <c r="P40" s="3400"/>
      <c r="Q40" s="1261" t="str">
        <f t="shared" si="11"/>
        <v>房型</v>
      </c>
      <c r="R40" s="665" t="s">
        <v>18</v>
      </c>
      <c r="S40" s="666">
        <f t="shared" si="12"/>
        <v>100</v>
      </c>
      <c r="T40" s="665" t="s">
        <v>18</v>
      </c>
      <c r="U40" s="666">
        <f t="shared" si="13"/>
        <v>101</v>
      </c>
      <c r="V40" s="665" t="s">
        <v>18</v>
      </c>
      <c r="W40" s="666">
        <f t="shared" si="14"/>
        <v>101</v>
      </c>
      <c r="X40" s="1263"/>
      <c r="Y40" s="3402"/>
      <c r="Z40" s="1262" t="str">
        <f t="shared" si="18"/>
        <v>房型</v>
      </c>
      <c r="AA40" s="1262">
        <f t="shared" si="15"/>
        <v>1</v>
      </c>
      <c r="AB40" s="1262">
        <f t="shared" si="16"/>
        <v>0.99009900990099009</v>
      </c>
      <c r="AC40" s="1262">
        <f t="shared" si="17"/>
        <v>0.99009900990099009</v>
      </c>
    </row>
    <row r="41" spans="1:29" s="406" customFormat="1" ht="28.5" hidden="1">
      <c r="A41" s="404"/>
      <c r="B41" s="362" t="s">
        <v>1705</v>
      </c>
      <c r="C41" s="405"/>
      <c r="D41" s="118">
        <v>100</v>
      </c>
      <c r="E41" s="367"/>
      <c r="F41" s="362">
        <f>SUMIF(120:120,E41,121:121)-SUMIF(120:120,C41,121:121)+100</f>
        <v>100</v>
      </c>
      <c r="G41" s="366"/>
      <c r="H41" s="118">
        <f>SUMIF(120:120,G41,121:121)-SUMIF(120:120,C41,121:121)+100</f>
        <v>100</v>
      </c>
      <c r="I41" s="412"/>
      <c r="J41" s="372">
        <f>SUMIF(120:120,I41,121:121)-SUMIF(120:120,C41,121:121)+100</f>
        <v>100</v>
      </c>
      <c r="K41" s="1746"/>
      <c r="L41" s="2488"/>
      <c r="M41" s="2490"/>
      <c r="N41" s="2490"/>
      <c r="O41" s="2490"/>
      <c r="P41" s="3400"/>
      <c r="Q41" s="529" t="str">
        <f t="shared" si="11"/>
        <v>单套/主力户型建筑面积</v>
      </c>
      <c r="R41" s="667" t="s">
        <v>18</v>
      </c>
      <c r="S41" s="668">
        <f t="shared" si="12"/>
        <v>100</v>
      </c>
      <c r="T41" s="667" t="s">
        <v>18</v>
      </c>
      <c r="U41" s="668">
        <f t="shared" si="13"/>
        <v>100</v>
      </c>
      <c r="V41" s="667" t="s">
        <v>18</v>
      </c>
      <c r="W41" s="668">
        <f t="shared" si="14"/>
        <v>100</v>
      </c>
      <c r="X41" s="669"/>
      <c r="Y41" s="3402"/>
      <c r="Z41" s="670" t="str">
        <f t="shared" si="18"/>
        <v>单套/主力户型建筑面积</v>
      </c>
      <c r="AA41" s="1262">
        <f t="shared" si="15"/>
        <v>1</v>
      </c>
      <c r="AB41" s="1262">
        <f t="shared" si="16"/>
        <v>1</v>
      </c>
      <c r="AC41" s="1262">
        <f t="shared" si="17"/>
        <v>1</v>
      </c>
    </row>
    <row r="42" spans="1:29" ht="15">
      <c r="A42" s="407"/>
      <c r="B42" s="362" t="s">
        <v>1706</v>
      </c>
      <c r="C42" s="1758" t="s">
        <v>3518</v>
      </c>
      <c r="D42" s="372">
        <v>100</v>
      </c>
      <c r="E42" s="1759" t="s">
        <v>3435</v>
      </c>
      <c r="F42" s="398">
        <f>SUMIF(122:122,E42,123:123)-SUMIF(122:122,C42,123:123)+100</f>
        <v>102</v>
      </c>
      <c r="G42" s="1758" t="s">
        <v>3435</v>
      </c>
      <c r="H42" s="372">
        <f>SUMIF(122:122,G42,123:123)-SUMIF(122:122,C42,123:123)+100</f>
        <v>102</v>
      </c>
      <c r="I42" s="1759" t="s">
        <v>3435</v>
      </c>
      <c r="J42" s="372">
        <f>SUMIF(122:122,I42,123:123)-SUMIF(122:122,C42,123:123)+100</f>
        <v>102</v>
      </c>
      <c r="K42" s="363">
        <v>1</v>
      </c>
      <c r="L42" s="2489"/>
      <c r="M42" s="2484"/>
      <c r="N42" s="2484"/>
      <c r="O42" s="2484"/>
      <c r="P42" s="3400"/>
      <c r="Q42" s="1261" t="str">
        <f t="shared" si="11"/>
        <v>内部装修</v>
      </c>
      <c r="R42" s="665" t="s">
        <v>18</v>
      </c>
      <c r="S42" s="666">
        <f t="shared" si="12"/>
        <v>102</v>
      </c>
      <c r="T42" s="665" t="s">
        <v>18</v>
      </c>
      <c r="U42" s="666">
        <f t="shared" si="13"/>
        <v>102</v>
      </c>
      <c r="V42" s="665" t="s">
        <v>18</v>
      </c>
      <c r="W42" s="666">
        <f t="shared" si="14"/>
        <v>102</v>
      </c>
      <c r="X42" s="1263"/>
      <c r="Y42" s="3402"/>
      <c r="Z42" s="1262" t="str">
        <f t="shared" si="18"/>
        <v>内部装修</v>
      </c>
      <c r="AA42" s="1262">
        <f t="shared" si="15"/>
        <v>0.98039215686274506</v>
      </c>
      <c r="AB42" s="1262">
        <f t="shared" si="16"/>
        <v>0.98039215686274506</v>
      </c>
      <c r="AC42" s="1262">
        <f t="shared" si="17"/>
        <v>0.98039215686274506</v>
      </c>
    </row>
    <row r="43" spans="1:29" ht="15">
      <c r="A43" s="407"/>
      <c r="B43" s="362" t="s">
        <v>1707</v>
      </c>
      <c r="C43" s="1758" t="s">
        <v>3479</v>
      </c>
      <c r="D43" s="372">
        <v>100</v>
      </c>
      <c r="E43" s="1759" t="s">
        <v>3480</v>
      </c>
      <c r="F43" s="398">
        <f>SUMIF(124:124,E43,125:125)-SUMIF(124:124,C43,125:125)+100</f>
        <v>99.5</v>
      </c>
      <c r="G43" s="1759" t="s">
        <v>3480</v>
      </c>
      <c r="H43" s="372">
        <f>SUMIF(124:124,G43,125:125)-SUMIF(124:124,C43,125:125)+100</f>
        <v>99.5</v>
      </c>
      <c r="I43" s="1759" t="s">
        <v>3480</v>
      </c>
      <c r="J43" s="372">
        <f>SUMIF(124:124,I43,125:125)-SUMIF(124:124,C43,125:125)+100</f>
        <v>99.5</v>
      </c>
      <c r="K43" s="363">
        <v>0.5</v>
      </c>
      <c r="L43" s="2489"/>
      <c r="M43" s="2484"/>
      <c r="N43" s="2484"/>
      <c r="O43" s="2484"/>
      <c r="P43" s="3400"/>
      <c r="Q43" s="1261" t="str">
        <f t="shared" si="11"/>
        <v>内部装修维护情况</v>
      </c>
      <c r="R43" s="665" t="s">
        <v>18</v>
      </c>
      <c r="S43" s="666">
        <f t="shared" si="12"/>
        <v>99.5</v>
      </c>
      <c r="T43" s="665" t="s">
        <v>18</v>
      </c>
      <c r="U43" s="666">
        <f t="shared" si="13"/>
        <v>99.5</v>
      </c>
      <c r="V43" s="665" t="s">
        <v>18</v>
      </c>
      <c r="W43" s="666">
        <f t="shared" si="14"/>
        <v>99.5</v>
      </c>
      <c r="X43" s="1263"/>
      <c r="Y43" s="3402"/>
      <c r="Z43" s="1262" t="str">
        <f t="shared" si="18"/>
        <v>内部装修维护情况</v>
      </c>
      <c r="AA43" s="1262">
        <f t="shared" si="15"/>
        <v>1.0050251256281406</v>
      </c>
      <c r="AB43" s="1262">
        <f t="shared" si="16"/>
        <v>1.0050251256281406</v>
      </c>
      <c r="AC43" s="1262">
        <f t="shared" si="17"/>
        <v>1.0050251256281406</v>
      </c>
    </row>
    <row r="44" spans="1:29" s="101" customFormat="1" ht="15">
      <c r="A44" s="408"/>
      <c r="B44" s="3522" t="s">
        <v>3496</v>
      </c>
      <c r="C44" s="3526" t="s">
        <v>3520</v>
      </c>
      <c r="D44" s="118">
        <v>100</v>
      </c>
      <c r="E44" s="3526" t="s">
        <v>3521</v>
      </c>
      <c r="F44" s="362">
        <f>SUMIF(126:126,E44,127:127)-SUMIF(126:126,C44,127:127)+100</f>
        <v>92</v>
      </c>
      <c r="G44" s="3526" t="s">
        <v>3521</v>
      </c>
      <c r="H44" s="118">
        <f>SUMIF(126:126,G44,127:127)-SUMIF(126:126,C44,127:127)+100</f>
        <v>92</v>
      </c>
      <c r="I44" s="3526" t="s">
        <v>3521</v>
      </c>
      <c r="J44" s="118">
        <f>SUMIF(126:126,I44,127:127)-SUMIF(126:126,C44,127:127)+100</f>
        <v>92</v>
      </c>
      <c r="K44" s="1746">
        <v>8</v>
      </c>
      <c r="L44" s="2485"/>
      <c r="M44" s="2436"/>
      <c r="N44" s="2436"/>
      <c r="O44" s="2436"/>
      <c r="P44" s="3400"/>
      <c r="Q44" s="528" t="str">
        <f t="shared" si="11"/>
        <v>赠送面积</v>
      </c>
      <c r="R44" s="662" t="s">
        <v>18</v>
      </c>
      <c r="S44" s="663">
        <f t="shared" si="12"/>
        <v>92</v>
      </c>
      <c r="T44" s="662" t="s">
        <v>18</v>
      </c>
      <c r="U44" s="663">
        <f t="shared" si="13"/>
        <v>92</v>
      </c>
      <c r="V44" s="662" t="s">
        <v>18</v>
      </c>
      <c r="W44" s="663">
        <f t="shared" si="14"/>
        <v>92</v>
      </c>
      <c r="X44" s="664"/>
      <c r="Y44" s="3402"/>
      <c r="Z44" s="50" t="str">
        <f t="shared" si="18"/>
        <v>赠送面积</v>
      </c>
      <c r="AA44" s="50">
        <f t="shared" si="15"/>
        <v>1.0869565217391304</v>
      </c>
      <c r="AB44" s="50">
        <f t="shared" si="16"/>
        <v>1.0869565217391304</v>
      </c>
      <c r="AC44" s="50">
        <f t="shared" si="17"/>
        <v>1.0869565217391304</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9"/>
      <c r="M45" s="2484"/>
      <c r="N45" s="2484"/>
      <c r="O45" s="2484"/>
      <c r="P45" s="3400"/>
      <c r="Q45" s="1261">
        <f t="shared" si="11"/>
        <v>111</v>
      </c>
      <c r="R45" s="665" t="s">
        <v>18</v>
      </c>
      <c r="S45" s="666">
        <f t="shared" si="12"/>
        <v>100</v>
      </c>
      <c r="T45" s="665" t="s">
        <v>18</v>
      </c>
      <c r="U45" s="666">
        <f t="shared" si="13"/>
        <v>100</v>
      </c>
      <c r="V45" s="665" t="s">
        <v>18</v>
      </c>
      <c r="W45" s="666">
        <f t="shared" si="14"/>
        <v>100</v>
      </c>
      <c r="X45" s="1263"/>
      <c r="Y45" s="3402"/>
      <c r="Z45" s="1262">
        <f t="shared" si="18"/>
        <v>111</v>
      </c>
      <c r="AA45" s="1262">
        <f t="shared" si="15"/>
        <v>1</v>
      </c>
      <c r="AB45" s="1262">
        <f t="shared" si="16"/>
        <v>1</v>
      </c>
      <c r="AC45" s="1262">
        <f t="shared" si="17"/>
        <v>1</v>
      </c>
    </row>
    <row r="46" spans="1:29" ht="15.75"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9"/>
      <c r="M46" s="2484"/>
      <c r="N46" s="2484"/>
      <c r="O46" s="2484"/>
      <c r="P46" s="3401"/>
      <c r="Q46" s="1261">
        <f t="shared" si="11"/>
        <v>111</v>
      </c>
      <c r="R46" s="665" t="s">
        <v>17</v>
      </c>
      <c r="S46" s="666">
        <f t="shared" si="12"/>
        <v>100</v>
      </c>
      <c r="T46" s="665" t="s">
        <v>17</v>
      </c>
      <c r="U46" s="666">
        <f t="shared" si="13"/>
        <v>100</v>
      </c>
      <c r="V46" s="665" t="s">
        <v>17</v>
      </c>
      <c r="W46" s="666">
        <f t="shared" si="14"/>
        <v>100</v>
      </c>
      <c r="X46" s="1263"/>
      <c r="Y46" s="3403"/>
      <c r="Z46" s="1262">
        <f t="shared" si="18"/>
        <v>111</v>
      </c>
      <c r="AA46" s="1262">
        <f t="shared" si="15"/>
        <v>1</v>
      </c>
      <c r="AB46" s="1262">
        <f t="shared" si="16"/>
        <v>1</v>
      </c>
      <c r="AC46" s="1262">
        <f t="shared" si="17"/>
        <v>1</v>
      </c>
    </row>
    <row r="47" spans="1:29" ht="15">
      <c r="A47" s="414" t="s">
        <v>1708</v>
      </c>
      <c r="B47" s="415"/>
      <c r="C47" s="1079" t="s">
        <v>16</v>
      </c>
      <c r="D47" s="416"/>
      <c r="E47" s="417">
        <f>案例!K2</f>
        <v>82799</v>
      </c>
      <c r="F47" s="418"/>
      <c r="G47" s="419">
        <f>案例!K3</f>
        <v>88418</v>
      </c>
      <c r="H47" s="420"/>
      <c r="I47" s="417">
        <f>案例!K4</f>
        <v>88116</v>
      </c>
      <c r="J47" s="420"/>
      <c r="K47" s="1764"/>
      <c r="L47" s="2491"/>
      <c r="M47" s="2484"/>
      <c r="N47" s="2484"/>
      <c r="O47" s="2484"/>
      <c r="P47" s="3396" t="str">
        <f>A47</f>
        <v>成交单价（元/平方米）</v>
      </c>
      <c r="Q47" s="3396"/>
      <c r="R47" s="3391">
        <f>E47</f>
        <v>82799</v>
      </c>
      <c r="S47" s="3391"/>
      <c r="T47" s="3391">
        <f>G47</f>
        <v>88418</v>
      </c>
      <c r="U47" s="3391"/>
      <c r="V47" s="3391">
        <f>I47</f>
        <v>88116</v>
      </c>
      <c r="W47" s="3391"/>
      <c r="X47" s="383"/>
      <c r="Y47" s="671"/>
      <c r="Z47" s="383"/>
      <c r="AA47" s="383"/>
      <c r="AB47" s="383"/>
      <c r="AC47" s="383"/>
    </row>
    <row r="48" spans="1:29" ht="15.75" thickBot="1">
      <c r="A48" s="421" t="s">
        <v>1709</v>
      </c>
      <c r="B48" s="422"/>
      <c r="C48" s="1080">
        <f>R49</f>
        <v>88683</v>
      </c>
      <c r="D48" s="2138" t="s">
        <v>2138</v>
      </c>
      <c r="E48" s="1081">
        <f>R48</f>
        <v>86024</v>
      </c>
      <c r="F48" s="2139"/>
      <c r="G48" s="1080">
        <f>T48</f>
        <v>90160</v>
      </c>
      <c r="H48" s="2139"/>
      <c r="I48" s="1081">
        <f>V48</f>
        <v>89864</v>
      </c>
      <c r="J48" s="2139"/>
      <c r="K48" s="2140">
        <f>F48+H48+J48</f>
        <v>0</v>
      </c>
      <c r="L48" s="2491"/>
      <c r="M48" s="2484"/>
      <c r="N48" s="2484"/>
      <c r="O48" s="2484"/>
      <c r="P48" s="3396" t="str">
        <f>A48</f>
        <v>比较价值（元/平方米）</v>
      </c>
      <c r="Q48" s="3396"/>
      <c r="R48" s="3391">
        <f>IF(F1="售价",ROUND(PRODUCT(R47,AA7:AA46),0),ROUND(PRODUCT(R47,AA7:AA46),1))</f>
        <v>86024</v>
      </c>
      <c r="S48" s="3391"/>
      <c r="T48" s="3391">
        <f>IF(F1="售价",ROUND(PRODUCT(T47,AB7:AB46),0),ROUND(PRODUCT(T47,AB7:AB46),1))</f>
        <v>90160</v>
      </c>
      <c r="U48" s="3391"/>
      <c r="V48" s="3391">
        <f>IF(F1="售价",ROUND(PRODUCT(V47,AC7:AC46),0),ROUND(PRODUCT(V47,AC7:AC46),1))</f>
        <v>89864</v>
      </c>
      <c r="W48" s="3391"/>
      <c r="X48" s="383"/>
      <c r="Y48" s="383"/>
      <c r="Z48" s="383"/>
      <c r="AA48" s="383"/>
      <c r="AB48" s="383"/>
      <c r="AC48" s="383"/>
    </row>
    <row r="49" spans="1:29" ht="15.75" thickBot="1">
      <c r="A49" s="425" t="s">
        <v>1710</v>
      </c>
      <c r="B49" s="426"/>
      <c r="C49" s="1082">
        <f>R49</f>
        <v>88683</v>
      </c>
      <c r="D49" s="349"/>
      <c r="E49" s="349"/>
      <c r="F49" s="349"/>
      <c r="G49" s="349"/>
      <c r="H49" s="349"/>
      <c r="I49" s="349"/>
      <c r="J49" s="349"/>
      <c r="K49" s="1765"/>
      <c r="L49" s="2491"/>
      <c r="M49" s="2484"/>
      <c r="N49" s="2484"/>
      <c r="O49" s="2484"/>
      <c r="P49" s="3393" t="str">
        <f>A49</f>
        <v>估价对象XX用房的比较价值（楼面单价，元/平方米）</v>
      </c>
      <c r="Q49" s="3394"/>
      <c r="R49" s="3395">
        <f>IF(F1="售价",ROUND(IF(D48="简单平均",AVERAGE(R48:V48),R48*F48+T48*H48+V48*J48),0),ROUND(IF(D48="简单平均",AVERAGE(R48:V48),R48*F48+T48*H48+V48*J48),1))</f>
        <v>88683</v>
      </c>
      <c r="S49" s="3395"/>
      <c r="T49" s="3395"/>
      <c r="U49" s="3395"/>
      <c r="V49" s="3395"/>
      <c r="W49" s="3395"/>
      <c r="X49" s="383"/>
      <c r="Y49" s="383"/>
      <c r="Z49" s="383"/>
      <c r="AA49" s="383"/>
      <c r="AB49" s="383"/>
      <c r="AC49" s="383"/>
    </row>
    <row r="50" spans="1:29">
      <c r="A50" s="2484"/>
      <c r="B50" s="2484"/>
      <c r="C50" s="2484"/>
      <c r="D50" s="2484"/>
      <c r="E50" s="2484">
        <f>ROUND((1-(2025-2005)/60)*0.3+0.95*0.7,2)</f>
        <v>0.87</v>
      </c>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f>IF(E47&lt;E48,E48/E47-1,E47/E48-1)</f>
        <v>3.894974576987642E-2</v>
      </c>
      <c r="F52" s="433" t="str">
        <f>IF(OR(E52&gt;=0.3,E52&lt;=-0.3),"超过30%","")</f>
        <v/>
      </c>
      <c r="G52" s="432">
        <f>IF(G47&lt;G48,G48/G47-1,G47/G48-1)</f>
        <v>1.9701870659820431E-2</v>
      </c>
      <c r="H52" s="433" t="str">
        <f>IF(OR(G52&gt;=0.3,G52&lt;=-0.3),"超过30%","")</f>
        <v/>
      </c>
      <c r="I52" s="432">
        <f>IF(I47&lt;I48,I48/I47-1,I47/I48-1)</f>
        <v>1.9837486949021654E-2</v>
      </c>
      <c r="J52" s="433" t="str">
        <f>IF(OR(I52&gt;=0.3,I52&lt;=-0.3),"超过30%","")</f>
        <v/>
      </c>
      <c r="K52" s="2496"/>
      <c r="L52" s="2492"/>
      <c r="M52" s="2484"/>
      <c r="N52" s="2484"/>
      <c r="O52" s="2484"/>
    </row>
    <row r="53" spans="1:29" ht="13.5" customHeight="1">
      <c r="A53" s="2484"/>
      <c r="B53" s="2484"/>
      <c r="C53" s="430" t="s">
        <v>1712</v>
      </c>
      <c r="D53" s="434"/>
      <c r="E53" s="432">
        <f>IF(E48&lt;G48,G48/E48-1,E48/G48-1)</f>
        <v>4.807960569143499E-2</v>
      </c>
      <c r="F53" s="433" t="str">
        <f>IF(OR(E53&gt;=0.2,E53&lt;=-0.2),"超过20%","")</f>
        <v/>
      </c>
      <c r="G53" s="432">
        <f>IF(G48&lt;I48,I48/G48-1,G48/I48-1)</f>
        <v>3.293866286833369E-3</v>
      </c>
      <c r="H53" s="433" t="str">
        <f>IF(OR(G53&gt;=0.2,G53&lt;=-0.2),"超过20%","")</f>
        <v/>
      </c>
      <c r="I53" s="432">
        <f>IF(I48&lt;E48,E48/I48-1,I48/E48-1)</f>
        <v>4.463870547754123E-2</v>
      </c>
      <c r="J53" s="433" t="str">
        <f>IF(OR(I53&gt;=0.2,I53&lt;=-0.2),"超过20%","")</f>
        <v/>
      </c>
      <c r="K53" s="2496"/>
      <c r="L53" s="2492"/>
      <c r="M53" s="2484"/>
      <c r="N53" s="2484"/>
      <c r="O53" s="2484"/>
    </row>
    <row r="54" spans="1:29" s="435" customFormat="1" ht="13.5" customHeight="1">
      <c r="A54" s="2494"/>
      <c r="B54" s="2494"/>
      <c r="C54" s="430" t="s">
        <v>1713</v>
      </c>
      <c r="D54" s="434"/>
      <c r="E54" s="432">
        <f>IF(E47&lt;G47,G47/E47-1,E47/G47-1)</f>
        <v>6.7863138443700954E-2</v>
      </c>
      <c r="F54" s="433" t="str">
        <f>IF(OR(E54&gt;=0.3,E54&lt;=-0.3),"超过30%","")</f>
        <v/>
      </c>
      <c r="G54" s="432">
        <f>IF(G47&lt;I47,I47/G47-1,G47/I47-1)</f>
        <v>3.4273003767759658E-3</v>
      </c>
      <c r="H54" s="433" t="str">
        <f>IF(OR(G54&gt;=0.3,G54&lt;=-0.3),"超过30%","")</f>
        <v/>
      </c>
      <c r="I54" s="432">
        <f>IF(I47&lt;E47,E47/I47-1,I47/E47-1)</f>
        <v>6.4215751397963761E-2</v>
      </c>
      <c r="J54" s="433" t="str">
        <f>IF(OR(I54&gt;=0.3,I54&lt;=-0.3),"超过30%","")</f>
        <v/>
      </c>
      <c r="K54" s="2499"/>
      <c r="L54" s="2493"/>
      <c r="M54" s="2494"/>
      <c r="N54" s="2494"/>
      <c r="O54" s="2494"/>
      <c r="P54" s="1767"/>
    </row>
    <row r="55" spans="1:29" s="435" customFormat="1">
      <c r="A55" s="2494"/>
      <c r="B55" s="2497"/>
      <c r="C55" s="2498"/>
      <c r="D55" s="2494"/>
      <c r="E55" s="2494"/>
      <c r="F55" s="2494"/>
      <c r="G55" s="2494"/>
      <c r="H55" s="2494"/>
      <c r="I55" s="2494"/>
      <c r="J55" s="2494"/>
      <c r="K55" s="2499"/>
      <c r="L55" s="2493"/>
      <c r="M55" s="2494"/>
      <c r="N55" s="2494"/>
      <c r="O55" s="2494"/>
      <c r="P55" s="1767"/>
    </row>
    <row r="56" spans="1:29">
      <c r="A56" s="2484"/>
      <c r="B56" s="2497"/>
      <c r="C56" s="2498"/>
      <c r="D56" s="2484"/>
      <c r="E56" s="2484"/>
      <c r="F56" s="2484"/>
      <c r="G56" s="2484"/>
      <c r="H56" s="2484"/>
      <c r="I56" s="2484"/>
      <c r="J56" s="2484"/>
      <c r="K56" s="2496"/>
      <c r="L56" s="2492"/>
      <c r="M56" s="2484"/>
      <c r="N56" s="2484"/>
      <c r="O56" s="2484"/>
    </row>
    <row r="57" spans="1:29" ht="21.75" thickBot="1">
      <c r="A57" s="656" t="s">
        <v>1714</v>
      </c>
      <c r="B57" s="383"/>
      <c r="C57" s="657"/>
      <c r="D57" s="657"/>
      <c r="E57" s="657"/>
      <c r="F57" s="658"/>
      <c r="G57" s="658"/>
      <c r="H57" s="657"/>
      <c r="I57" s="657"/>
      <c r="J57" s="657"/>
      <c r="K57" s="885"/>
      <c r="L57" s="886"/>
      <c r="M57" s="884"/>
      <c r="N57" s="884"/>
      <c r="O57" s="884"/>
      <c r="P57" s="1768"/>
      <c r="Q57" s="437"/>
    </row>
    <row r="58" spans="1:29" s="440" customFormat="1" ht="15">
      <c r="A58" s="438" t="s">
        <v>1715</v>
      </c>
      <c r="B58" s="439"/>
      <c r="C58" s="1103" t="str">
        <f>YEAR(C7)&amp;"-"&amp;MONTH(C7)</f>
        <v>2025-4</v>
      </c>
      <c r="D58" s="1102">
        <f>EDATE(C58,-1)</f>
        <v>45717</v>
      </c>
      <c r="E58" s="1102">
        <f>EDATE(D58,-1)</f>
        <v>45689</v>
      </c>
      <c r="F58" s="1102">
        <f t="shared" ref="F58:O58" si="19">EDATE(E58,-1)</f>
        <v>45658</v>
      </c>
      <c r="G58" s="1102">
        <f t="shared" si="19"/>
        <v>45627</v>
      </c>
      <c r="H58" s="1102">
        <f t="shared" si="19"/>
        <v>45597</v>
      </c>
      <c r="I58" s="1102">
        <f t="shared" si="19"/>
        <v>45566</v>
      </c>
      <c r="J58" s="1102">
        <f t="shared" si="19"/>
        <v>45536</v>
      </c>
      <c r="K58" s="1102">
        <f t="shared" si="19"/>
        <v>45505</v>
      </c>
      <c r="L58" s="1102">
        <f t="shared" si="19"/>
        <v>45474</v>
      </c>
      <c r="M58" s="1102">
        <f t="shared" si="19"/>
        <v>45444</v>
      </c>
      <c r="N58" s="1102">
        <f t="shared" si="19"/>
        <v>45413</v>
      </c>
      <c r="O58" s="1102">
        <f t="shared" si="19"/>
        <v>45383</v>
      </c>
      <c r="P58" s="1098"/>
    </row>
    <row r="59" spans="1:29" s="101" customFormat="1" ht="15">
      <c r="A59" s="441"/>
      <c r="B59" s="1769"/>
      <c r="C59" s="1100">
        <v>100</v>
      </c>
      <c r="D59" s="443">
        <f>C59+$C$60</f>
        <v>100.1</v>
      </c>
      <c r="E59" s="444">
        <f>D59</f>
        <v>100.1</v>
      </c>
      <c r="F59" s="444">
        <f>D59</f>
        <v>100.1</v>
      </c>
      <c r="G59" s="443">
        <f>F59+$C$60</f>
        <v>100.19999999999999</v>
      </c>
      <c r="H59" s="444">
        <f>G59</f>
        <v>100.19999999999999</v>
      </c>
      <c r="I59" s="444">
        <f>G59</f>
        <v>100.19999999999999</v>
      </c>
      <c r="J59" s="443">
        <f>I59+$C$60</f>
        <v>100.29999999999998</v>
      </c>
      <c r="K59" s="444">
        <f>J59</f>
        <v>100.29999999999998</v>
      </c>
      <c r="L59" s="444">
        <f>J59</f>
        <v>100.29999999999998</v>
      </c>
      <c r="M59" s="445"/>
      <c r="N59" s="444"/>
      <c r="O59" s="445"/>
      <c r="P59" s="1770"/>
    </row>
    <row r="60" spans="1:29" s="101" customFormat="1" ht="15.75" thickBot="1">
      <c r="A60" s="447" t="s">
        <v>1716</v>
      </c>
      <c r="B60" s="448"/>
      <c r="C60" s="449">
        <v>0.1</v>
      </c>
      <c r="D60" s="450"/>
      <c r="E60" s="450"/>
      <c r="F60" s="450"/>
      <c r="G60" s="450"/>
      <c r="H60" s="450"/>
      <c r="I60" s="450"/>
      <c r="J60" s="450"/>
      <c r="K60" s="450"/>
      <c r="L60" s="450"/>
      <c r="M60" s="451"/>
      <c r="N60" s="450"/>
      <c r="O60" s="451"/>
      <c r="P60" s="1770"/>
      <c r="Q60" s="437"/>
    </row>
    <row r="61" spans="1:29" s="101" customFormat="1" ht="15">
      <c r="A61" s="453" t="s">
        <v>1717</v>
      </c>
      <c r="B61" s="442"/>
      <c r="C61" s="454" t="s">
        <v>1718</v>
      </c>
      <c r="D61" s="31"/>
      <c r="E61" s="31"/>
      <c r="F61" s="31"/>
      <c r="G61" s="31"/>
      <c r="H61" s="31"/>
      <c r="I61" s="31"/>
      <c r="J61" s="31"/>
      <c r="K61" s="31"/>
      <c r="L61" s="455"/>
      <c r="M61" s="456"/>
      <c r="N61" s="876"/>
      <c r="O61" s="876"/>
      <c r="P61" s="1771"/>
      <c r="Q61" s="437"/>
    </row>
    <row r="62" spans="1:29" s="101"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1719</v>
      </c>
      <c r="B63" s="458" t="s">
        <v>1685</v>
      </c>
      <c r="C63" s="459" t="str">
        <f>C9</f>
        <v>住宅</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1688</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v>0</v>
      </c>
      <c r="D68" s="478">
        <v>1</v>
      </c>
      <c r="E68" s="478">
        <v>2</v>
      </c>
      <c r="F68" s="478">
        <v>3</v>
      </c>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1" customFormat="1" ht="15.75" thickTop="1">
      <c r="A86" s="368"/>
      <c r="B86" s="467" t="s">
        <v>1734</v>
      </c>
      <c r="C86" s="3520" t="s">
        <v>3489</v>
      </c>
      <c r="D86" s="3520" t="s">
        <v>3490</v>
      </c>
      <c r="E86" s="3520" t="s">
        <v>3491</v>
      </c>
      <c r="F86" s="3520" t="s">
        <v>3492</v>
      </c>
      <c r="G86" s="3521" t="s">
        <v>3493</v>
      </c>
      <c r="H86" s="483"/>
      <c r="I86" s="483"/>
      <c r="J86" s="483"/>
      <c r="K86" s="483"/>
      <c r="L86" s="508"/>
      <c r="M86" s="509"/>
      <c r="N86" s="876"/>
      <c r="O86" s="876"/>
      <c r="P86" s="1772"/>
      <c r="Q86" s="437"/>
    </row>
    <row r="87" spans="1:17" s="101" customFormat="1" ht="15.75" thickBot="1">
      <c r="A87" s="368"/>
      <c r="B87" s="472"/>
      <c r="C87" s="510">
        <v>100</v>
      </c>
      <c r="D87" s="473">
        <f>C87-$K$25</f>
        <v>97.5</v>
      </c>
      <c r="E87" s="473">
        <f t="shared" ref="E87:J87" si="23">D87-$K$25</f>
        <v>95</v>
      </c>
      <c r="F87" s="473">
        <f t="shared" si="23"/>
        <v>92.5</v>
      </c>
      <c r="G87" s="473">
        <f t="shared" si="23"/>
        <v>90</v>
      </c>
      <c r="H87" s="473">
        <f>G87-$K$25</f>
        <v>87.5</v>
      </c>
      <c r="I87" s="473">
        <f t="shared" si="23"/>
        <v>85</v>
      </c>
      <c r="J87" s="473">
        <f t="shared" si="23"/>
        <v>82.5</v>
      </c>
      <c r="K87" s="473" t="e">
        <f t="shared" ref="K87:M87" si="24">$C$87-($C$86-K86)*$K$25</f>
        <v>#VALUE!</v>
      </c>
      <c r="L87" s="473" t="e">
        <f t="shared" si="24"/>
        <v>#VALUE!</v>
      </c>
      <c r="M87" s="473" t="e">
        <f t="shared" si="24"/>
        <v>#VALUE!</v>
      </c>
      <c r="N87" s="878"/>
      <c r="O87" s="878"/>
      <c r="P87" s="1772"/>
      <c r="Q87" s="437"/>
    </row>
    <row r="88" spans="1:17" s="101" customFormat="1" ht="15.75" thickTop="1">
      <c r="A88" s="368"/>
      <c r="B88" s="467" t="s">
        <v>1735</v>
      </c>
      <c r="C88" s="3517" t="s">
        <v>3481</v>
      </c>
      <c r="D88" s="3518" t="s">
        <v>3457</v>
      </c>
      <c r="E88" s="3518" t="s">
        <v>3460</v>
      </c>
      <c r="F88" s="3518" t="s">
        <v>3482</v>
      </c>
      <c r="G88" s="3518" t="s">
        <v>3483</v>
      </c>
      <c r="H88" s="3518" t="s">
        <v>3484</v>
      </c>
      <c r="I88" s="3519" t="s">
        <v>3485</v>
      </c>
      <c r="J88" s="3519" t="s">
        <v>3486</v>
      </c>
      <c r="K88" s="3518" t="s">
        <v>3487</v>
      </c>
      <c r="L88" s="3518" t="s">
        <v>3488</v>
      </c>
      <c r="M88" s="3518"/>
      <c r="N88" s="876"/>
      <c r="O88" s="876"/>
      <c r="P88" s="1772"/>
      <c r="Q88" s="437"/>
    </row>
    <row r="89" spans="1:17" s="101" customFormat="1" ht="15.75" thickBot="1">
      <c r="A89" s="368"/>
      <c r="B89" s="472"/>
      <c r="C89" s="510">
        <v>100</v>
      </c>
      <c r="D89" s="473">
        <f t="shared" ref="D89:M89" si="25">C89-$K26</f>
        <v>98.5</v>
      </c>
      <c r="E89" s="473">
        <f t="shared" si="25"/>
        <v>97</v>
      </c>
      <c r="F89" s="473">
        <f t="shared" si="25"/>
        <v>95.5</v>
      </c>
      <c r="G89" s="473">
        <f t="shared" si="25"/>
        <v>94</v>
      </c>
      <c r="H89" s="473">
        <f t="shared" si="25"/>
        <v>92.5</v>
      </c>
      <c r="I89" s="473">
        <f t="shared" si="25"/>
        <v>91</v>
      </c>
      <c r="J89" s="473">
        <f t="shared" si="25"/>
        <v>89.5</v>
      </c>
      <c r="K89" s="473">
        <f t="shared" si="25"/>
        <v>88</v>
      </c>
      <c r="L89" s="473">
        <f t="shared" si="25"/>
        <v>86.5</v>
      </c>
      <c r="M89" s="473">
        <f t="shared" si="25"/>
        <v>85</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1694</v>
      </c>
      <c r="B100" s="458" t="s">
        <v>1736</v>
      </c>
      <c r="C100" s="3523" t="s">
        <v>3497</v>
      </c>
      <c r="D100" s="3523" t="s">
        <v>3498</v>
      </c>
      <c r="E100" s="3523" t="s">
        <v>3499</v>
      </c>
      <c r="F100" s="3523" t="s">
        <v>3500</v>
      </c>
      <c r="G100" s="460"/>
      <c r="H100" s="460"/>
      <c r="I100" s="460"/>
      <c r="J100" s="460"/>
      <c r="K100" s="461"/>
      <c r="L100" s="462"/>
      <c r="M100" s="463"/>
      <c r="N100" s="877"/>
      <c r="O100" s="877"/>
      <c r="P100" s="1772"/>
      <c r="Q100" s="437"/>
    </row>
    <row r="101" spans="1:17" ht="15.75" thickBot="1">
      <c r="A101" s="365"/>
      <c r="B101" s="472"/>
      <c r="C101" s="473">
        <v>100</v>
      </c>
      <c r="D101" s="473">
        <f t="shared" ref="D101:M101" si="26">C101-$K32</f>
        <v>100</v>
      </c>
      <c r="E101" s="473">
        <f t="shared" si="26"/>
        <v>100</v>
      </c>
      <c r="F101" s="473">
        <f t="shared" si="26"/>
        <v>100</v>
      </c>
      <c r="G101" s="473">
        <f t="shared" si="26"/>
        <v>100</v>
      </c>
      <c r="H101" s="473">
        <f t="shared" si="26"/>
        <v>100</v>
      </c>
      <c r="I101" s="473">
        <f t="shared" si="26"/>
        <v>100</v>
      </c>
      <c r="J101" s="473">
        <f t="shared" si="26"/>
        <v>100</v>
      </c>
      <c r="K101" s="473">
        <f t="shared" si="26"/>
        <v>100</v>
      </c>
      <c r="L101" s="473">
        <f t="shared" si="26"/>
        <v>100</v>
      </c>
      <c r="M101" s="473">
        <f t="shared" si="26"/>
        <v>100</v>
      </c>
      <c r="N101" s="878"/>
      <c r="O101" s="878"/>
      <c r="P101" s="1772"/>
      <c r="Q101" s="437"/>
    </row>
    <row r="102" spans="1:17" ht="15.75" thickTop="1">
      <c r="A102" s="365"/>
      <c r="B102" s="467" t="s">
        <v>1737</v>
      </c>
      <c r="C102" s="507" t="str">
        <f>C103&amp;"(含)"&amp;"-"&amp;D103</f>
        <v>0(含)-80</v>
      </c>
      <c r="D102" s="507" t="str">
        <f t="shared" ref="D102:J102" si="27">D103&amp;"(含)"&amp;"-"&amp;E103</f>
        <v>80(含)-120</v>
      </c>
      <c r="E102" s="507" t="str">
        <f t="shared" si="27"/>
        <v>120(含)-140</v>
      </c>
      <c r="F102" s="507" t="str">
        <f t="shared" si="27"/>
        <v>140(含)-160</v>
      </c>
      <c r="G102" s="507" t="str">
        <f t="shared" si="27"/>
        <v>160(含)-200</v>
      </c>
      <c r="H102" s="507" t="str">
        <f t="shared" si="27"/>
        <v>200(含)-240</v>
      </c>
      <c r="I102" s="507" t="str">
        <f t="shared" si="27"/>
        <v>240(含)-260</v>
      </c>
      <c r="J102" s="507" t="str">
        <f t="shared" si="27"/>
        <v>260(含)-300</v>
      </c>
      <c r="K102" s="507" t="str">
        <f>K103&amp;"(含)"&amp;"-"&amp;L103</f>
        <v>300(含)-2</v>
      </c>
      <c r="L102" s="507" t="str">
        <f>L103&amp;"(含)"&amp;"-"&amp;M103</f>
        <v>2(含)-</v>
      </c>
      <c r="M102" s="507" t="str">
        <f>M103&amp;"(含)"&amp;"-"&amp;P103</f>
        <v>(含)-</v>
      </c>
      <c r="N102" s="876"/>
      <c r="O102" s="876"/>
      <c r="P102" s="1772"/>
      <c r="Q102" s="437"/>
    </row>
    <row r="103" spans="1:17" s="406" customFormat="1">
      <c r="A103" s="404"/>
      <c r="B103" s="521"/>
      <c r="C103" s="6">
        <v>0</v>
      </c>
      <c r="D103" s="6">
        <v>80</v>
      </c>
      <c r="E103" s="6">
        <v>120</v>
      </c>
      <c r="F103" s="6">
        <v>140</v>
      </c>
      <c r="G103" s="6">
        <v>160</v>
      </c>
      <c r="H103" s="6">
        <v>200</v>
      </c>
      <c r="I103" s="6">
        <v>240</v>
      </c>
      <c r="J103" s="6">
        <v>260</v>
      </c>
      <c r="K103" s="522">
        <v>300</v>
      </c>
      <c r="L103" s="522">
        <f>K33</f>
        <v>2</v>
      </c>
      <c r="M103" s="522"/>
      <c r="N103" s="879"/>
      <c r="O103" s="879"/>
      <c r="P103" s="1773"/>
      <c r="Q103" s="488"/>
    </row>
    <row r="104" spans="1:17" s="406" customFormat="1" ht="15.75" thickBot="1">
      <c r="A104" s="482"/>
      <c r="B104" s="472"/>
      <c r="C104" s="465">
        <f>D104+$L$103</f>
        <v>106</v>
      </c>
      <c r="D104" s="465">
        <f>E104+$L$103</f>
        <v>104</v>
      </c>
      <c r="E104" s="465">
        <f>F104+$L$103</f>
        <v>102</v>
      </c>
      <c r="F104" s="465">
        <v>100</v>
      </c>
      <c r="G104" s="465">
        <f>F104-$L$103</f>
        <v>98</v>
      </c>
      <c r="H104" s="465">
        <f t="shared" ref="H104:J104" si="28">G104-$L$103</f>
        <v>96</v>
      </c>
      <c r="I104" s="465">
        <f t="shared" si="28"/>
        <v>94</v>
      </c>
      <c r="J104" s="465">
        <f t="shared" si="28"/>
        <v>92</v>
      </c>
      <c r="K104" s="465"/>
      <c r="L104" s="465"/>
      <c r="M104" s="465"/>
      <c r="N104" s="878"/>
      <c r="O104" s="878"/>
      <c r="P104" s="1773"/>
      <c r="Q104" s="488"/>
    </row>
    <row r="105" spans="1:17" ht="15" thickTop="1">
      <c r="A105" s="407"/>
      <c r="B105" s="467" t="s">
        <v>1738</v>
      </c>
      <c r="C105" s="3521" t="s">
        <v>3505</v>
      </c>
      <c r="D105" s="3521" t="s">
        <v>3506</v>
      </c>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9">C106-$K34</f>
        <v>100</v>
      </c>
      <c r="E106" s="473">
        <f t="shared" si="29"/>
        <v>100</v>
      </c>
      <c r="F106" s="473">
        <f t="shared" si="29"/>
        <v>100</v>
      </c>
      <c r="G106" s="473">
        <f t="shared" si="29"/>
        <v>100</v>
      </c>
      <c r="H106" s="473">
        <f t="shared" si="29"/>
        <v>100</v>
      </c>
      <c r="I106" s="473">
        <f t="shared" si="29"/>
        <v>100</v>
      </c>
      <c r="J106" s="473">
        <f t="shared" si="29"/>
        <v>100</v>
      </c>
      <c r="K106" s="473">
        <f t="shared" si="29"/>
        <v>100</v>
      </c>
      <c r="L106" s="473">
        <f t="shared" si="29"/>
        <v>100</v>
      </c>
      <c r="M106" s="473">
        <f t="shared" si="29"/>
        <v>100</v>
      </c>
      <c r="N106" s="878"/>
      <c r="O106" s="878"/>
      <c r="P106" s="1772"/>
      <c r="Q106" s="437"/>
    </row>
    <row r="107" spans="1:17" ht="15" thickTop="1">
      <c r="A107" s="407"/>
      <c r="B107" s="467" t="s">
        <v>1739</v>
      </c>
      <c r="C107" s="3525" t="s">
        <v>1721</v>
      </c>
      <c r="D107" s="3525" t="s">
        <v>1722</v>
      </c>
      <c r="E107" s="3525" t="s">
        <v>1723</v>
      </c>
      <c r="F107" s="3525" t="s">
        <v>1724</v>
      </c>
      <c r="G107" s="3525" t="s">
        <v>1725</v>
      </c>
      <c r="H107" s="511"/>
      <c r="I107" s="511"/>
      <c r="J107" s="511"/>
      <c r="K107" s="512"/>
      <c r="L107" s="513"/>
      <c r="M107" s="514"/>
      <c r="N107" s="877"/>
      <c r="O107" s="877"/>
      <c r="P107" s="1772"/>
      <c r="Q107" s="437"/>
    </row>
    <row r="108" spans="1:17" ht="15.75" thickBot="1">
      <c r="A108" s="365"/>
      <c r="B108" s="472"/>
      <c r="C108" s="473">
        <v>100</v>
      </c>
      <c r="D108" s="473">
        <f t="shared" ref="D108:M108" si="30">C108-$K35</f>
        <v>100</v>
      </c>
      <c r="E108" s="473">
        <f t="shared" si="30"/>
        <v>100</v>
      </c>
      <c r="F108" s="473">
        <f t="shared" si="30"/>
        <v>100</v>
      </c>
      <c r="G108" s="473">
        <f t="shared" si="30"/>
        <v>100</v>
      </c>
      <c r="H108" s="473">
        <f t="shared" si="30"/>
        <v>100</v>
      </c>
      <c r="I108" s="473">
        <f t="shared" si="30"/>
        <v>100</v>
      </c>
      <c r="J108" s="473">
        <f t="shared" si="30"/>
        <v>100</v>
      </c>
      <c r="K108" s="473">
        <f t="shared" si="30"/>
        <v>100</v>
      </c>
      <c r="L108" s="473">
        <f t="shared" si="30"/>
        <v>100</v>
      </c>
      <c r="M108" s="473">
        <f t="shared" si="30"/>
        <v>100</v>
      </c>
      <c r="N108" s="878"/>
      <c r="O108" s="878"/>
      <c r="P108" s="1772"/>
      <c r="Q108" s="437"/>
    </row>
    <row r="109" spans="1:17" ht="15" thickTop="1">
      <c r="A109" s="407"/>
      <c r="B109" s="467" t="s">
        <v>1740</v>
      </c>
      <c r="C109" s="3521" t="s">
        <v>3507</v>
      </c>
      <c r="D109" s="3521" t="s">
        <v>3508</v>
      </c>
      <c r="E109" s="3521" t="s">
        <v>3509</v>
      </c>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31">C110-$K36</f>
        <v>100</v>
      </c>
      <c r="E110" s="473">
        <f t="shared" si="31"/>
        <v>100</v>
      </c>
      <c r="F110" s="473">
        <f t="shared" si="31"/>
        <v>100</v>
      </c>
      <c r="G110" s="473">
        <f t="shared" si="31"/>
        <v>100</v>
      </c>
      <c r="H110" s="473">
        <f t="shared" si="31"/>
        <v>100</v>
      </c>
      <c r="I110" s="473">
        <f t="shared" si="31"/>
        <v>100</v>
      </c>
      <c r="J110" s="473">
        <f t="shared" si="31"/>
        <v>100</v>
      </c>
      <c r="K110" s="473">
        <f t="shared" si="31"/>
        <v>100</v>
      </c>
      <c r="L110" s="473">
        <f t="shared" si="31"/>
        <v>100</v>
      </c>
      <c r="M110" s="473">
        <f t="shared" si="31"/>
        <v>100</v>
      </c>
      <c r="N110" s="878"/>
      <c r="O110" s="878"/>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1741</v>
      </c>
      <c r="C114" s="3521" t="s">
        <v>3510</v>
      </c>
      <c r="D114" s="3521" t="s">
        <v>3511</v>
      </c>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2">C115-$K38</f>
        <v>100</v>
      </c>
      <c r="E115" s="473">
        <f t="shared" si="32"/>
        <v>100</v>
      </c>
      <c r="F115" s="473">
        <f t="shared" si="32"/>
        <v>100</v>
      </c>
      <c r="G115" s="473">
        <f t="shared" si="32"/>
        <v>100</v>
      </c>
      <c r="H115" s="473">
        <f t="shared" si="32"/>
        <v>100</v>
      </c>
      <c r="I115" s="473">
        <f t="shared" si="32"/>
        <v>100</v>
      </c>
      <c r="J115" s="473">
        <f t="shared" si="32"/>
        <v>100</v>
      </c>
      <c r="K115" s="473">
        <f t="shared" si="32"/>
        <v>100</v>
      </c>
      <c r="L115" s="473">
        <f t="shared" si="32"/>
        <v>100</v>
      </c>
      <c r="M115" s="473">
        <f t="shared" si="32"/>
        <v>100</v>
      </c>
      <c r="N115" s="878"/>
      <c r="O115" s="878"/>
      <c r="P115" s="1772"/>
      <c r="Q115" s="437"/>
    </row>
    <row r="116" spans="1:17" ht="15" thickTop="1">
      <c r="A116" s="407"/>
      <c r="B116" s="467" t="s">
        <v>1742</v>
      </c>
      <c r="C116" s="3521" t="s">
        <v>3512</v>
      </c>
      <c r="D116" s="3521" t="s">
        <v>3513</v>
      </c>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1743</v>
      </c>
      <c r="C118" s="3518" t="s">
        <v>3514</v>
      </c>
      <c r="D118" s="3518" t="s">
        <v>3515</v>
      </c>
      <c r="E118" s="3518" t="s">
        <v>3516</v>
      </c>
      <c r="F118" s="3518" t="s">
        <v>3517</v>
      </c>
      <c r="G118" s="511"/>
      <c r="H118" s="511"/>
      <c r="I118" s="511"/>
      <c r="J118" s="511"/>
      <c r="K118" s="512"/>
      <c r="L118" s="513"/>
      <c r="M118" s="514"/>
      <c r="N118" s="877"/>
      <c r="O118" s="877"/>
      <c r="P118" s="1772"/>
      <c r="Q118" s="437"/>
    </row>
    <row r="119" spans="1:17" ht="15.75" thickBot="1">
      <c r="A119" s="365"/>
      <c r="B119" s="472"/>
      <c r="C119" s="473">
        <v>100</v>
      </c>
      <c r="D119" s="473">
        <f t="shared" ref="D119:M119" si="33">C119-$K40</f>
        <v>99</v>
      </c>
      <c r="E119" s="473">
        <f t="shared" si="33"/>
        <v>98</v>
      </c>
      <c r="F119" s="473">
        <f t="shared" si="33"/>
        <v>97</v>
      </c>
      <c r="G119" s="473">
        <f t="shared" si="33"/>
        <v>96</v>
      </c>
      <c r="H119" s="473">
        <f t="shared" si="33"/>
        <v>95</v>
      </c>
      <c r="I119" s="473">
        <f t="shared" si="33"/>
        <v>94</v>
      </c>
      <c r="J119" s="473">
        <f t="shared" si="33"/>
        <v>93</v>
      </c>
      <c r="K119" s="473">
        <f t="shared" si="33"/>
        <v>92</v>
      </c>
      <c r="L119" s="473">
        <f t="shared" si="33"/>
        <v>91</v>
      </c>
      <c r="M119" s="473">
        <f t="shared" si="33"/>
        <v>90</v>
      </c>
      <c r="N119" s="878"/>
      <c r="O119" s="878"/>
      <c r="P119" s="1772"/>
      <c r="Q119" s="437"/>
    </row>
    <row r="120" spans="1:17" s="406" customFormat="1" ht="28.5" thickTop="1">
      <c r="A120" s="404"/>
      <c r="B120" s="467" t="s">
        <v>1705</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1744</v>
      </c>
      <c r="C122" s="3521" t="s">
        <v>3507</v>
      </c>
      <c r="D122" s="3521" t="s">
        <v>3508</v>
      </c>
      <c r="E122" s="3521" t="s">
        <v>3509</v>
      </c>
      <c r="F122" s="3518" t="s">
        <v>3519</v>
      </c>
      <c r="G122" s="511"/>
      <c r="H122" s="511"/>
      <c r="I122" s="511"/>
      <c r="J122" s="511"/>
      <c r="K122" s="512"/>
      <c r="L122" s="513"/>
      <c r="M122" s="514"/>
      <c r="N122" s="877"/>
      <c r="O122" s="877"/>
      <c r="P122" s="1772"/>
      <c r="Q122" s="437"/>
    </row>
    <row r="123" spans="1:17" ht="15.75" thickBot="1">
      <c r="A123" s="365"/>
      <c r="B123" s="472"/>
      <c r="C123" s="473">
        <v>100</v>
      </c>
      <c r="D123" s="473">
        <f t="shared" ref="D123:M123" si="34">C123-$K42</f>
        <v>99</v>
      </c>
      <c r="E123" s="473">
        <f t="shared" si="34"/>
        <v>98</v>
      </c>
      <c r="F123" s="473">
        <f t="shared" si="34"/>
        <v>97</v>
      </c>
      <c r="G123" s="473">
        <f t="shared" si="34"/>
        <v>96</v>
      </c>
      <c r="H123" s="473">
        <f t="shared" si="34"/>
        <v>95</v>
      </c>
      <c r="I123" s="473">
        <f t="shared" si="34"/>
        <v>94</v>
      </c>
      <c r="J123" s="473">
        <f t="shared" si="34"/>
        <v>93</v>
      </c>
      <c r="K123" s="473">
        <f t="shared" si="34"/>
        <v>92</v>
      </c>
      <c r="L123" s="473">
        <f t="shared" si="34"/>
        <v>91</v>
      </c>
      <c r="M123" s="473">
        <f t="shared" si="34"/>
        <v>90</v>
      </c>
      <c r="N123" s="878"/>
      <c r="O123" s="878"/>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3"/>
      <c r="Q124" s="437"/>
    </row>
    <row r="125" spans="1:17" ht="15.75"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72"/>
      <c r="Q125" s="437"/>
    </row>
    <row r="126" spans="1:17" s="406" customFormat="1" ht="15" thickTop="1">
      <c r="A126" s="404"/>
      <c r="B126" s="467" t="str">
        <f>B44</f>
        <v>赠送面积</v>
      </c>
      <c r="C126" s="3521" t="s">
        <v>3520</v>
      </c>
      <c r="D126" s="3521" t="s">
        <v>3521</v>
      </c>
      <c r="E126" s="483"/>
      <c r="F126" s="483"/>
      <c r="G126" s="483"/>
      <c r="H126" s="484"/>
      <c r="I126" s="484"/>
      <c r="J126" s="484"/>
      <c r="K126" s="484"/>
      <c r="L126" s="485"/>
      <c r="M126" s="486"/>
      <c r="N126" s="879"/>
      <c r="O126" s="879"/>
      <c r="P126" s="1773"/>
      <c r="Q126" s="488"/>
    </row>
    <row r="127" spans="1:17" s="406" customFormat="1" ht="15.75" thickBot="1">
      <c r="A127" s="482"/>
      <c r="B127" s="472"/>
      <c r="C127" s="489">
        <v>100</v>
      </c>
      <c r="D127" s="465">
        <f>C127-K44</f>
        <v>92</v>
      </c>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1">
        <f>ROUNDUP((J139-1)/2,0)</f>
        <v>10</v>
      </c>
      <c r="K140" s="823">
        <v>100</v>
      </c>
    </row>
    <row r="141" spans="1:17" ht="15">
      <c r="B141" s="818">
        <v>4</v>
      </c>
      <c r="C141" s="819">
        <v>102</v>
      </c>
      <c r="D141" s="819"/>
      <c r="E141" s="820"/>
      <c r="F141" s="821">
        <v>101.5</v>
      </c>
      <c r="G141" s="819"/>
      <c r="H141" s="822"/>
      <c r="I141" s="1791" t="s">
        <v>1758</v>
      </c>
      <c r="J141" s="261">
        <v>1</v>
      </c>
      <c r="K141" s="824">
        <f>ROUND(100+(J141-J140)*K139*100,1)</f>
        <v>96.4</v>
      </c>
    </row>
    <row r="142" spans="1:17" ht="15">
      <c r="B142" s="818">
        <v>3</v>
      </c>
      <c r="C142" s="819">
        <v>103</v>
      </c>
      <c r="D142" s="819"/>
      <c r="E142" s="820"/>
      <c r="F142" s="821">
        <v>101</v>
      </c>
      <c r="G142" s="819"/>
      <c r="H142" s="822"/>
      <c r="I142" s="1791" t="s">
        <v>1759</v>
      </c>
      <c r="J142" s="261">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C32 I32 G32" xr:uid="{00000000-0002-0000-1900-000006000000}">
      <formula1>住宅建筑类型</formula1>
    </dataValidation>
    <dataValidation type="list" allowBlank="1" showInputMessage="1" showErrorMessage="1" sqref="C34 E34 G34 I34" xr:uid="{00000000-0002-0000-1900-000007000000}">
      <formula1>住宅建筑结构</formula1>
    </dataValidation>
    <dataValidation type="list" allowBlank="1" showInputMessage="1" showErrorMessage="1" sqref="C35 E35 G35 I35" xr:uid="{00000000-0002-0000-1900-000008000000}">
      <formula1>住宅建筑品质</formula1>
    </dataValidation>
    <dataValidation type="list" allowBlank="1" showInputMessage="1" showErrorMessage="1" sqref="C36 E36 G36 I36" xr:uid="{00000000-0002-0000-1900-000009000000}">
      <formula1>住宅公共部分装修</formula1>
    </dataValidation>
    <dataValidation type="list" allowBlank="1" showInputMessage="1" showErrorMessage="1" sqref="C38 E38 G38 I38" xr:uid="{00000000-0002-0000-1900-00000A000000}">
      <formula1>住宅物业管理</formula1>
    </dataValidation>
    <dataValidation type="list" allowBlank="1" showInputMessage="1" showErrorMessage="1" sqref="C39 E39 G39 I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C43 G43 I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2989-2A92-4977-8199-E5C38EF059DA}">
  <dimension ref="A1:AS121"/>
  <sheetViews>
    <sheetView topLeftCell="A25" workbookViewId="0">
      <selection activeCell="AO35" sqref="AO35"/>
    </sheetView>
  </sheetViews>
  <sheetFormatPr defaultRowHeight="13.5"/>
  <cols>
    <col min="2" max="2" width="32.375" customWidth="1"/>
    <col min="12" max="12" width="13.625" customWidth="1"/>
    <col min="13" max="13" width="12.75" customWidth="1"/>
    <col min="39" max="41" width="11.25" customWidth="1"/>
  </cols>
  <sheetData>
    <row r="1" spans="1:19">
      <c r="A1" s="3167"/>
      <c r="B1" s="3167" t="s">
        <v>3421</v>
      </c>
      <c r="C1" s="3167" t="s">
        <v>3422</v>
      </c>
      <c r="D1" s="3167" t="s">
        <v>3423</v>
      </c>
      <c r="E1" s="3167" t="s">
        <v>3424</v>
      </c>
      <c r="F1" s="3167" t="s">
        <v>3425</v>
      </c>
      <c r="G1" s="3167" t="s">
        <v>3426</v>
      </c>
      <c r="H1" s="3167" t="s">
        <v>3427</v>
      </c>
      <c r="I1" s="1446" t="s">
        <v>3462</v>
      </c>
      <c r="J1" s="3167" t="s">
        <v>3428</v>
      </c>
      <c r="K1" s="3167" t="s">
        <v>3429</v>
      </c>
      <c r="L1" s="3167" t="s">
        <v>3430</v>
      </c>
      <c r="M1" s="3167" t="s">
        <v>3431</v>
      </c>
      <c r="N1" s="3167" t="s">
        <v>3432</v>
      </c>
      <c r="O1" s="3167" t="s">
        <v>3433</v>
      </c>
      <c r="P1" s="3167" t="s">
        <v>3434</v>
      </c>
      <c r="Q1" s="3167" t="s">
        <v>3425</v>
      </c>
      <c r="R1" s="3524" t="s">
        <v>3503</v>
      </c>
    </row>
    <row r="2" spans="1:19">
      <c r="A2" s="3167">
        <v>1</v>
      </c>
      <c r="B2" s="1446" t="s">
        <v>3469</v>
      </c>
      <c r="C2" s="1446" t="s">
        <v>3452</v>
      </c>
      <c r="D2" s="3167" t="s">
        <v>3402</v>
      </c>
      <c r="E2" s="3167">
        <v>126.33</v>
      </c>
      <c r="F2" s="3168" t="s">
        <v>3455</v>
      </c>
      <c r="G2" s="3167">
        <v>19</v>
      </c>
      <c r="H2" s="3167">
        <v>4</v>
      </c>
      <c r="I2" s="1446" t="s">
        <v>3463</v>
      </c>
      <c r="J2" s="3167">
        <v>2005</v>
      </c>
      <c r="K2" s="3167">
        <v>82799</v>
      </c>
      <c r="L2" s="3167">
        <v>83042</v>
      </c>
      <c r="M2" s="3169">
        <v>45738</v>
      </c>
      <c r="N2" s="1403" t="s">
        <v>3457</v>
      </c>
      <c r="O2" s="3168" t="s">
        <v>3435</v>
      </c>
      <c r="P2" s="3167" t="s">
        <v>3436</v>
      </c>
      <c r="Q2" s="3167" t="s">
        <v>3437</v>
      </c>
      <c r="R2" s="1403" t="s">
        <v>3502</v>
      </c>
      <c r="S2">
        <f>ROUND(K2*E2/10000,0)</f>
        <v>1046</v>
      </c>
    </row>
    <row r="3" spans="1:19">
      <c r="A3" s="3167">
        <v>2</v>
      </c>
      <c r="B3" s="1446" t="s">
        <v>3470</v>
      </c>
      <c r="C3" s="1446" t="s">
        <v>3452</v>
      </c>
      <c r="D3" s="3167" t="s">
        <v>3402</v>
      </c>
      <c r="E3" s="3167">
        <v>120.45</v>
      </c>
      <c r="F3" s="3168" t="s">
        <v>3458</v>
      </c>
      <c r="G3" s="3167">
        <v>25</v>
      </c>
      <c r="H3" s="3167">
        <v>12</v>
      </c>
      <c r="I3" s="1446" t="s">
        <v>3465</v>
      </c>
      <c r="J3" s="3167">
        <v>2005</v>
      </c>
      <c r="K3" s="3167">
        <v>88418</v>
      </c>
      <c r="L3" s="3167">
        <v>88555</v>
      </c>
      <c r="M3" s="3169">
        <v>45674</v>
      </c>
      <c r="N3" s="1403" t="s">
        <v>3460</v>
      </c>
      <c r="O3" s="3168" t="s">
        <v>3435</v>
      </c>
      <c r="P3" s="3167" t="s">
        <v>3436</v>
      </c>
      <c r="Q3" s="3167" t="s">
        <v>3437</v>
      </c>
      <c r="R3" s="1403" t="s">
        <v>3502</v>
      </c>
      <c r="S3">
        <f t="shared" ref="S3:S4" si="0">ROUND(K3*E3/10000,0)</f>
        <v>1065</v>
      </c>
    </row>
    <row r="4" spans="1:19">
      <c r="A4" s="3167">
        <v>3</v>
      </c>
      <c r="B4" s="1446" t="s">
        <v>3471</v>
      </c>
      <c r="C4" s="1446" t="s">
        <v>3452</v>
      </c>
      <c r="D4" s="3167" t="s">
        <v>3402</v>
      </c>
      <c r="E4" s="3167">
        <v>170.23</v>
      </c>
      <c r="F4" s="3168" t="s">
        <v>3461</v>
      </c>
      <c r="G4" s="3167">
        <v>20</v>
      </c>
      <c r="H4" s="3167">
        <v>15</v>
      </c>
      <c r="I4" s="1446" t="s">
        <v>3467</v>
      </c>
      <c r="J4" s="3167">
        <v>2005</v>
      </c>
      <c r="K4" s="3167">
        <v>88116</v>
      </c>
      <c r="L4" s="3167">
        <v>88691</v>
      </c>
      <c r="M4" s="3169">
        <v>45644</v>
      </c>
      <c r="N4" s="1403" t="s">
        <v>3457</v>
      </c>
      <c r="O4" s="3168" t="s">
        <v>3435</v>
      </c>
      <c r="P4" s="3167" t="s">
        <v>3436</v>
      </c>
      <c r="Q4" s="3167" t="s">
        <v>3437</v>
      </c>
      <c r="R4" s="1403" t="s">
        <v>3504</v>
      </c>
      <c r="S4">
        <f t="shared" si="0"/>
        <v>1500</v>
      </c>
    </row>
    <row r="5" spans="1:19">
      <c r="O5" s="3509"/>
    </row>
    <row r="26" spans="11:41">
      <c r="AO26">
        <f>93742*160.12/10000</f>
        <v>1500.9969040000001</v>
      </c>
    </row>
    <row r="27" spans="11:41">
      <c r="K27" s="3170">
        <v>6.6600000000000006E-2</v>
      </c>
    </row>
    <row r="34" spans="11:45">
      <c r="AO34">
        <f>124830*132.18/10000</f>
        <v>1650.0029400000001</v>
      </c>
    </row>
    <row r="38" spans="11:45">
      <c r="K38" s="3170">
        <v>7.7899999999999997E-2</v>
      </c>
    </row>
    <row r="39" spans="11:45">
      <c r="AC39" s="1403" t="s">
        <v>3444</v>
      </c>
    </row>
    <row r="41" spans="11:45">
      <c r="AN41" s="1403" t="s">
        <v>3448</v>
      </c>
      <c r="AO41" s="1403" t="s">
        <v>3449</v>
      </c>
      <c r="AP41" s="1403" t="s">
        <v>3450</v>
      </c>
      <c r="AQ41" s="1403" t="s">
        <v>3385</v>
      </c>
      <c r="AR41" s="1403" t="s">
        <v>3386</v>
      </c>
      <c r="AS41" s="1403" t="s">
        <v>3454</v>
      </c>
    </row>
    <row r="42" spans="11:45">
      <c r="AM42" t="s">
        <v>3451</v>
      </c>
      <c r="AN42" s="3506">
        <v>45517</v>
      </c>
      <c r="AO42" s="3507">
        <v>1148.6117999999999</v>
      </c>
      <c r="AP42">
        <v>1203</v>
      </c>
      <c r="AQ42">
        <v>134.31</v>
      </c>
      <c r="AR42">
        <f>ROUND(AP42*10000/AQ42,0)</f>
        <v>89569</v>
      </c>
      <c r="AS42" s="3508">
        <f>ROUND(AP42/AO42,2)</f>
        <v>1.05</v>
      </c>
    </row>
    <row r="43" spans="11:45">
      <c r="AM43" s="1403" t="s">
        <v>3452</v>
      </c>
      <c r="AN43" s="3506">
        <v>45216</v>
      </c>
      <c r="AO43">
        <v>1179.5297</v>
      </c>
      <c r="AP43">
        <v>1469.670813</v>
      </c>
      <c r="AQ43">
        <v>160.01</v>
      </c>
      <c r="AR43">
        <f t="shared" ref="AR43" si="1">ROUND(AP43*10000/AQ43,0)</f>
        <v>91849</v>
      </c>
      <c r="AS43" s="3508">
        <f t="shared" ref="AS43:AS44" si="2">ROUND(AP43/AO43,2)</f>
        <v>1.25</v>
      </c>
    </row>
    <row r="44" spans="11:45">
      <c r="AM44" s="1403" t="s">
        <v>3453</v>
      </c>
      <c r="AN44" s="3506">
        <v>44762</v>
      </c>
      <c r="AO44">
        <v>1139.04</v>
      </c>
      <c r="AP44">
        <v>981.3</v>
      </c>
      <c r="AQ44">
        <v>98.54</v>
      </c>
      <c r="AR44">
        <f>ROUND(AP44*10000/AQ44,0)</f>
        <v>99584</v>
      </c>
      <c r="AS44" s="3508">
        <f t="shared" si="2"/>
        <v>0.86</v>
      </c>
    </row>
    <row r="58" spans="29:29">
      <c r="AC58" t="s">
        <v>3445</v>
      </c>
    </row>
    <row r="73" spans="12:25">
      <c r="L73" s="1403" t="s">
        <v>3439</v>
      </c>
      <c r="S73" s="1403" t="s">
        <v>3441</v>
      </c>
      <c r="T73">
        <f>ROUND(12800000/137.62,0)</f>
        <v>93010</v>
      </c>
      <c r="W73" s="1403" t="s">
        <v>3442</v>
      </c>
      <c r="X73" s="1403" t="s">
        <v>3443</v>
      </c>
      <c r="Y73">
        <v>1250</v>
      </c>
    </row>
    <row r="74" spans="12:25">
      <c r="L74" s="1403" t="s">
        <v>3440</v>
      </c>
      <c r="M74">
        <f>ROUND(10820000/108.77,0)</f>
        <v>99476</v>
      </c>
      <c r="X74">
        <f>ROUND(12000000/143.31,0)</f>
        <v>83735</v>
      </c>
      <c r="Y74">
        <f>ROUND(12500000/143.31,0)</f>
        <v>87224</v>
      </c>
    </row>
    <row r="81" spans="29:29">
      <c r="AC81" t="s">
        <v>3446</v>
      </c>
    </row>
    <row r="101" spans="1:29">
      <c r="AC101" t="s">
        <v>3447</v>
      </c>
    </row>
    <row r="104" spans="1:29">
      <c r="A104" s="1403" t="s">
        <v>3468</v>
      </c>
      <c r="B104" s="1403" t="s">
        <v>3385</v>
      </c>
      <c r="C104" s="1403" t="s">
        <v>3386</v>
      </c>
    </row>
    <row r="105" spans="1:29">
      <c r="A105">
        <v>11500</v>
      </c>
      <c r="B105">
        <v>93.66</v>
      </c>
      <c r="C105">
        <f>ROUND(A105/B105,0)</f>
        <v>123</v>
      </c>
    </row>
    <row r="106" spans="1:29">
      <c r="A106">
        <v>20000</v>
      </c>
      <c r="B106">
        <v>170</v>
      </c>
      <c r="C106">
        <f t="shared" ref="C106:C119" si="3">ROUND(A106/B106,0)</f>
        <v>118</v>
      </c>
    </row>
    <row r="107" spans="1:29">
      <c r="A107">
        <v>8700</v>
      </c>
      <c r="B107">
        <v>63</v>
      </c>
      <c r="C107">
        <f t="shared" si="3"/>
        <v>138</v>
      </c>
    </row>
    <row r="108" spans="1:29">
      <c r="A108">
        <v>10500</v>
      </c>
      <c r="B108">
        <v>92.88</v>
      </c>
      <c r="C108">
        <f t="shared" si="3"/>
        <v>113</v>
      </c>
    </row>
    <row r="109" spans="1:29">
      <c r="A109">
        <v>17000</v>
      </c>
      <c r="B109">
        <v>160.01</v>
      </c>
      <c r="C109">
        <f t="shared" si="3"/>
        <v>106</v>
      </c>
    </row>
    <row r="110" spans="1:29">
      <c r="A110">
        <v>8000</v>
      </c>
      <c r="B110">
        <v>66</v>
      </c>
      <c r="C110">
        <f t="shared" si="3"/>
        <v>121</v>
      </c>
    </row>
    <row r="111" spans="1:29">
      <c r="A111">
        <v>13800</v>
      </c>
      <c r="B111">
        <v>121.6</v>
      </c>
      <c r="C111">
        <f t="shared" si="3"/>
        <v>113</v>
      </c>
    </row>
    <row r="112" spans="1:29">
      <c r="A112">
        <v>25500</v>
      </c>
      <c r="B112">
        <v>228</v>
      </c>
      <c r="C112">
        <f t="shared" si="3"/>
        <v>112</v>
      </c>
    </row>
    <row r="113" spans="1:3">
      <c r="A113">
        <v>8000</v>
      </c>
      <c r="B113">
        <v>66.209999999999994</v>
      </c>
      <c r="C113">
        <f t="shared" si="3"/>
        <v>121</v>
      </c>
    </row>
    <row r="114" spans="1:3">
      <c r="A114">
        <v>14000</v>
      </c>
      <c r="B114">
        <v>121.45</v>
      </c>
      <c r="C114">
        <f t="shared" si="3"/>
        <v>115</v>
      </c>
    </row>
    <row r="115" spans="1:3">
      <c r="A115">
        <v>11700</v>
      </c>
      <c r="B115">
        <v>90.46</v>
      </c>
      <c r="C115">
        <f t="shared" si="3"/>
        <v>129</v>
      </c>
    </row>
    <row r="116" spans="1:3">
      <c r="A116">
        <v>26000</v>
      </c>
      <c r="B116">
        <v>262</v>
      </c>
      <c r="C116">
        <f t="shared" si="3"/>
        <v>99</v>
      </c>
    </row>
    <row r="117" spans="1:3">
      <c r="A117">
        <v>9000</v>
      </c>
      <c r="B117">
        <v>63.58</v>
      </c>
      <c r="C117">
        <f t="shared" si="3"/>
        <v>142</v>
      </c>
    </row>
    <row r="118" spans="1:3">
      <c r="A118">
        <v>11000</v>
      </c>
      <c r="B118">
        <v>90.46</v>
      </c>
      <c r="C118">
        <f t="shared" si="3"/>
        <v>122</v>
      </c>
    </row>
    <row r="119" spans="1:3">
      <c r="A119">
        <v>10500</v>
      </c>
      <c r="B119">
        <v>91</v>
      </c>
      <c r="C119">
        <f t="shared" si="3"/>
        <v>115</v>
      </c>
    </row>
    <row r="120" spans="1:3">
      <c r="C120">
        <f>ROUND(AVERAGE(C105:C119),0)</f>
        <v>119</v>
      </c>
    </row>
    <row r="121" spans="1:3">
      <c r="C121">
        <f>C120*'数据-基础表'!I13</f>
        <v>17053.89</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Normal="70" zoomScaleSheetLayoutView="100" workbookViewId="0">
      <selection activeCell="D50" sqref="D50"/>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t="s">
        <v>3402</v>
      </c>
      <c r="D1" s="1269" t="s">
        <v>43</v>
      </c>
      <c r="E1" s="1270" t="s">
        <v>678</v>
      </c>
      <c r="F1" s="997">
        <f ca="1">J53</f>
        <v>47.07</v>
      </c>
      <c r="G1" s="1284">
        <f>MATCH(C1,'数据-取费表'!A6:A16,0)+5</f>
        <v>6</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20">
        <f ca="1">ROUND(D2/10000,4)</f>
        <v>588.37170000000003</v>
      </c>
      <c r="C2" s="1287" t="s">
        <v>879</v>
      </c>
      <c r="D2" s="1373">
        <f ca="1">C40+J29+L46</f>
        <v>5883717</v>
      </c>
      <c r="E2" s="1293" t="s">
        <v>880</v>
      </c>
      <c r="F2" s="1294"/>
      <c r="G2" s="2475"/>
      <c r="H2" s="2465"/>
      <c r="I2" s="2465"/>
      <c r="J2" s="2465"/>
      <c r="K2" s="2466"/>
      <c r="L2" s="2465"/>
      <c r="M2" s="2465"/>
    </row>
    <row r="3" spans="1:37" ht="18" customHeight="1" thickBot="1">
      <c r="A3" s="1295" t="s">
        <v>881</v>
      </c>
      <c r="B3" s="1296">
        <f ca="1">IF(ISERROR(D2/F43),0,ROUND(D2/F43,0))</f>
        <v>41056</v>
      </c>
      <c r="C3" s="1287" t="s">
        <v>882</v>
      </c>
      <c r="D3" s="1287"/>
      <c r="E3" s="1293"/>
      <c r="F3" s="1294"/>
      <c r="G3" s="2475"/>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194042</v>
      </c>
      <c r="D5" s="1271" t="s">
        <v>889</v>
      </c>
      <c r="E5" s="1006"/>
      <c r="F5" s="1007"/>
      <c r="G5" s="1290"/>
      <c r="H5" s="289">
        <v>1</v>
      </c>
      <c r="I5" s="290" t="s">
        <v>888</v>
      </c>
      <c r="J5" s="1005">
        <f ca="1">J6+J10+J12</f>
        <v>0</v>
      </c>
      <c r="K5" s="1271" t="s">
        <v>889</v>
      </c>
      <c r="L5" s="1006"/>
      <c r="M5" s="1007"/>
    </row>
    <row r="6" spans="1:37" ht="18" customHeight="1">
      <c r="A6" s="1004" t="s">
        <v>398</v>
      </c>
      <c r="B6" s="3358" t="s">
        <v>694</v>
      </c>
      <c r="C6" s="1009">
        <f ca="1">ROUND(F6*F8*F7*(1-F9),0)</f>
        <v>193800</v>
      </c>
      <c r="D6" s="145" t="s">
        <v>2106</v>
      </c>
      <c r="E6" s="292" t="s">
        <v>696</v>
      </c>
      <c r="F6" s="293">
        <f ca="1">INDIRECT("'数据-取费表'!u"&amp;$G$1)</f>
        <v>17000</v>
      </c>
      <c r="G6" s="1290"/>
      <c r="H6" s="1004" t="s">
        <v>398</v>
      </c>
      <c r="I6" s="3358" t="s">
        <v>694</v>
      </c>
      <c r="J6" s="291">
        <f ca="1">ROUND(M6*M8*M7*(1-M9),0)</f>
        <v>0</v>
      </c>
      <c r="K6" s="1282" t="s">
        <v>2107</v>
      </c>
      <c r="L6" s="292" t="s">
        <v>696</v>
      </c>
      <c r="M6" s="293">
        <f ca="1">INDIRECT("'数据-取费表'!z"&amp;$G$1)</f>
        <v>0</v>
      </c>
    </row>
    <row r="7" spans="1:37" ht="18" customHeight="1">
      <c r="A7" s="1008"/>
      <c r="B7" s="3359"/>
      <c r="C7" s="1010"/>
      <c r="D7" s="297"/>
      <c r="E7" s="1011" t="s">
        <v>697</v>
      </c>
      <c r="F7" s="293">
        <f ca="1">IF(INDIRECT("'数据-取费表'!ah"&amp;$G$1)="",INDIRECT("'数据-取费表'!k"&amp;$G$1),INDIRECT("'数据-取费表'!ah"&amp;$G$1))</f>
        <v>1</v>
      </c>
      <c r="G7" s="1290"/>
      <c r="H7" s="294"/>
      <c r="I7" s="3359"/>
      <c r="J7" s="296"/>
      <c r="K7" s="297"/>
      <c r="L7" s="292" t="s">
        <v>697</v>
      </c>
      <c r="M7" s="293">
        <f ca="1">F7</f>
        <v>1</v>
      </c>
    </row>
    <row r="8" spans="1:37" ht="18" customHeight="1">
      <c r="A8" s="294"/>
      <c r="B8" s="3359"/>
      <c r="C8" s="296"/>
      <c r="D8" s="297"/>
      <c r="E8" s="292" t="s">
        <v>698</v>
      </c>
      <c r="F8" s="293">
        <f ca="1">INDIRECT("'数据-取费表'!ai"&amp;$G$1)</f>
        <v>12</v>
      </c>
      <c r="G8" s="1290"/>
      <c r="H8" s="294"/>
      <c r="I8" s="3359"/>
      <c r="J8" s="296"/>
      <c r="K8" s="297"/>
      <c r="L8" s="292" t="s">
        <v>698</v>
      </c>
      <c r="M8" s="293">
        <f ca="1">INDIRECT("'数据-取费表'!ai"&amp;$G$1)</f>
        <v>12</v>
      </c>
    </row>
    <row r="9" spans="1:37" ht="18" customHeight="1">
      <c r="A9" s="294"/>
      <c r="B9" s="3360"/>
      <c r="C9" s="296"/>
      <c r="D9" s="297"/>
      <c r="E9" s="292" t="s">
        <v>699</v>
      </c>
      <c r="F9" s="302">
        <f ca="1">INDIRECT("'数据-取费表'!w"&amp;$G$1)</f>
        <v>0.05</v>
      </c>
      <c r="G9" s="1290"/>
      <c r="H9" s="294"/>
      <c r="I9" s="3360"/>
      <c r="J9" s="296"/>
      <c r="K9" s="297"/>
      <c r="L9" s="303" t="s">
        <v>699</v>
      </c>
      <c r="M9" s="304">
        <f ca="1">INDIRECT("'数据-取费表'!ab"&amp;$G$1)</f>
        <v>0</v>
      </c>
    </row>
    <row r="10" spans="1:37" ht="18" customHeight="1">
      <c r="A10" s="1004" t="s">
        <v>402</v>
      </c>
      <c r="B10" s="1272" t="s">
        <v>700</v>
      </c>
      <c r="C10" s="306">
        <f ca="1">ROUND(IF(F10="押一",C6/12*F11,IF(F10="押二",C6/12*2*F11,IF(F10="押三",C6/12*3*F11,C11*F11))),0)</f>
        <v>242</v>
      </c>
      <c r="D10" s="148" t="s">
        <v>2116</v>
      </c>
      <c r="E10" s="303" t="s">
        <v>701</v>
      </c>
      <c r="F10" s="1051" t="s">
        <v>3529</v>
      </c>
      <c r="G10" s="1290"/>
      <c r="H10" s="1004" t="s">
        <v>402</v>
      </c>
      <c r="I10" s="1272" t="s">
        <v>700</v>
      </c>
      <c r="J10" s="291">
        <f ca="1">ROUND(IF(M10="押一",J6/12*M11,IF(M10="押二",J6/12*2*M11,IF(M10="押三",J6/12*3*M11,J11*M11))),0)</f>
        <v>0</v>
      </c>
      <c r="K10" s="1283" t="s">
        <v>2118</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745182</v>
      </c>
      <c r="D13" s="1016" t="s">
        <v>705</v>
      </c>
      <c r="E13" s="1016" t="s">
        <v>706</v>
      </c>
      <c r="F13" s="1017">
        <f ca="1">INDIRECT("'数据-取费表'!y"&amp;$G$1)</f>
        <v>0.87</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573240</v>
      </c>
      <c r="D14" s="1255" t="s">
        <v>708</v>
      </c>
      <c r="E14" s="1253"/>
      <c r="F14" s="309"/>
      <c r="G14" s="1290"/>
      <c r="H14" s="926" t="s">
        <v>398</v>
      </c>
      <c r="I14" s="292" t="s">
        <v>709</v>
      </c>
      <c r="J14" s="21">
        <f ca="1">C29</f>
        <v>856531</v>
      </c>
      <c r="K14" s="12"/>
      <c r="L14" s="757"/>
      <c r="M14" s="758"/>
    </row>
    <row r="15" spans="1:37" s="1302" customFormat="1" ht="18" customHeight="1" thickBot="1">
      <c r="A15" s="926" t="s">
        <v>399</v>
      </c>
      <c r="B15" s="292" t="s">
        <v>710</v>
      </c>
      <c r="C15" s="21">
        <f ca="1">ROUND(C14*F15,0)</f>
        <v>17197</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28662</v>
      </c>
      <c r="D16" s="292" t="s">
        <v>711</v>
      </c>
      <c r="E16" s="292" t="s">
        <v>712</v>
      </c>
      <c r="F16" s="312">
        <f ca="1">IF(INDIRECT("'数据-取费表'!c"&amp;$G$1)="住宅",'数据-取费表'!B34,0)</f>
        <v>0.05</v>
      </c>
      <c r="G16" s="1290"/>
      <c r="H16" s="1014" t="s">
        <v>393</v>
      </c>
      <c r="I16" s="1015" t="s">
        <v>714</v>
      </c>
      <c r="J16" s="300">
        <f ca="1">ROUND(J17+J22+J23+J24,0)</f>
        <v>8565</v>
      </c>
      <c r="K16" s="1022" t="s">
        <v>715</v>
      </c>
      <c r="L16" s="1023"/>
      <c r="M16" s="1007"/>
    </row>
    <row r="17" spans="1:37" s="1302" customFormat="1" ht="18" customHeight="1">
      <c r="A17" s="926" t="s">
        <v>681</v>
      </c>
      <c r="B17" s="292" t="s">
        <v>716</v>
      </c>
      <c r="C17" s="21">
        <f ca="1">ROUND(F17*(F43+INDIRECT("'数据-取费表'!S"&amp;$G$1)),0)</f>
        <v>28662</v>
      </c>
      <c r="D17" s="292" t="s">
        <v>717</v>
      </c>
      <c r="E17" s="292" t="s">
        <v>718</v>
      </c>
      <c r="F17" s="23">
        <f>'数据-取费表'!B35</f>
        <v>200</v>
      </c>
      <c r="G17" s="1301"/>
      <c r="H17" s="926" t="s">
        <v>398</v>
      </c>
      <c r="I17" s="292"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8599</v>
      </c>
      <c r="D18" s="292" t="s">
        <v>711</v>
      </c>
      <c r="E18" s="292" t="s">
        <v>712</v>
      </c>
      <c r="F18" s="312">
        <f>'数据-取费表'!B36</f>
        <v>1.4999999999999999E-2</v>
      </c>
      <c r="G18" s="1301"/>
      <c r="H18" s="926" t="s">
        <v>397</v>
      </c>
      <c r="I18" s="292" t="s">
        <v>723</v>
      </c>
      <c r="J18" s="21">
        <f ca="1">ROUND(J6*M18/(1+'数据-取费表'!C42),0)</f>
        <v>0</v>
      </c>
      <c r="K18" s="1254" t="s">
        <v>724</v>
      </c>
      <c r="L18" s="292" t="s">
        <v>712</v>
      </c>
      <c r="M18" s="312">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656360</v>
      </c>
      <c r="D19" s="122" t="s">
        <v>726</v>
      </c>
      <c r="E19" s="1267"/>
      <c r="F19" s="23"/>
      <c r="G19" s="1290"/>
      <c r="H19" s="926" t="s">
        <v>399</v>
      </c>
      <c r="I19" s="292" t="s">
        <v>727</v>
      </c>
      <c r="J19" s="21">
        <f ca="1">IF(K19="按租金收入计税",ROUND(J6*M19/(1+'数据-取费表'!C42),0),ROUND(C29*M19*0.7,0))</f>
        <v>0</v>
      </c>
      <c r="K19" s="1276" t="s">
        <v>3332</v>
      </c>
      <c r="L19" s="292" t="s">
        <v>712</v>
      </c>
      <c r="M19" s="312">
        <f>IF(K19="按租金收入计税",'数据-取费表'!B51,'数据-取费表'!B50)</f>
        <v>0.12</v>
      </c>
    </row>
    <row r="20" spans="1:37" s="1302" customFormat="1" ht="18" customHeight="1">
      <c r="A20" s="926" t="s">
        <v>402</v>
      </c>
      <c r="B20" s="292" t="s">
        <v>728</v>
      </c>
      <c r="C20" s="21">
        <f ca="1">ROUND(C19*F20,0)</f>
        <v>13127</v>
      </c>
      <c r="D20" s="313" t="s">
        <v>729</v>
      </c>
      <c r="E20" s="292" t="s">
        <v>712</v>
      </c>
      <c r="F20" s="312">
        <f>'数据-取费表'!B37</f>
        <v>0.02</v>
      </c>
      <c r="G20" s="1301"/>
      <c r="H20" s="926" t="s">
        <v>680</v>
      </c>
      <c r="I20" s="145" t="s">
        <v>730</v>
      </c>
      <c r="J20" s="22">
        <f ca="1">ROUND(M20*M21,0)</f>
        <v>0</v>
      </c>
      <c r="K20" s="314" t="s">
        <v>731</v>
      </c>
      <c r="L20" s="292" t="s">
        <v>732</v>
      </c>
      <c r="M20" s="315">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0.02</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2" t="str">
        <f>IF(F23&lt;=1,"单利计息。","复利计息。")&amp;"建造成本、管理费用、销售费用产生的利息。"</f>
        <v>复利计息。建造成本、管理费用、销售费用产生的利息。</v>
      </c>
      <c r="E22" s="1267"/>
      <c r="F22" s="23"/>
      <c r="G22" s="1290"/>
      <c r="H22" s="926" t="s">
        <v>402</v>
      </c>
      <c r="I22" s="292" t="s">
        <v>738</v>
      </c>
      <c r="J22" s="21">
        <f ca="1">ROUND(J14*M22,0)</f>
        <v>8565</v>
      </c>
      <c r="K22" s="1254" t="s">
        <v>739</v>
      </c>
      <c r="L22" s="292" t="s">
        <v>712</v>
      </c>
      <c r="M22" s="318">
        <f ca="1">INDIRECT("'数据-取费表'!Ak"&amp;$G$1)</f>
        <v>0.01</v>
      </c>
    </row>
    <row r="23" spans="1:37" s="1302" customFormat="1" ht="18" customHeight="1">
      <c r="A23" s="926" t="s">
        <v>397</v>
      </c>
      <c r="B23" s="292" t="s">
        <v>740</v>
      </c>
      <c r="C23" s="21">
        <f ca="1">IF('数据-取费表'!B22&lt;=1,ROUND(C19*F24*F23/2,0)+ROUND(C20*F24*F23/2,0),ROUND(C19*(POWER((1+F24),F23/2)-1),0)+ROUND(C20*(POWER((1+F24),F23/2)-1),0))</f>
        <v>20754</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f ca="1">ROUND(J13*M23,0)</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3.1E-2</v>
      </c>
      <c r="G24" s="1301"/>
      <c r="H24" s="1024" t="s">
        <v>684</v>
      </c>
      <c r="I24" s="1025" t="s">
        <v>728</v>
      </c>
      <c r="J24" s="1026">
        <f ca="1">ROUND(J5*M24,0)</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2" t="s">
        <v>751</v>
      </c>
      <c r="E25" s="1267"/>
      <c r="F25" s="23"/>
      <c r="G25" s="1290"/>
      <c r="H25" s="1014" t="s">
        <v>394</v>
      </c>
      <c r="I25" s="1029" t="s">
        <v>752</v>
      </c>
      <c r="J25" s="300">
        <f ca="1">J5-J16</f>
        <v>-8565</v>
      </c>
      <c r="K25" s="1030" t="s">
        <v>753</v>
      </c>
      <c r="L25" s="1031"/>
      <c r="M25" s="1032"/>
    </row>
    <row r="26" spans="1:37" ht="18" customHeight="1">
      <c r="A26" s="926" t="s">
        <v>397</v>
      </c>
      <c r="B26" s="292" t="s">
        <v>754</v>
      </c>
      <c r="C26" s="21">
        <f ca="1">ROUND((C19+C20)*F26,0)</f>
        <v>100423</v>
      </c>
      <c r="D26" s="313" t="s">
        <v>755</v>
      </c>
      <c r="E26" s="303" t="s">
        <v>756</v>
      </c>
      <c r="F26" s="302">
        <f ca="1">INDIRECT("'数据-取费表'!q"&amp;$G$1)</f>
        <v>0.15</v>
      </c>
      <c r="G26" s="1290"/>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5.33E-2</v>
      </c>
      <c r="D28" s="313" t="s">
        <v>765</v>
      </c>
      <c r="E28" s="292" t="s">
        <v>712</v>
      </c>
      <c r="F28" s="312">
        <f>'数据-取费表'!B41</f>
        <v>5.6000000000000001E-2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856531</v>
      </c>
      <c r="D29" s="1027"/>
      <c r="E29" s="1025"/>
      <c r="F29" s="1028"/>
      <c r="G29" s="1301"/>
      <c r="H29" s="323" t="s">
        <v>396</v>
      </c>
      <c r="I29" s="324" t="s">
        <v>768</v>
      </c>
      <c r="J29" s="325">
        <f ca="1">ROUND(J26/(1+F40)^F41,0)</f>
        <v>0</v>
      </c>
      <c r="K29" s="326" t="s">
        <v>769</v>
      </c>
      <c r="L29" s="327"/>
      <c r="M29" s="328">
        <f ca="1">INDIRECT("'数据-取费表'!k"&amp;$G$1)</f>
        <v>143.31</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15864</v>
      </c>
      <c r="D30" s="1022" t="s">
        <v>715</v>
      </c>
      <c r="E30" s="1023"/>
      <c r="F30" s="1007"/>
      <c r="G30" s="1290"/>
      <c r="H30" s="2467"/>
      <c r="I30" s="1303"/>
      <c r="J30" s="1304"/>
      <c r="K30" s="120"/>
      <c r="L30" s="2468"/>
      <c r="M30" s="2469"/>
    </row>
    <row r="31" spans="1:37" ht="18" customHeight="1">
      <c r="A31" s="926" t="s">
        <v>398</v>
      </c>
      <c r="B31" s="292" t="s">
        <v>719</v>
      </c>
      <c r="C31" s="2137">
        <f ca="1">ROUND(IF(AND(项目基本情况!B11="自然人",项目基本情况!B10="北京市"),C6*F31/(1+'数据-取费表'!C42),C32+C33+C34),0)</f>
        <v>4614</v>
      </c>
      <c r="D31" s="1255" t="s">
        <v>720</v>
      </c>
      <c r="E31" s="1254" t="s">
        <v>770</v>
      </c>
      <c r="F31" s="2136">
        <f ca="1">IF(项目基本情况!B11="企业","——",IF(M47="住宅",IF(F6*F7*F8/12/(1+'数据-取费表'!F30)&gt;100000,4%,2.5%),IF(F6*F7*F8/12/(1+'数据-取费表'!F30)&gt;100000,12%,7%)))</f>
        <v>2.5000000000000001E-2</v>
      </c>
      <c r="G31" s="1290"/>
      <c r="H31" s="2566" t="s">
        <v>2302</v>
      </c>
      <c r="I31" s="1303"/>
      <c r="J31" s="1304"/>
      <c r="K31" s="120"/>
      <c r="L31" s="2468"/>
      <c r="M31" s="2469"/>
    </row>
    <row r="32" spans="1:37" ht="18" customHeight="1">
      <c r="A32" s="926" t="s">
        <v>397</v>
      </c>
      <c r="B32" s="292" t="s">
        <v>723</v>
      </c>
      <c r="C32" s="21" t="str">
        <f>IF(项目基本情况!B11="自然人","——",ROUND(C6*F32/(1+'数据-取费表'!C42),0))</f>
        <v>——</v>
      </c>
      <c r="D32" s="1254" t="s">
        <v>724</v>
      </c>
      <c r="E32" s="292" t="s">
        <v>712</v>
      </c>
      <c r="F32" s="320">
        <f>'数据-取费表'!B41</f>
        <v>5.6000000000000001E-2</v>
      </c>
      <c r="G32" s="1290"/>
      <c r="H32" s="2467"/>
      <c r="I32" s="1303"/>
      <c r="J32" s="1304"/>
      <c r="K32" s="120"/>
      <c r="L32" s="2468"/>
      <c r="M32" s="2469"/>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6" t="s">
        <v>3332</v>
      </c>
      <c r="E33" s="292" t="s">
        <v>712</v>
      </c>
      <c r="F33" s="312">
        <f>IF(D33="按票据","——",IF(D33="按租金收入计税",'数据-取费表'!B51,'数据-取费表'!B50))</f>
        <v>0.12</v>
      </c>
      <c r="G33" s="1290"/>
      <c r="H33" s="2470"/>
      <c r="I33" s="1303"/>
      <c r="J33" s="1304"/>
      <c r="K33" s="2471"/>
      <c r="L33" s="2470"/>
      <c r="M33" s="2470"/>
    </row>
    <row r="34" spans="1:18" ht="18" customHeight="1">
      <c r="A34" s="1004" t="s">
        <v>680</v>
      </c>
      <c r="B34" s="145" t="s">
        <v>730</v>
      </c>
      <c r="C34" s="22" t="str">
        <f>IF(项目基本情况!B11="自然人","——",ROUND(F34*F35,0))</f>
        <v>——</v>
      </c>
      <c r="D34" s="314" t="s">
        <v>731</v>
      </c>
      <c r="E34" s="292" t="s">
        <v>732</v>
      </c>
      <c r="F34" s="315">
        <f>'数据-取费表'!B52</f>
        <v>0</v>
      </c>
      <c r="G34" s="1290"/>
      <c r="H34" s="2467"/>
      <c r="I34" s="1303"/>
      <c r="J34" s="1304"/>
      <c r="K34" s="2472"/>
      <c r="L34" s="2473"/>
      <c r="M34" s="2473"/>
    </row>
    <row r="35" spans="1:18" ht="18" customHeight="1">
      <c r="A35" s="1038"/>
      <c r="B35" s="1036"/>
      <c r="C35" s="26"/>
      <c r="D35" s="317"/>
      <c r="E35" s="292" t="s">
        <v>736</v>
      </c>
      <c r="F35" s="293">
        <f ca="1">INDIRECT("'数据-取费表'!r"&amp;$G$1)</f>
        <v>0</v>
      </c>
      <c r="G35" s="1290"/>
      <c r="H35" s="2467"/>
      <c r="I35" s="1303"/>
      <c r="J35" s="1304"/>
      <c r="K35" s="2471"/>
      <c r="L35" s="2470"/>
      <c r="M35" s="2470"/>
    </row>
    <row r="36" spans="1:18" ht="18" customHeight="1">
      <c r="A36" s="1037" t="s">
        <v>402</v>
      </c>
      <c r="B36" s="292" t="s">
        <v>738</v>
      </c>
      <c r="C36" s="21">
        <f ca="1">ROUND(C29*F36,0)</f>
        <v>8565</v>
      </c>
      <c r="D36" s="1254" t="s">
        <v>771</v>
      </c>
      <c r="E36" s="292" t="s">
        <v>712</v>
      </c>
      <c r="F36" s="318">
        <f ca="1">INDIRECT("'数据-取费表'!Ak"&amp;$G$1)</f>
        <v>0.01</v>
      </c>
      <c r="G36" s="1290"/>
      <c r="H36" s="2470"/>
      <c r="I36" s="1303"/>
      <c r="J36" s="1304"/>
      <c r="K36" s="2327"/>
      <c r="L36" s="2470"/>
      <c r="M36" s="2470"/>
    </row>
    <row r="37" spans="1:18" ht="18" customHeight="1">
      <c r="A37" s="926" t="s">
        <v>437</v>
      </c>
      <c r="B37" s="292" t="s">
        <v>742</v>
      </c>
      <c r="C37" s="21">
        <f ca="1">ROUND(C13*F37,0)</f>
        <v>745</v>
      </c>
      <c r="D37" s="1254" t="s">
        <v>743</v>
      </c>
      <c r="E37" s="292" t="s">
        <v>744</v>
      </c>
      <c r="F37" s="319">
        <f ca="1">INDIRECT("'数据-取费表'!Al"&amp;$G$1)</f>
        <v>1E-3</v>
      </c>
      <c r="G37" s="1290"/>
      <c r="H37" s="2470"/>
      <c r="I37" s="1303"/>
      <c r="J37" s="1304"/>
      <c r="K37" s="2327"/>
      <c r="L37" s="2470"/>
      <c r="M37" s="2470"/>
    </row>
    <row r="38" spans="1:18" ht="18" customHeight="1" thickBot="1">
      <c r="A38" s="1024" t="s">
        <v>684</v>
      </c>
      <c r="B38" s="1025" t="s">
        <v>728</v>
      </c>
      <c r="C38" s="1026">
        <f ca="1">ROUND(C5*F38,0)</f>
        <v>1940</v>
      </c>
      <c r="D38" s="1027" t="s">
        <v>748</v>
      </c>
      <c r="E38" s="1025" t="s">
        <v>744</v>
      </c>
      <c r="F38" s="1021">
        <f ca="1">INDIRECT("'数据-取费表'!Am"&amp;$G$1)</f>
        <v>0.01</v>
      </c>
      <c r="G38" s="1290"/>
      <c r="H38" s="2470"/>
      <c r="I38" s="1303"/>
      <c r="J38" s="1304"/>
      <c r="K38" s="2468"/>
      <c r="L38" s="2470"/>
      <c r="M38" s="2470"/>
    </row>
    <row r="39" spans="1:18" ht="24.6" customHeight="1" thickTop="1">
      <c r="A39" s="1014" t="s">
        <v>394</v>
      </c>
      <c r="B39" s="1029" t="s">
        <v>772</v>
      </c>
      <c r="C39" s="300">
        <f ca="1">C5-C30</f>
        <v>178178</v>
      </c>
      <c r="D39" s="1030" t="s">
        <v>773</v>
      </c>
      <c r="E39" s="1031"/>
      <c r="F39" s="1032"/>
      <c r="G39" s="1290"/>
      <c r="H39" s="2470"/>
      <c r="I39" s="1303"/>
      <c r="J39" s="1304"/>
      <c r="K39" s="2468"/>
      <c r="L39" s="2470"/>
      <c r="M39" s="2470"/>
    </row>
    <row r="40" spans="1:18" ht="18" customHeight="1">
      <c r="A40" s="289" t="s">
        <v>395</v>
      </c>
      <c r="B40" s="290" t="s">
        <v>774</v>
      </c>
      <c r="C40" s="291">
        <f ca="1">ROUND(C39*(1-((1+F42)/(1+F40))^F41)/(F40-F42),0)</f>
        <v>5883717</v>
      </c>
      <c r="D40" s="314" t="s">
        <v>758</v>
      </c>
      <c r="E40" s="292" t="s">
        <v>759</v>
      </c>
      <c r="F40" s="302">
        <f ca="1">INDIRECT("'数据-取费表'!I"&amp;$G$1)</f>
        <v>0.04</v>
      </c>
      <c r="G40" s="1290"/>
      <c r="H40" s="1364"/>
      <c r="I40" s="1303"/>
      <c r="J40" s="1304"/>
      <c r="K40" s="2468"/>
      <c r="L40" s="1364"/>
      <c r="M40" s="1364"/>
    </row>
    <row r="41" spans="1:18" ht="18" customHeight="1">
      <c r="A41" s="294"/>
      <c r="B41" s="295"/>
      <c r="C41" s="296"/>
      <c r="D41" s="321" t="s">
        <v>775</v>
      </c>
      <c r="E41" s="292" t="s">
        <v>763</v>
      </c>
      <c r="F41" s="322">
        <f ca="1">IF(INDIRECT("'数据-取费表'!af"&amp;$G$1)=0,INDIRECT("'数据-取费表'!ae"&amp;$G$1),INDIRECT("'数据-取费表'!af"&amp;$G$1))</f>
        <v>47.07</v>
      </c>
      <c r="G41" s="1290"/>
      <c r="H41" s="120"/>
      <c r="I41" s="1303"/>
      <c r="J41" s="1304"/>
      <c r="K41" s="2327"/>
      <c r="L41" s="120"/>
      <c r="M41" s="120"/>
    </row>
    <row r="42" spans="1:18" ht="18" customHeight="1">
      <c r="A42" s="298"/>
      <c r="B42" s="299"/>
      <c r="C42" s="300"/>
      <c r="D42" s="317"/>
      <c r="E42" s="292" t="s">
        <v>766</v>
      </c>
      <c r="F42" s="302">
        <f ca="1">INDIRECT("'数据-取费表'!v"&amp;$G$1)</f>
        <v>2.5000000000000001E-2</v>
      </c>
      <c r="G42" s="1290"/>
      <c r="H42" s="120"/>
      <c r="I42" s="1303"/>
      <c r="J42" s="1304"/>
      <c r="K42" s="2327"/>
      <c r="L42" s="120"/>
      <c r="M42" s="120"/>
    </row>
    <row r="43" spans="1:18" ht="18" customHeight="1" thickBot="1">
      <c r="A43" s="323" t="s">
        <v>396</v>
      </c>
      <c r="B43" s="324" t="s">
        <v>776</v>
      </c>
      <c r="C43" s="325">
        <f ca="1">ROUND(C40/F43,0)</f>
        <v>41056</v>
      </c>
      <c r="D43" s="326" t="s">
        <v>777</v>
      </c>
      <c r="E43" s="327" t="s">
        <v>778</v>
      </c>
      <c r="F43" s="328">
        <f ca="1">INDIRECT("'数据-取费表'!k"&amp;$G$1)</f>
        <v>143.31</v>
      </c>
      <c r="G43" s="1290"/>
      <c r="H43" s="120"/>
      <c r="I43" s="120"/>
      <c r="J43" s="120"/>
      <c r="K43" s="2327"/>
      <c r="L43" s="120"/>
      <c r="M43" s="120"/>
    </row>
    <row r="44" spans="1:18" s="1290" customFormat="1" ht="18" customHeight="1">
      <c r="A44" s="1305"/>
      <c r="B44" s="1305"/>
      <c r="C44" s="1306"/>
      <c r="D44" s="1305"/>
      <c r="E44" s="1305"/>
      <c r="F44" s="1305"/>
      <c r="K44" s="1307"/>
    </row>
    <row r="45" spans="1:18" s="1290" customFormat="1" ht="18" customHeight="1" thickBot="1">
      <c r="A45" s="3126" t="s">
        <v>3348</v>
      </c>
      <c r="B45" s="1305"/>
      <c r="C45" s="1374">
        <f ca="1">ROUND((C68-C40)/10000,4)</f>
        <v>-607.97280000000001</v>
      </c>
      <c r="D45" s="3127" t="s">
        <v>3349</v>
      </c>
      <c r="E45" s="1305"/>
      <c r="F45" s="1305"/>
      <c r="O45" s="1308" t="s">
        <v>808</v>
      </c>
      <c r="P45" s="1364"/>
      <c r="Q45" s="1364"/>
      <c r="R45" s="1364"/>
    </row>
    <row r="46" spans="1:18" s="1290" customFormat="1" ht="13.5" thickBot="1">
      <c r="A46" s="1309" t="s">
        <v>809</v>
      </c>
      <c r="C46" s="1310">
        <f ca="1">ROUND(C45,0)</f>
        <v>-608</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70</v>
      </c>
      <c r="M47" s="1286" t="str">
        <f>IF(ISNUMBER(FIND("住宅",C1)),"住宅","非住宅")</f>
        <v>住宅</v>
      </c>
      <c r="O47" s="1323" t="s">
        <v>403</v>
      </c>
      <c r="P47" s="1324" t="s">
        <v>817</v>
      </c>
      <c r="Q47" s="1325">
        <f ca="1">C40+J29</f>
        <v>5883717</v>
      </c>
      <c r="R47" s="1325" t="s">
        <v>818</v>
      </c>
    </row>
    <row r="48" spans="1:18" s="1290" customFormat="1" ht="28.5" thickBot="1">
      <c r="A48" s="1045" t="s">
        <v>438</v>
      </c>
      <c r="B48" s="290" t="s">
        <v>692</v>
      </c>
      <c r="C48" s="1266">
        <f ca="1">C49+C53+C55</f>
        <v>0</v>
      </c>
      <c r="D48" s="1047"/>
      <c r="E48" s="1048"/>
      <c r="F48" s="906"/>
      <c r="G48" s="679"/>
      <c r="H48" s="680"/>
      <c r="I48" s="1326" t="s">
        <v>819</v>
      </c>
      <c r="J48" s="1327"/>
      <c r="K48" s="1328" t="s">
        <v>820</v>
      </c>
      <c r="L48" s="1329">
        <f ca="1">INDIRECT("'数据-取费表'!f"&amp;$G$1)</f>
        <v>47.07</v>
      </c>
      <c r="O48" s="1323" t="s">
        <v>404</v>
      </c>
      <c r="P48" s="1324" t="s">
        <v>821</v>
      </c>
      <c r="Q48" s="1325" t="str">
        <f ca="1">J60</f>
        <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856531</v>
      </c>
      <c r="R49" s="1325" t="s">
        <v>818</v>
      </c>
    </row>
    <row r="50" spans="1:18" s="1290" customFormat="1" ht="13.5" thickBot="1">
      <c r="A50" s="920"/>
      <c r="B50" s="923"/>
      <c r="C50" s="924"/>
      <c r="D50" s="897"/>
      <c r="E50" s="991" t="s">
        <v>697</v>
      </c>
      <c r="F50" s="992">
        <f ca="1">F7</f>
        <v>1</v>
      </c>
      <c r="H50" s="680"/>
      <c r="I50" s="1326" t="s">
        <v>826</v>
      </c>
      <c r="J50" s="1333">
        <f>SUMPRODUCT((I63:I65=J47)*(J62:L62=J48)*(J63:L65))</f>
        <v>0</v>
      </c>
      <c r="K50" s="1328" t="s">
        <v>827</v>
      </c>
      <c r="L50" s="1331"/>
      <c r="M50" s="1334"/>
      <c r="O50" s="1332" t="s">
        <v>406</v>
      </c>
      <c r="P50" s="1324" t="s">
        <v>828</v>
      </c>
      <c r="Q50" s="1335" t="e">
        <f ca="1">J58</f>
        <v>#VALUE!</v>
      </c>
      <c r="R50" s="1325"/>
    </row>
    <row r="51" spans="1:18" s="1290" customFormat="1" ht="13.5" thickBot="1">
      <c r="A51" s="921"/>
      <c r="B51" s="923"/>
      <c r="C51" s="924"/>
      <c r="D51" s="897"/>
      <c r="E51" s="925" t="s">
        <v>698</v>
      </c>
      <c r="F51" s="293">
        <f ca="1">F8</f>
        <v>12</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47.07</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3">
        <f ca="1">IF(M47="住宅",IF(D1="——",MAX(J51,L48),MAX(J51,L48-'数据-取费表'!B24)),IF(D1="——",MIN(J51,L48),MIN(J51,L48-'数据-取费表'!B24)))</f>
        <v>47.07</v>
      </c>
      <c r="K53" s="3356" t="s">
        <v>837</v>
      </c>
      <c r="L53" s="3357"/>
      <c r="O53" s="1323" t="s">
        <v>409</v>
      </c>
      <c r="P53" s="1324" t="s">
        <v>838</v>
      </c>
      <c r="Q53" s="1325">
        <f ca="1">Q47+Q48</f>
        <v>5883717</v>
      </c>
      <c r="R53" s="1325" t="s">
        <v>410</v>
      </c>
    </row>
    <row r="54" spans="1:18" s="1290" customFormat="1" ht="13.5" thickBot="1">
      <c r="A54" s="919"/>
      <c r="B54" s="1375" t="s">
        <v>891</v>
      </c>
      <c r="C54" s="903"/>
      <c r="D54" s="148"/>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745182</v>
      </c>
      <c r="D56" s="1350"/>
      <c r="E56" s="1351"/>
      <c r="F56" s="1343"/>
      <c r="I56" s="1352" t="s">
        <v>842</v>
      </c>
      <c r="J56" s="1353"/>
      <c r="K56" s="1326" t="s">
        <v>843</v>
      </c>
      <c r="L56" s="1329">
        <f ca="1">IF(L48&lt;J51,"——",L48-J51)</f>
        <v>47.07</v>
      </c>
      <c r="O56" s="1323" t="s">
        <v>403</v>
      </c>
      <c r="P56" s="1324" t="s">
        <v>817</v>
      </c>
      <c r="Q56" s="1325">
        <f ca="1">C40+J29</f>
        <v>5883717</v>
      </c>
      <c r="R56" s="1325" t="s">
        <v>818</v>
      </c>
    </row>
    <row r="57" spans="1:18" s="1290" customFormat="1" ht="24.75" thickBot="1">
      <c r="A57" s="1354"/>
      <c r="B57" s="894" t="s">
        <v>767</v>
      </c>
      <c r="C57" s="228">
        <f ca="1">C29</f>
        <v>856531</v>
      </c>
      <c r="D57" s="1355"/>
      <c r="E57" s="1356"/>
      <c r="F57" s="1357"/>
      <c r="I57" s="1358" t="s">
        <v>844</v>
      </c>
      <c r="J57" s="1359" t="str">
        <f ca="1">IF(OR(M47="住宅",J51&lt;L48,J56="是"),"——",J51-L48)</f>
        <v>——</v>
      </c>
      <c r="K57" s="1326" t="s">
        <v>892</v>
      </c>
      <c r="L57" s="1329">
        <f ca="1">IF(L48&lt;J51,"——",IF(L55="比较法",L49,IF(L55="基准地价",L50,L51)))</f>
        <v>0</v>
      </c>
      <c r="O57" s="1323" t="s">
        <v>404</v>
      </c>
      <c r="P57" s="1324" t="s">
        <v>893</v>
      </c>
      <c r="Q57" s="1325">
        <f ca="1">L60</f>
        <v>0</v>
      </c>
      <c r="R57" s="1325" t="s">
        <v>894</v>
      </c>
    </row>
    <row r="58" spans="1:18" s="1290" customFormat="1" ht="24.75" thickBot="1">
      <c r="A58" s="305" t="s">
        <v>393</v>
      </c>
      <c r="B58" s="902" t="s">
        <v>714</v>
      </c>
      <c r="C58" s="306">
        <f ca="1">ROUND(C59+C64+C65+C66,0)</f>
        <v>9310</v>
      </c>
      <c r="D58" s="904" t="s">
        <v>715</v>
      </c>
      <c r="E58" s="905"/>
      <c r="F58" s="906"/>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7">
        <f ca="1">ROUND(IF(AND(项目基本情况!B11="自然人",项目基本情况!B10="北京市"),C49*F59/(1+'数据-取费表'!C42),C60+C61+C62),0)</f>
        <v>0</v>
      </c>
      <c r="D59" s="907" t="s">
        <v>720</v>
      </c>
      <c r="E59" s="908"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t="str">
        <f>IF(项目基本情况!B11="自然人","——",ROUND(C48*F60/(1+'数据-取费表'!C42),0))</f>
        <v>——</v>
      </c>
      <c r="D60" s="908" t="s">
        <v>724</v>
      </c>
      <c r="E60" s="894" t="s">
        <v>712</v>
      </c>
      <c r="F60" s="320">
        <f t="shared" ref="F60:F66" si="0">F32</f>
        <v>5.6000000000000001E-2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t="str">
        <f ca="1">IF(项目基本情况!B11="自然人","——",IF(D61="按租金收入计税",ROUND(C49*F61/(1+'数据-取费表'!C42),0),IF(D61="按房产原值计税",ROUND(C57*F61*0.7,0),INDIRECT("'数据-取费表'!Aj"&amp;$G$1))))</f>
        <v>——</v>
      </c>
      <c r="D61" s="1276" t="s">
        <v>3332</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t="str">
        <f>IF(项目基本情况!B11="自然人","——",ROUND(F62*F63,0))</f>
        <v>——</v>
      </c>
      <c r="D62" s="909" t="s">
        <v>786</v>
      </c>
      <c r="E62" s="894" t="s">
        <v>787</v>
      </c>
      <c r="F62" s="315">
        <f t="shared" si="0"/>
        <v>0</v>
      </c>
      <c r="I62" s="1365" t="s">
        <v>858</v>
      </c>
      <c r="J62" s="608" t="s">
        <v>859</v>
      </c>
      <c r="K62" s="608" t="s">
        <v>860</v>
      </c>
      <c r="L62" s="608" t="s">
        <v>861</v>
      </c>
      <c r="M62" s="1366" t="s">
        <v>862</v>
      </c>
      <c r="O62" s="1323" t="s">
        <v>409</v>
      </c>
      <c r="P62" s="1324" t="s">
        <v>863</v>
      </c>
      <c r="Q62" s="1325">
        <f ca="1">Q56+Q57</f>
        <v>5883717</v>
      </c>
      <c r="R62" s="1325" t="s">
        <v>410</v>
      </c>
    </row>
    <row r="63" spans="1:18" s="1290" customFormat="1" ht="13.5"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8565</v>
      </c>
      <c r="D64" s="908" t="s">
        <v>791</v>
      </c>
      <c r="E64" s="894" t="s">
        <v>783</v>
      </c>
      <c r="F64" s="318">
        <f t="shared" ca="1" si="0"/>
        <v>0.01</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745</v>
      </c>
      <c r="D65" s="908" t="s">
        <v>743</v>
      </c>
      <c r="E65" s="894" t="s">
        <v>744</v>
      </c>
      <c r="F65" s="319">
        <f t="shared" ca="1" si="0"/>
        <v>1E-3</v>
      </c>
      <c r="I65" s="1365" t="s">
        <v>867</v>
      </c>
      <c r="J65" s="608">
        <v>40</v>
      </c>
      <c r="K65" s="608">
        <v>30</v>
      </c>
      <c r="L65" s="608">
        <v>50</v>
      </c>
      <c r="M65" s="1367">
        <v>0.02</v>
      </c>
      <c r="O65" s="1323" t="s">
        <v>403</v>
      </c>
      <c r="P65" s="1324" t="s">
        <v>868</v>
      </c>
      <c r="Q65" s="1325">
        <f ca="1">C40+J29</f>
        <v>5883717</v>
      </c>
      <c r="R65" s="1325" t="s">
        <v>818</v>
      </c>
    </row>
    <row r="66" spans="1:18" s="1290" customFormat="1" ht="16.5" thickBot="1">
      <c r="A66" s="926" t="s">
        <v>793</v>
      </c>
      <c r="B66" s="894" t="s">
        <v>728</v>
      </c>
      <c r="C66" s="21">
        <f ca="1">ROUND(C48*F66,0)</f>
        <v>0</v>
      </c>
      <c r="D66" s="908" t="s">
        <v>794</v>
      </c>
      <c r="E66" s="894" t="s">
        <v>712</v>
      </c>
      <c r="F66" s="302">
        <f t="shared" ca="1" si="0"/>
        <v>0.01</v>
      </c>
      <c r="O66" s="1323" t="s">
        <v>404</v>
      </c>
      <c r="P66" s="1324" t="s">
        <v>846</v>
      </c>
      <c r="Q66" s="1325">
        <f ca="1">L60</f>
        <v>0</v>
      </c>
      <c r="R66" s="1325" t="s">
        <v>869</v>
      </c>
    </row>
    <row r="67" spans="1:18" s="1290" customFormat="1" ht="16.5" thickBot="1">
      <c r="A67" s="901" t="s">
        <v>394</v>
      </c>
      <c r="B67" s="911" t="s">
        <v>752</v>
      </c>
      <c r="C67" s="306">
        <f ca="1">C48-C58</f>
        <v>-9310</v>
      </c>
      <c r="D67" s="907" t="s">
        <v>753</v>
      </c>
      <c r="E67" s="912"/>
      <c r="F67" s="913"/>
      <c r="O67" s="1332" t="s">
        <v>405</v>
      </c>
      <c r="P67" s="1324" t="s">
        <v>850</v>
      </c>
      <c r="Q67" s="1368">
        <f ca="1">L51</f>
        <v>0</v>
      </c>
      <c r="R67" s="1325" t="s">
        <v>870</v>
      </c>
    </row>
    <row r="68" spans="1:18" s="1290" customFormat="1" ht="16.5" thickBot="1">
      <c r="A68" s="891" t="s">
        <v>395</v>
      </c>
      <c r="B68" s="892" t="s">
        <v>774</v>
      </c>
      <c r="C68" s="291">
        <f ca="1">ROUND(C67*(1-((1+F70)/(1+F68))^F69)/(F68-F70),0)</f>
        <v>-196011</v>
      </c>
      <c r="D68" s="909" t="s">
        <v>758</v>
      </c>
      <c r="E68" s="894" t="s">
        <v>759</v>
      </c>
      <c r="F68" s="302">
        <f ca="1">F40</f>
        <v>0.04</v>
      </c>
      <c r="O68" s="1332" t="s">
        <v>406</v>
      </c>
      <c r="P68" s="1369" t="s">
        <v>871</v>
      </c>
      <c r="Q68" s="1325">
        <f ca="1">ROUND(Q69-Q70*Q71,0)</f>
        <v>140919</v>
      </c>
      <c r="R68" s="1325" t="s">
        <v>414</v>
      </c>
    </row>
    <row r="69" spans="1:18" s="1290" customFormat="1" ht="13.5" thickBot="1">
      <c r="A69" s="895"/>
      <c r="B69" s="896"/>
      <c r="C69" s="296"/>
      <c r="D69" s="914" t="s">
        <v>762</v>
      </c>
      <c r="E69" s="894" t="s">
        <v>763</v>
      </c>
      <c r="F69" s="322">
        <f ca="1">F41</f>
        <v>47.07</v>
      </c>
      <c r="O69" s="1332" t="s">
        <v>411</v>
      </c>
      <c r="P69" s="1369" t="s">
        <v>872</v>
      </c>
      <c r="Q69" s="1325">
        <f ca="1">C39</f>
        <v>178178</v>
      </c>
      <c r="R69" s="1325" t="s">
        <v>818</v>
      </c>
    </row>
    <row r="70" spans="1:18" s="1290" customFormat="1" ht="13.5" thickBot="1">
      <c r="A70" s="898"/>
      <c r="B70" s="899"/>
      <c r="C70" s="300"/>
      <c r="D70" s="910"/>
      <c r="E70" s="894" t="s">
        <v>766</v>
      </c>
      <c r="F70" s="989"/>
      <c r="O70" s="1332" t="s">
        <v>412</v>
      </c>
      <c r="P70" s="1369" t="s">
        <v>873</v>
      </c>
      <c r="Q70" s="1325">
        <f ca="1">C13</f>
        <v>745182</v>
      </c>
      <c r="R70" s="1325" t="s">
        <v>818</v>
      </c>
    </row>
    <row r="71" spans="1:18" s="1290" customFormat="1" ht="13.5" thickBot="1">
      <c r="A71" s="915" t="s">
        <v>396</v>
      </c>
      <c r="B71" s="916" t="s">
        <v>776</v>
      </c>
      <c r="C71" s="325">
        <f ca="1">ROUND(C68/F71,0)</f>
        <v>-1368</v>
      </c>
      <c r="D71" s="917" t="s">
        <v>777</v>
      </c>
      <c r="E71" s="918" t="s">
        <v>778</v>
      </c>
      <c r="F71" s="328">
        <f ca="1">F43</f>
        <v>143.31</v>
      </c>
      <c r="O71" s="1332" t="s">
        <v>413</v>
      </c>
      <c r="P71" s="1369" t="s">
        <v>874</v>
      </c>
      <c r="Q71" s="1335">
        <f ca="1">C76</f>
        <v>0.05</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37259</v>
      </c>
      <c r="D75" s="1290"/>
      <c r="E75" s="1290"/>
      <c r="F75" s="1290"/>
      <c r="K75" s="1307"/>
      <c r="L75" s="1290"/>
      <c r="O75" s="1323" t="s">
        <v>409</v>
      </c>
      <c r="P75" s="1324" t="s">
        <v>838</v>
      </c>
      <c r="Q75" s="1325">
        <f ca="1">Q65+Q66</f>
        <v>5883717</v>
      </c>
      <c r="R75" s="1325" t="s">
        <v>410</v>
      </c>
    </row>
    <row r="76" spans="1:18">
      <c r="B76" s="331" t="s">
        <v>796</v>
      </c>
      <c r="C76" s="332">
        <f ca="1">INDIRECT("'数据-取费表'!j"&amp;$G$1)</f>
        <v>0.05</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0.79100000000000004</v>
      </c>
    </row>
    <row r="80" spans="1:18">
      <c r="B80" s="329" t="s">
        <v>800</v>
      </c>
      <c r="C80" s="264">
        <f ca="1">ROUND(C75/C39,3)</f>
        <v>0.20899999999999999</v>
      </c>
    </row>
    <row r="81" spans="2:3">
      <c r="B81" s="260" t="s">
        <v>801</v>
      </c>
      <c r="C81" s="228"/>
    </row>
    <row r="82" spans="2:3">
      <c r="B82" s="263" t="s">
        <v>802</v>
      </c>
      <c r="C82" s="265">
        <f ca="1">1-C83</f>
        <v>0.873</v>
      </c>
    </row>
    <row r="83" spans="2:3">
      <c r="B83" s="263" t="s">
        <v>803</v>
      </c>
      <c r="C83" s="264">
        <f ca="1">ROUND(C13/C40,3)</f>
        <v>0.127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2431</v>
      </c>
      <c r="B1" s="2580"/>
      <c r="C1" s="2592"/>
      <c r="D1" s="2592"/>
      <c r="E1" s="2581"/>
      <c r="F1" s="2582"/>
      <c r="G1" s="2583"/>
      <c r="J1" s="2586" t="s">
        <v>2310</v>
      </c>
      <c r="K1" s="2587"/>
      <c r="L1" s="2587"/>
      <c r="M1" s="2587"/>
      <c r="N1" s="2587"/>
      <c r="O1" s="2587"/>
      <c r="P1" s="2587"/>
      <c r="Q1" s="2587"/>
      <c r="R1" s="2588"/>
      <c r="S1" s="2589"/>
      <c r="T1" s="2589"/>
      <c r="U1" s="2589"/>
    </row>
    <row r="2" spans="1:22" s="2601" customFormat="1" ht="13.15" customHeight="1">
      <c r="A2" s="1291" t="s">
        <v>2311</v>
      </c>
      <c r="B2" s="2591" t="e">
        <f>IF(D2="——",C40,C40+E2)</f>
        <v>#DIV/0!</v>
      </c>
      <c r="C2" s="2592" t="s">
        <v>2312</v>
      </c>
      <c r="D2" s="3135" t="s">
        <v>3355</v>
      </c>
      <c r="E2" s="3136"/>
      <c r="F2" s="2594"/>
      <c r="G2" s="2595"/>
      <c r="H2" s="2596"/>
      <c r="I2" s="2597"/>
      <c r="J2" s="3406" t="s">
        <v>2313</v>
      </c>
      <c r="K2" s="3407"/>
      <c r="L2" s="2598" t="s">
        <v>2314</v>
      </c>
      <c r="M2" s="2598" t="s">
        <v>2315</v>
      </c>
      <c r="N2" s="2598" t="s">
        <v>2316</v>
      </c>
      <c r="O2" s="2598" t="s">
        <v>2317</v>
      </c>
      <c r="P2" s="2598" t="s">
        <v>2318</v>
      </c>
      <c r="Q2" s="2599" t="s">
        <v>2319</v>
      </c>
      <c r="R2" s="2600" t="s">
        <v>2320</v>
      </c>
      <c r="S2" s="2589"/>
      <c r="T2" s="2589"/>
      <c r="U2" s="2589"/>
      <c r="V2" s="2597"/>
    </row>
    <row r="3" spans="1:22" s="2601" customFormat="1" ht="13.15" customHeight="1">
      <c r="A3" s="2602" t="s">
        <v>2321</v>
      </c>
      <c r="B3" s="2603" t="e">
        <f>ROUND(B2*10000/B4,0)</f>
        <v>#DIV/0!</v>
      </c>
      <c r="C3" s="2592" t="s">
        <v>2322</v>
      </c>
      <c r="D3" s="2592"/>
      <c r="E3" s="2593"/>
      <c r="F3" s="2594"/>
      <c r="G3" s="2595"/>
      <c r="H3" s="2596"/>
      <c r="I3" s="2597"/>
      <c r="J3" s="3408" t="s">
        <v>2323</v>
      </c>
      <c r="K3" s="3409"/>
      <c r="L3" s="2604"/>
      <c r="M3" s="2604"/>
      <c r="N3" s="2604"/>
      <c r="O3" s="2604"/>
      <c r="P3" s="2604"/>
      <c r="Q3" s="2605"/>
      <c r="R3" s="2606">
        <f>SUM(L3:Q3)</f>
        <v>0</v>
      </c>
      <c r="S3" s="2589"/>
      <c r="T3" s="2589"/>
      <c r="U3" s="2589"/>
      <c r="V3" s="2597"/>
    </row>
    <row r="4" spans="1:22" s="2601" customFormat="1" ht="13.15" customHeight="1">
      <c r="A4" s="2607" t="s">
        <v>2324</v>
      </c>
      <c r="B4" s="2608"/>
      <c r="C4" s="2592"/>
      <c r="D4" s="2592"/>
      <c r="E4" s="2593"/>
      <c r="F4" s="2594"/>
      <c r="G4" s="2595"/>
      <c r="H4" s="2596"/>
      <c r="I4" s="2597"/>
      <c r="J4" s="3408" t="s">
        <v>2325</v>
      </c>
      <c r="K4" s="3409"/>
      <c r="L4" s="2609"/>
      <c r="M4" s="2609"/>
      <c r="N4" s="2609"/>
      <c r="O4" s="2609"/>
      <c r="P4" s="2609"/>
      <c r="Q4" s="2610"/>
      <c r="R4" s="2611">
        <f>SUM(L4:Q4)</f>
        <v>0</v>
      </c>
      <c r="S4" s="2589"/>
      <c r="T4" s="2589"/>
      <c r="U4" s="2589"/>
      <c r="V4" s="2597"/>
    </row>
    <row r="5" spans="1:22" s="2601" customFormat="1" ht="13.15" customHeight="1" thickBot="1">
      <c r="A5" s="2612" t="s">
        <v>2326</v>
      </c>
      <c r="B5" s="2613"/>
      <c r="C5" s="2592"/>
      <c r="D5" s="2614"/>
      <c r="E5" s="2594"/>
      <c r="F5" s="2594"/>
      <c r="G5" s="2595"/>
      <c r="H5" s="2596"/>
      <c r="I5" s="2597"/>
      <c r="J5" s="2615" t="s">
        <v>2327</v>
      </c>
      <c r="K5" s="2616"/>
      <c r="L5" s="2616"/>
      <c r="M5" s="2617"/>
      <c r="N5" s="2617"/>
      <c r="O5" s="2617"/>
      <c r="P5" s="2617"/>
      <c r="Q5" s="2617"/>
      <c r="R5" s="2600">
        <f>SUM(R14,R19,R24,R25,R27,R28)</f>
        <v>0</v>
      </c>
      <c r="S5" s="2589"/>
      <c r="T5" s="2589" t="s">
        <v>2328</v>
      </c>
      <c r="U5" s="2589" t="e">
        <f>ROUND(R5*10000/365/R3,1)</f>
        <v>#DIV/0!</v>
      </c>
      <c r="V5" s="2597"/>
    </row>
    <row r="6" spans="1:22" s="2601" customFormat="1" ht="13.15" customHeight="1" thickBot="1">
      <c r="A6" s="3410" t="s">
        <v>2329</v>
      </c>
      <c r="B6" s="3411"/>
      <c r="C6" s="3412"/>
      <c r="D6" s="2618"/>
      <c r="E6" s="2619"/>
      <c r="F6" s="2620"/>
      <c r="G6" s="2621"/>
      <c r="H6" s="2596"/>
      <c r="I6" s="2597"/>
      <c r="J6" s="3413">
        <v>1</v>
      </c>
      <c r="K6" s="3414" t="s">
        <v>2330</v>
      </c>
      <c r="L6" s="2622" t="s">
        <v>2331</v>
      </c>
      <c r="M6" s="2623" t="s">
        <v>2332</v>
      </c>
      <c r="N6" s="2623" t="s">
        <v>2333</v>
      </c>
      <c r="O6" s="2623" t="s">
        <v>2334</v>
      </c>
      <c r="P6" s="2623" t="s">
        <v>2335</v>
      </c>
      <c r="Q6" s="2623" t="s">
        <v>2336</v>
      </c>
      <c r="R6" s="2606" t="s">
        <v>2337</v>
      </c>
      <c r="S6" s="2589"/>
      <c r="T6" s="2589" t="s">
        <v>2338</v>
      </c>
      <c r="U6" s="2589"/>
      <c r="V6" s="2597"/>
    </row>
    <row r="7" spans="1:22" s="2601" customFormat="1" ht="13.15" customHeight="1">
      <c r="A7" s="2624" t="s">
        <v>2339</v>
      </c>
      <c r="B7" s="2625"/>
      <c r="C7" s="2626"/>
      <c r="D7" s="2627">
        <f>SUM(D9,D10,D11,D17,0)</f>
        <v>0</v>
      </c>
      <c r="E7" s="2628" t="e">
        <f>E9+E10+E11+E17</f>
        <v>#DIV/0!</v>
      </c>
      <c r="F7" s="2629"/>
      <c r="G7" s="2630"/>
      <c r="H7" s="2596"/>
      <c r="I7" s="2597"/>
      <c r="J7" s="3413"/>
      <c r="K7" s="3415"/>
      <c r="L7" s="2631" t="s">
        <v>2340</v>
      </c>
      <c r="M7" s="2632"/>
      <c r="N7" s="2608"/>
      <c r="O7" s="2633"/>
      <c r="P7" s="2633"/>
      <c r="Q7" s="2634">
        <v>365</v>
      </c>
      <c r="R7" s="2635">
        <f>ROUND(M7*N7*O7*P7*Q7/10000,0)</f>
        <v>0</v>
      </c>
      <c r="S7" s="2589"/>
      <c r="T7" s="2589" t="s">
        <v>2341</v>
      </c>
      <c r="U7" s="2589"/>
      <c r="V7" s="2597"/>
    </row>
    <row r="8" spans="1:22" s="2601" customFormat="1" ht="13.15" customHeight="1">
      <c r="A8" s="2636" t="s">
        <v>2342</v>
      </c>
      <c r="B8" s="3417" t="s">
        <v>2343</v>
      </c>
      <c r="C8" s="3418"/>
      <c r="D8" s="2637" t="s">
        <v>2344</v>
      </c>
      <c r="E8" s="2638" t="s">
        <v>2345</v>
      </c>
      <c r="F8" s="2639" t="s">
        <v>2346</v>
      </c>
      <c r="G8" s="2640"/>
      <c r="H8" s="2596"/>
      <c r="I8" s="2597"/>
      <c r="J8" s="3413"/>
      <c r="K8" s="3415"/>
      <c r="L8" s="2631" t="s">
        <v>2347</v>
      </c>
      <c r="M8" s="2632"/>
      <c r="N8" s="2608"/>
      <c r="O8" s="2633"/>
      <c r="P8" s="2633"/>
      <c r="Q8" s="2634">
        <v>365</v>
      </c>
      <c r="R8" s="2635">
        <f t="shared" ref="R8:R13" si="0">ROUND(M8*N8*O8*P8*Q8/10000,0)</f>
        <v>0</v>
      </c>
      <c r="S8" s="2589"/>
      <c r="T8" s="2589" t="s">
        <v>2348</v>
      </c>
      <c r="U8" s="2589"/>
      <c r="V8" s="2597"/>
    </row>
    <row r="9" spans="1:22" s="2601" customFormat="1" ht="13.15" customHeight="1">
      <c r="A9" s="2636">
        <v>1</v>
      </c>
      <c r="B9" s="3417" t="s">
        <v>2349</v>
      </c>
      <c r="C9" s="3418"/>
      <c r="D9" s="2637">
        <f>ROUND(D6*E9,0)</f>
        <v>0</v>
      </c>
      <c r="E9" s="2641"/>
      <c r="F9" s="2642" t="s">
        <v>2350</v>
      </c>
      <c r="G9" s="2621"/>
      <c r="H9" s="2596"/>
      <c r="I9" s="2597"/>
      <c r="J9" s="3413"/>
      <c r="K9" s="3415"/>
      <c r="L9" s="2631" t="s">
        <v>2351</v>
      </c>
      <c r="M9" s="2632"/>
      <c r="N9" s="2608"/>
      <c r="O9" s="2633"/>
      <c r="P9" s="2633"/>
      <c r="Q9" s="2634">
        <v>365</v>
      </c>
      <c r="R9" s="2635">
        <f t="shared" si="0"/>
        <v>0</v>
      </c>
      <c r="S9" s="2589"/>
      <c r="T9" s="2589"/>
      <c r="U9" s="2589"/>
      <c r="V9" s="2597"/>
    </row>
    <row r="10" spans="1:22" s="2601" customFormat="1" ht="13.15" customHeight="1">
      <c r="A10" s="2636">
        <v>2</v>
      </c>
      <c r="B10" s="3417" t="s">
        <v>2352</v>
      </c>
      <c r="C10" s="3418"/>
      <c r="D10" s="2637">
        <f>ROUND(D6*E10,0)</f>
        <v>0</v>
      </c>
      <c r="E10" s="2641"/>
      <c r="F10" s="2642" t="s">
        <v>2353</v>
      </c>
      <c r="G10" s="2621"/>
      <c r="H10" s="2596"/>
      <c r="I10" s="2597"/>
      <c r="J10" s="3413"/>
      <c r="K10" s="3415"/>
      <c r="L10" s="2631" t="s">
        <v>2354</v>
      </c>
      <c r="M10" s="2632"/>
      <c r="N10" s="2608"/>
      <c r="O10" s="2633"/>
      <c r="P10" s="2633"/>
      <c r="Q10" s="2634">
        <v>365</v>
      </c>
      <c r="R10" s="2635">
        <f t="shared" si="0"/>
        <v>0</v>
      </c>
      <c r="S10" s="2589"/>
      <c r="T10" s="2589"/>
      <c r="U10" s="2589"/>
      <c r="V10" s="2597"/>
    </row>
    <row r="11" spans="1:22" s="2601" customFormat="1" ht="13.15" customHeight="1">
      <c r="A11" s="2636">
        <v>3</v>
      </c>
      <c r="B11" s="3417" t="s">
        <v>2355</v>
      </c>
      <c r="C11" s="3418"/>
      <c r="D11" s="2637">
        <f>D12+D14+D15+D16</f>
        <v>0</v>
      </c>
      <c r="E11" s="2643" t="e">
        <f>D11/D6</f>
        <v>#DIV/0!</v>
      </c>
      <c r="F11" s="2639"/>
      <c r="G11" s="2640"/>
      <c r="H11" s="2596"/>
      <c r="I11" s="2597"/>
      <c r="J11" s="3413"/>
      <c r="K11" s="3415"/>
      <c r="L11" s="2631" t="s">
        <v>2356</v>
      </c>
      <c r="M11" s="2632"/>
      <c r="N11" s="2608"/>
      <c r="O11" s="2633"/>
      <c r="P11" s="2633"/>
      <c r="Q11" s="2634">
        <v>365</v>
      </c>
      <c r="R11" s="2635">
        <f t="shared" si="0"/>
        <v>0</v>
      </c>
      <c r="S11" s="2589"/>
      <c r="T11" s="2589"/>
      <c r="U11" s="2589"/>
      <c r="V11" s="2597"/>
    </row>
    <row r="12" spans="1:22" s="2601" customFormat="1" ht="13.15" customHeight="1">
      <c r="A12" s="2644" t="s">
        <v>2357</v>
      </c>
      <c r="B12" s="3419" t="s">
        <v>2358</v>
      </c>
      <c r="C12" s="3420"/>
      <c r="D12" s="2645">
        <f>ROUND(D13*1.2%*(1-30%),0)</f>
        <v>0</v>
      </c>
      <c r="E12" s="2646">
        <v>1.2E-2</v>
      </c>
      <c r="F12" s="2639" t="s">
        <v>2359</v>
      </c>
      <c r="G12" s="2640"/>
      <c r="H12" s="2596"/>
      <c r="I12" s="2597"/>
      <c r="J12" s="3413"/>
      <c r="K12" s="3415"/>
      <c r="L12" s="2631" t="s">
        <v>2360</v>
      </c>
      <c r="M12" s="2632"/>
      <c r="N12" s="2608"/>
      <c r="O12" s="2633"/>
      <c r="P12" s="2633"/>
      <c r="Q12" s="2634">
        <v>365</v>
      </c>
      <c r="R12" s="2635">
        <f t="shared" si="0"/>
        <v>0</v>
      </c>
      <c r="S12" s="2589"/>
      <c r="T12" s="2589"/>
      <c r="U12" s="2589"/>
      <c r="V12" s="2597"/>
    </row>
    <row r="13" spans="1:22" s="2601" customFormat="1" ht="13.15" customHeight="1">
      <c r="A13" s="2644"/>
      <c r="B13" s="2647"/>
      <c r="C13" s="2648" t="s">
        <v>2361</v>
      </c>
      <c r="D13" s="2649"/>
      <c r="E13" s="2650"/>
      <c r="F13" s="2639"/>
      <c r="G13" s="2640"/>
      <c r="H13" s="2596"/>
      <c r="I13" s="2597"/>
      <c r="J13" s="3413"/>
      <c r="K13" s="3415"/>
      <c r="L13" s="2631" t="s">
        <v>2362</v>
      </c>
      <c r="M13" s="2632"/>
      <c r="N13" s="2608"/>
      <c r="O13" s="2633"/>
      <c r="P13" s="2633"/>
      <c r="Q13" s="2634">
        <v>365</v>
      </c>
      <c r="R13" s="2635">
        <f t="shared" si="0"/>
        <v>0</v>
      </c>
      <c r="S13" s="2589"/>
      <c r="T13" s="2589"/>
      <c r="U13" s="2589"/>
      <c r="V13" s="2597"/>
    </row>
    <row r="14" spans="1:22" s="2601" customFormat="1" ht="13.15" customHeight="1">
      <c r="A14" s="2644" t="s">
        <v>2363</v>
      </c>
      <c r="B14" s="3419" t="s">
        <v>2364</v>
      </c>
      <c r="C14" s="3420"/>
      <c r="D14" s="2645">
        <f>ROUND(E14*B5/10000,0)</f>
        <v>0</v>
      </c>
      <c r="E14" s="2634"/>
      <c r="F14" s="2639" t="s">
        <v>2365</v>
      </c>
      <c r="G14" s="2640"/>
      <c r="H14" s="2596"/>
      <c r="I14" s="2597"/>
      <c r="J14" s="3413"/>
      <c r="K14" s="3416"/>
      <c r="L14" s="2651" t="s">
        <v>2366</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2367</v>
      </c>
      <c r="B15" s="3419" t="s">
        <v>2368</v>
      </c>
      <c r="C15" s="3420"/>
      <c r="D15" s="2645">
        <f>ROUND(D6*E15,0)</f>
        <v>0</v>
      </c>
      <c r="E15" s="2646">
        <v>5.5E-2</v>
      </c>
      <c r="F15" s="2639" t="s">
        <v>2369</v>
      </c>
      <c r="G15" s="2621"/>
      <c r="H15" s="2596"/>
      <c r="I15" s="2597"/>
      <c r="J15" s="3413">
        <v>2</v>
      </c>
      <c r="K15" s="3414" t="s">
        <v>2370</v>
      </c>
      <c r="L15" s="2631" t="s">
        <v>2371</v>
      </c>
      <c r="M15" s="2632" t="s">
        <v>2372</v>
      </c>
      <c r="N15" s="2632" t="s">
        <v>2373</v>
      </c>
      <c r="O15" s="2633" t="s">
        <v>2374</v>
      </c>
      <c r="P15" s="2633" t="s">
        <v>2336</v>
      </c>
      <c r="Q15" s="2608" t="s">
        <v>2375</v>
      </c>
      <c r="R15" s="2655" t="s">
        <v>2337</v>
      </c>
      <c r="S15" s="2589"/>
      <c r="T15" s="2589"/>
      <c r="U15" s="2589"/>
      <c r="V15" s="2597"/>
    </row>
    <row r="16" spans="1:22" s="2601" customFormat="1" ht="13.15" customHeight="1">
      <c r="A16" s="2644" t="s">
        <v>2376</v>
      </c>
      <c r="B16" s="3419" t="s">
        <v>2377</v>
      </c>
      <c r="C16" s="3420"/>
      <c r="D16" s="2656">
        <f>D6*E16</f>
        <v>0</v>
      </c>
      <c r="E16" s="2657"/>
      <c r="F16" s="2642" t="s">
        <v>2378</v>
      </c>
      <c r="G16" s="2621"/>
      <c r="H16" s="2596"/>
      <c r="I16" s="2597"/>
      <c r="J16" s="3413"/>
      <c r="K16" s="3415"/>
      <c r="L16" s="2631" t="s">
        <v>2379</v>
      </c>
      <c r="M16" s="2632"/>
      <c r="N16" s="2632"/>
      <c r="O16" s="2633"/>
      <c r="P16" s="2634">
        <v>365</v>
      </c>
      <c r="Q16" s="2608"/>
      <c r="R16" s="2655">
        <f>ROUND(M16*N16*O16*P16/10000,0)</f>
        <v>0</v>
      </c>
      <c r="S16" s="2589"/>
      <c r="T16" s="2589"/>
      <c r="U16" s="2589"/>
      <c r="V16" s="2597"/>
    </row>
    <row r="17" spans="1:22" s="2601" customFormat="1" ht="13.15" customHeight="1" thickBot="1">
      <c r="A17" s="2658">
        <v>4</v>
      </c>
      <c r="B17" s="3421" t="s">
        <v>2380</v>
      </c>
      <c r="C17" s="3422"/>
      <c r="D17" s="2659">
        <f>ROUND(D6*E17,0)</f>
        <v>0</v>
      </c>
      <c r="E17" s="2660"/>
      <c r="F17" s="2661" t="s">
        <v>2381</v>
      </c>
      <c r="G17" s="2621"/>
      <c r="H17" s="2596"/>
      <c r="I17" s="2597"/>
      <c r="J17" s="3413"/>
      <c r="K17" s="3415"/>
      <c r="L17" s="2631" t="s">
        <v>2382</v>
      </c>
      <c r="M17" s="2632"/>
      <c r="N17" s="2632"/>
      <c r="O17" s="2633"/>
      <c r="P17" s="2634">
        <v>365</v>
      </c>
      <c r="Q17" s="2608"/>
      <c r="R17" s="2655">
        <f>ROUND(M17*N17*O17*P17/10000,0)</f>
        <v>0</v>
      </c>
      <c r="S17" s="2589"/>
      <c r="T17" s="2589"/>
      <c r="U17" s="2589"/>
      <c r="V17" s="2597"/>
    </row>
    <row r="18" spans="1:22" s="2601" customFormat="1" ht="13.15" customHeight="1" thickBot="1">
      <c r="A18" s="2624" t="s">
        <v>2383</v>
      </c>
      <c r="B18" s="2625"/>
      <c r="C18" s="2625"/>
      <c r="D18" s="2662">
        <f>ROUND(D6*E18,0)</f>
        <v>0</v>
      </c>
      <c r="E18" s="2663"/>
      <c r="F18" s="2664" t="s">
        <v>2384</v>
      </c>
      <c r="G18" s="2621"/>
      <c r="H18" s="2596"/>
      <c r="I18" s="2597"/>
      <c r="J18" s="3413"/>
      <c r="K18" s="3415"/>
      <c r="L18" s="2631" t="s">
        <v>2385</v>
      </c>
      <c r="M18" s="2632"/>
      <c r="N18" s="2632"/>
      <c r="O18" s="2633"/>
      <c r="P18" s="2634">
        <v>365</v>
      </c>
      <c r="Q18" s="2608"/>
      <c r="R18" s="2655">
        <f>ROUND(M18*N18*O18*P18/10000,0)</f>
        <v>0</v>
      </c>
      <c r="S18" s="2589"/>
      <c r="T18" s="2589"/>
      <c r="U18" s="2589"/>
      <c r="V18" s="2597"/>
    </row>
    <row r="19" spans="1:22" s="2601" customFormat="1" ht="13.15" customHeight="1" thickBot="1">
      <c r="A19" s="2665" t="s">
        <v>2386</v>
      </c>
      <c r="B19" s="2619"/>
      <c r="C19" s="2619"/>
      <c r="D19" s="2619"/>
      <c r="E19" s="2619"/>
      <c r="F19" s="2620"/>
      <c r="G19" s="2640"/>
      <c r="H19" s="2596"/>
      <c r="I19" s="2597"/>
      <c r="J19" s="3413"/>
      <c r="K19" s="3416"/>
      <c r="L19" s="2651" t="s">
        <v>2366</v>
      </c>
      <c r="M19" s="2652"/>
      <c r="N19" s="2652">
        <f>SUM(N16:N18)</f>
        <v>0</v>
      </c>
      <c r="O19" s="2653"/>
      <c r="P19" s="2666" t="s">
        <v>2430</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13">
        <v>3</v>
      </c>
      <c r="K20" s="3414" t="s">
        <v>2387</v>
      </c>
      <c r="L20" s="2631" t="s">
        <v>2388</v>
      </c>
      <c r="M20" s="2632" t="s">
        <v>2389</v>
      </c>
      <c r="N20" s="2669" t="s">
        <v>2390</v>
      </c>
      <c r="O20" s="2633" t="s">
        <v>2391</v>
      </c>
      <c r="P20" s="2634" t="s">
        <v>2392</v>
      </c>
      <c r="Q20" s="2608" t="s">
        <v>2393</v>
      </c>
      <c r="R20" s="2655" t="s">
        <v>2394</v>
      </c>
      <c r="S20" s="2589"/>
      <c r="T20" s="2589"/>
      <c r="U20" s="2589"/>
      <c r="V20" s="2597"/>
    </row>
    <row r="21" spans="1:22" s="2601" customFormat="1" ht="13.15" customHeight="1">
      <c r="A21" s="2624"/>
      <c r="B21" s="2625"/>
      <c r="C21" s="2670" t="s">
        <v>2395</v>
      </c>
      <c r="D21" s="2671" t="s">
        <v>2396</v>
      </c>
      <c r="E21" s="2672" t="s">
        <v>2397</v>
      </c>
      <c r="F21" s="2668"/>
      <c r="G21" s="2640"/>
      <c r="H21" s="2596"/>
      <c r="I21" s="2597"/>
      <c r="J21" s="3413"/>
      <c r="K21" s="3415"/>
      <c r="L21" s="2631" t="s">
        <v>2398</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2399</v>
      </c>
      <c r="D22" s="2675" t="s">
        <v>2400</v>
      </c>
      <c r="E22" s="2676" t="s">
        <v>2401</v>
      </c>
      <c r="F22" s="2668"/>
      <c r="G22" s="2589"/>
      <c r="H22" s="2596"/>
      <c r="I22" s="2597"/>
      <c r="J22" s="3413"/>
      <c r="K22" s="3415"/>
      <c r="L22" s="2631" t="s">
        <v>2402</v>
      </c>
      <c r="M22" s="2632"/>
      <c r="N22" s="2632"/>
      <c r="O22" s="2633"/>
      <c r="P22" s="2634">
        <v>365</v>
      </c>
      <c r="Q22" s="2608"/>
      <c r="R22" s="2673">
        <f>ROUND(M22*N22*O22*P22/10000,0)</f>
        <v>0</v>
      </c>
      <c r="S22" s="2589"/>
      <c r="T22" s="2589"/>
      <c r="U22" s="2589"/>
      <c r="V22" s="2597"/>
    </row>
    <row r="23" spans="1:22" s="2601" customFormat="1" ht="13.15" customHeight="1">
      <c r="A23" s="2677">
        <v>1</v>
      </c>
      <c r="B23" s="2678" t="s">
        <v>2403</v>
      </c>
      <c r="C23" s="2679">
        <f>D6</f>
        <v>0</v>
      </c>
      <c r="D23" s="2680">
        <f>C23*(1+D24)</f>
        <v>0</v>
      </c>
      <c r="E23" s="2681">
        <f>D23*(1+E24)</f>
        <v>0</v>
      </c>
      <c r="F23" s="2682"/>
      <c r="G23" s="2683"/>
      <c r="H23" s="2596"/>
      <c r="I23" s="2597"/>
      <c r="J23" s="3413"/>
      <c r="K23" s="3415"/>
      <c r="L23" s="2631" t="s">
        <v>2404</v>
      </c>
      <c r="M23" s="2632"/>
      <c r="N23" s="2632"/>
      <c r="O23" s="2633"/>
      <c r="P23" s="2634">
        <v>365</v>
      </c>
      <c r="Q23" s="2608"/>
      <c r="R23" s="2673">
        <f>ROUND(M23*N23*O23*P23/10000,0)</f>
        <v>0</v>
      </c>
      <c r="S23" s="2589"/>
      <c r="T23" s="2589"/>
      <c r="U23" s="2589"/>
      <c r="V23" s="2597"/>
    </row>
    <row r="24" spans="1:22" s="2601" customFormat="1" ht="13.15" customHeight="1">
      <c r="A24" s="2684"/>
      <c r="B24" s="2685" t="s">
        <v>2405</v>
      </c>
      <c r="C24" s="2686"/>
      <c r="D24" s="2687"/>
      <c r="E24" s="2688"/>
      <c r="F24" s="2689"/>
      <c r="G24" s="2683"/>
      <c r="H24" s="2596"/>
      <c r="I24" s="2597"/>
      <c r="J24" s="3413"/>
      <c r="K24" s="3416"/>
      <c r="L24" s="2651" t="s">
        <v>2366</v>
      </c>
      <c r="M24" s="2652">
        <f>SUM(M21:M23)</f>
        <v>0</v>
      </c>
      <c r="N24" s="2652"/>
      <c r="O24" s="2653"/>
      <c r="P24" s="2666" t="s">
        <v>2430</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2406</v>
      </c>
      <c r="L25" s="2692"/>
      <c r="M25" s="2692"/>
      <c r="N25" s="2692"/>
      <c r="O25" s="2692"/>
      <c r="P25" s="2693"/>
      <c r="Q25" s="2694">
        <v>0</v>
      </c>
      <c r="R25" s="2667">
        <f>ROUND(R14*Q25,0)</f>
        <v>0</v>
      </c>
      <c r="S25" s="2589"/>
      <c r="T25" s="2589"/>
      <c r="U25" s="2589"/>
      <c r="V25" s="2695"/>
    </row>
    <row r="26" spans="1:22" s="2696" customFormat="1" ht="13.15" customHeight="1">
      <c r="A26" s="2677">
        <v>2</v>
      </c>
      <c r="B26" s="2678" t="s">
        <v>2407</v>
      </c>
      <c r="C26" s="2679">
        <f>D7</f>
        <v>0</v>
      </c>
      <c r="D26" s="2680">
        <f>D23*D27</f>
        <v>0</v>
      </c>
      <c r="E26" s="2681">
        <f>E23*E27</f>
        <v>0</v>
      </c>
      <c r="F26" s="2682"/>
      <c r="G26" s="2683"/>
      <c r="H26" s="2596"/>
      <c r="I26" s="2597"/>
      <c r="J26" s="3423">
        <v>5</v>
      </c>
      <c r="K26" s="2697" t="s">
        <v>2408</v>
      </c>
      <c r="L26" s="2698"/>
      <c r="M26" s="2699"/>
      <c r="N26" s="2700" t="s">
        <v>2409</v>
      </c>
      <c r="O26" s="2700" t="s">
        <v>2410</v>
      </c>
      <c r="P26" s="2701" t="s">
        <v>2411</v>
      </c>
      <c r="Q26" s="2701" t="s">
        <v>2412</v>
      </c>
      <c r="R26" s="2606" t="s">
        <v>2337</v>
      </c>
      <c r="S26" s="2640"/>
      <c r="T26" s="2640"/>
      <c r="U26" s="2640"/>
      <c r="V26" s="2695"/>
    </row>
    <row r="27" spans="1:22" s="2601" customFormat="1" ht="13.15" customHeight="1">
      <c r="A27" s="2684"/>
      <c r="B27" s="2685" t="s">
        <v>2413</v>
      </c>
      <c r="C27" s="2702" t="e">
        <f>E7</f>
        <v>#DIV/0!</v>
      </c>
      <c r="D27" s="2687"/>
      <c r="E27" s="2688"/>
      <c r="F27" s="2689"/>
      <c r="G27" s="2683"/>
      <c r="H27" s="2703"/>
      <c r="I27" s="2695"/>
      <c r="J27" s="3424"/>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2414</v>
      </c>
      <c r="F28" s="2689"/>
      <c r="G28" s="2589"/>
      <c r="H28" s="2703"/>
      <c r="I28" s="2695"/>
      <c r="J28" s="2709">
        <v>6</v>
      </c>
      <c r="K28" s="2710" t="s">
        <v>2415</v>
      </c>
      <c r="L28" s="2711" t="s">
        <v>2416</v>
      </c>
      <c r="M28" s="2712"/>
      <c r="N28" s="2711" t="s">
        <v>2417</v>
      </c>
      <c r="O28" s="2713"/>
      <c r="P28" s="2711" t="s">
        <v>2418</v>
      </c>
      <c r="Q28" s="2714">
        <v>1.4999999999999999E-2</v>
      </c>
      <c r="R28" s="2715"/>
      <c r="S28" s="2589"/>
      <c r="T28" s="2589"/>
      <c r="U28" s="2589"/>
      <c r="V28" s="2695"/>
    </row>
    <row r="29" spans="1:22" s="2696" customFormat="1" ht="13.15" customHeight="1">
      <c r="A29" s="2677">
        <v>3</v>
      </c>
      <c r="B29" s="2678" t="s">
        <v>2419</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2413</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2420</v>
      </c>
      <c r="K31" s="2587"/>
      <c r="L31" s="2587"/>
      <c r="M31" s="2587"/>
      <c r="N31" s="2587"/>
      <c r="O31" s="2587"/>
      <c r="P31" s="2587"/>
      <c r="Q31" s="2587"/>
      <c r="R31" s="2588"/>
      <c r="S31" s="2589"/>
      <c r="T31" s="2589"/>
      <c r="U31" s="2589"/>
      <c r="V31" s="2695"/>
    </row>
    <row r="32" spans="1:22" s="2696" customFormat="1" ht="13.15" customHeight="1">
      <c r="A32" s="2677">
        <v>4</v>
      </c>
      <c r="B32" s="2678" t="s">
        <v>2421</v>
      </c>
      <c r="C32" s="2679">
        <f>C23-C26-C29</f>
        <v>0</v>
      </c>
      <c r="D32" s="2680">
        <f>D23-D26-D29</f>
        <v>0</v>
      </c>
      <c r="E32" s="2681">
        <f>E23-E26-E29</f>
        <v>0</v>
      </c>
      <c r="F32" s="2682"/>
      <c r="G32" s="2589"/>
      <c r="H32" s="2596"/>
      <c r="I32" s="2597"/>
      <c r="J32" s="3406" t="s">
        <v>2313</v>
      </c>
      <c r="K32" s="3407"/>
      <c r="L32" s="2598" t="s">
        <v>2314</v>
      </c>
      <c r="M32" s="2598" t="s">
        <v>2315</v>
      </c>
      <c r="N32" s="2598" t="s">
        <v>2316</v>
      </c>
      <c r="O32" s="2598" t="s">
        <v>2317</v>
      </c>
      <c r="P32" s="2598" t="s">
        <v>2318</v>
      </c>
      <c r="Q32" s="2599" t="s">
        <v>2319</v>
      </c>
      <c r="R32" s="2718" t="s">
        <v>2320</v>
      </c>
      <c r="S32" s="2589"/>
      <c r="T32" s="2589"/>
      <c r="U32" s="2589"/>
      <c r="V32" s="2695"/>
    </row>
    <row r="33" spans="1:23" s="2601" customFormat="1" ht="13.15" customHeight="1">
      <c r="A33" s="2677"/>
      <c r="B33" s="2678"/>
      <c r="C33" s="2679"/>
      <c r="D33" s="2719"/>
      <c r="E33" s="2720"/>
      <c r="F33" s="2682"/>
      <c r="G33" s="2589"/>
      <c r="H33" s="2703"/>
      <c r="I33" s="2695"/>
      <c r="J33" s="3408" t="s">
        <v>2323</v>
      </c>
      <c r="K33" s="3409"/>
      <c r="L33" s="2604"/>
      <c r="M33" s="2604"/>
      <c r="N33" s="2604"/>
      <c r="O33" s="2604"/>
      <c r="P33" s="2604"/>
      <c r="Q33" s="2605"/>
      <c r="R33" s="2721">
        <f>SUM(L33:Q33)</f>
        <v>0</v>
      </c>
      <c r="S33" s="2589"/>
      <c r="T33" s="2589"/>
      <c r="U33" s="2589"/>
      <c r="V33" s="2597"/>
    </row>
    <row r="34" spans="1:23" s="2601" customFormat="1" ht="13.15" customHeight="1">
      <c r="A34" s="2677">
        <v>5</v>
      </c>
      <c r="B34" s="2678" t="s">
        <v>2422</v>
      </c>
      <c r="C34" s="2722"/>
      <c r="D34" s="2723"/>
      <c r="E34" s="2724"/>
      <c r="F34" s="2682"/>
      <c r="G34" s="2589"/>
      <c r="H34" s="2703"/>
      <c r="I34" s="2695"/>
      <c r="J34" s="3408" t="s">
        <v>2325</v>
      </c>
      <c r="K34" s="340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2423</v>
      </c>
      <c r="C35" s="2726"/>
      <c r="D35" s="2727"/>
      <c r="E35" s="2728"/>
      <c r="F35" s="2682"/>
      <c r="G35" s="2729"/>
      <c r="H35" s="2596"/>
      <c r="I35" s="2695"/>
      <c r="J35" s="2615" t="s">
        <v>2327</v>
      </c>
      <c r="K35" s="2616"/>
      <c r="L35" s="2616"/>
      <c r="M35" s="2617"/>
      <c r="N35" s="2617"/>
      <c r="O35" s="2617"/>
      <c r="P35" s="2617"/>
      <c r="Q35" s="2617"/>
      <c r="R35" s="2730">
        <f>R40+R41+R43</f>
        <v>0</v>
      </c>
      <c r="S35" s="2589"/>
      <c r="T35" s="2589" t="s">
        <v>2328</v>
      </c>
      <c r="U35" s="2589"/>
      <c r="V35" s="2597"/>
    </row>
    <row r="36" spans="1:23" s="2601" customFormat="1" ht="13.15" customHeight="1" thickBot="1">
      <c r="A36" s="2677">
        <v>7</v>
      </c>
      <c r="B36" s="2731" t="s">
        <v>2424</v>
      </c>
      <c r="C36" s="2732"/>
      <c r="D36" s="2733"/>
      <c r="E36" s="2734"/>
      <c r="F36" s="2735">
        <f>C36+D36+E36</f>
        <v>0</v>
      </c>
      <c r="G36" s="2589"/>
      <c r="H36" s="2596"/>
      <c r="I36" s="2597"/>
      <c r="J36" s="3413">
        <v>1</v>
      </c>
      <c r="K36" s="3414" t="s">
        <v>2425</v>
      </c>
      <c r="L36" s="2622"/>
      <c r="M36" s="2623"/>
      <c r="N36" s="2623"/>
      <c r="O36" s="2623"/>
      <c r="P36" s="2623"/>
      <c r="Q36" s="2623"/>
      <c r="R36" s="2606" t="s">
        <v>2337</v>
      </c>
      <c r="S36" s="2589"/>
      <c r="T36" s="2589" t="s">
        <v>2338</v>
      </c>
      <c r="U36" s="2589"/>
      <c r="V36" s="2597"/>
    </row>
    <row r="37" spans="1:23" s="2601" customFormat="1" ht="13.15" customHeight="1">
      <c r="A37" s="2677"/>
      <c r="B37" s="2678"/>
      <c r="C37" s="2678"/>
      <c r="D37" s="2678"/>
      <c r="E37" s="2678"/>
      <c r="F37" s="2682"/>
      <c r="G37" s="2589"/>
      <c r="H37" s="2596"/>
      <c r="I37" s="2597"/>
      <c r="J37" s="3413"/>
      <c r="K37" s="3415"/>
      <c r="L37" s="2631"/>
      <c r="M37" s="2632"/>
      <c r="N37" s="2608"/>
      <c r="O37" s="2633"/>
      <c r="P37" s="2633"/>
      <c r="Q37" s="2634"/>
      <c r="R37" s="2635"/>
      <c r="S37" s="2589"/>
      <c r="T37" s="2589" t="s">
        <v>2341</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13"/>
      <c r="K38" s="3415"/>
      <c r="L38" s="2631"/>
      <c r="M38" s="2632"/>
      <c r="N38" s="2608"/>
      <c r="O38" s="2633"/>
      <c r="P38" s="2633"/>
      <c r="Q38" s="2634"/>
      <c r="R38" s="2635"/>
      <c r="S38" s="2589"/>
      <c r="T38" s="2589" t="s">
        <v>2348</v>
      </c>
      <c r="U38" s="2589"/>
      <c r="V38" s="2597"/>
    </row>
    <row r="39" spans="1:23" s="2601" customFormat="1" ht="13.15" customHeight="1">
      <c r="A39" s="2677">
        <v>9</v>
      </c>
      <c r="B39" s="2678" t="s">
        <v>2426</v>
      </c>
      <c r="C39" s="2645" t="e">
        <f>C38</f>
        <v>#DIV/0!</v>
      </c>
      <c r="D39" s="2678">
        <f>D38/(1+D34)^C36</f>
        <v>0</v>
      </c>
      <c r="E39" s="2678">
        <f>E38/(1+E34)^(C36+D36)</f>
        <v>0</v>
      </c>
      <c r="F39" s="2682"/>
      <c r="G39" s="2597"/>
      <c r="H39" s="2596"/>
      <c r="I39" s="2597"/>
      <c r="J39" s="3413"/>
      <c r="K39" s="3415"/>
      <c r="L39" s="2631"/>
      <c r="M39" s="2632"/>
      <c r="N39" s="2608"/>
      <c r="O39" s="2633"/>
      <c r="P39" s="2633"/>
      <c r="Q39" s="2634"/>
      <c r="R39" s="2635"/>
      <c r="S39" s="2589"/>
      <c r="T39" s="2589"/>
      <c r="U39" s="2589"/>
      <c r="V39" s="2597"/>
    </row>
    <row r="40" spans="1:23" s="2601" customFormat="1" ht="13.15" customHeight="1">
      <c r="A40" s="2736">
        <v>10</v>
      </c>
      <c r="B40" s="2678" t="s">
        <v>2427</v>
      </c>
      <c r="C40" s="2737" t="e">
        <f>C39+D39+E39</f>
        <v>#DIV/0!</v>
      </c>
      <c r="D40" s="2738"/>
      <c r="E40" s="2738"/>
      <c r="F40" s="2739"/>
      <c r="G40" s="2589"/>
      <c r="H40" s="2596"/>
      <c r="I40" s="2597"/>
      <c r="J40" s="3413"/>
      <c r="K40" s="3416"/>
      <c r="L40" s="2651" t="s">
        <v>2366</v>
      </c>
      <c r="M40" s="2652"/>
      <c r="N40" s="2652"/>
      <c r="O40" s="2653"/>
      <c r="P40" s="2653"/>
      <c r="Q40" s="2654"/>
      <c r="R40" s="2600">
        <f>SUM(R37:R39)</f>
        <v>0</v>
      </c>
      <c r="S40" s="2589"/>
      <c r="T40" s="2589"/>
      <c r="U40" s="2589"/>
      <c r="V40" s="2597"/>
    </row>
    <row r="41" spans="1:23" s="2601" customFormat="1" ht="13.15" customHeight="1" thickBot="1">
      <c r="A41" s="2740">
        <v>11</v>
      </c>
      <c r="B41" s="2741" t="s">
        <v>2428</v>
      </c>
      <c r="C41" s="2741" t="e">
        <f>ROUND(C40*10000/B4,0)</f>
        <v>#DIV/0!</v>
      </c>
      <c r="D41" s="2742"/>
      <c r="E41" s="2742"/>
      <c r="F41" s="2743"/>
      <c r="G41" s="2596"/>
      <c r="H41" s="2596"/>
      <c r="I41" s="2597"/>
      <c r="J41" s="2690">
        <v>2</v>
      </c>
      <c r="K41" s="2691" t="s">
        <v>2406</v>
      </c>
      <c r="L41" s="2692"/>
      <c r="M41" s="2692"/>
      <c r="N41" s="2692"/>
      <c r="O41" s="2692"/>
      <c r="P41" s="2693"/>
      <c r="Q41" s="2694"/>
      <c r="R41" s="2667">
        <f>ROUND(R40*Q41,0)</f>
        <v>0</v>
      </c>
      <c r="S41" s="2589"/>
      <c r="T41" s="2589"/>
      <c r="U41" s="2640"/>
      <c r="V41" s="2597"/>
    </row>
    <row r="42" spans="1:23" s="2601" customFormat="1" ht="13.15" customHeight="1">
      <c r="G42" s="2596"/>
      <c r="H42" s="2596"/>
      <c r="I42" s="2597"/>
      <c r="J42" s="3423">
        <v>3</v>
      </c>
      <c r="K42" s="2697" t="s">
        <v>2408</v>
      </c>
      <c r="L42" s="2698"/>
      <c r="M42" s="2699"/>
      <c r="N42" s="2700" t="s">
        <v>2409</v>
      </c>
      <c r="O42" s="2700" t="s">
        <v>2410</v>
      </c>
      <c r="P42" s="2701" t="s">
        <v>2411</v>
      </c>
      <c r="Q42" s="2701" t="s">
        <v>2412</v>
      </c>
      <c r="R42" s="2606" t="s">
        <v>2337</v>
      </c>
      <c r="S42" s="2640"/>
      <c r="T42" s="2640"/>
      <c r="U42" s="2589"/>
      <c r="V42" s="2597"/>
    </row>
    <row r="43" spans="1:23" ht="13.15" customHeight="1">
      <c r="A43" s="2601"/>
      <c r="B43" s="2601"/>
      <c r="C43" s="2601"/>
      <c r="D43" s="2601"/>
      <c r="E43" s="2601"/>
      <c r="F43" s="2601"/>
      <c r="I43" s="2584"/>
      <c r="J43" s="3424"/>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2415</v>
      </c>
      <c r="L44" s="2746" t="s">
        <v>2416</v>
      </c>
      <c r="M44" s="2712"/>
      <c r="N44" s="2746" t="s">
        <v>2417</v>
      </c>
      <c r="O44" s="2712"/>
      <c r="P44" s="2746" t="s">
        <v>2418</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6"/>
      <c r="G1" s="457"/>
      <c r="H1" s="457"/>
      <c r="I1" s="457"/>
      <c r="J1" s="457"/>
      <c r="K1" s="457"/>
      <c r="L1" s="457"/>
      <c r="M1" s="457"/>
      <c r="N1" s="457"/>
      <c r="O1" s="457"/>
      <c r="P1" s="457"/>
      <c r="Q1" s="457"/>
      <c r="R1" s="457"/>
      <c r="S1" s="457"/>
    </row>
    <row r="2" spans="1:22" ht="15.75">
      <c r="A2" s="1726" t="s">
        <v>1462</v>
      </c>
      <c r="B2" s="809">
        <f ca="1">SUMIF(B6:B13,"&lt;&gt;#ref!",B6:B13)</f>
        <v>588.37170000000003</v>
      </c>
      <c r="C2" s="1727" t="s">
        <v>1651</v>
      </c>
      <c r="D2" s="1728" t="s">
        <v>1652</v>
      </c>
      <c r="E2" s="2389">
        <f>SUM(E6:E13)</f>
        <v>143.31</v>
      </c>
      <c r="F2" s="2476"/>
      <c r="G2" s="457"/>
      <c r="H2" s="457"/>
      <c r="I2" s="457"/>
      <c r="J2" s="457"/>
      <c r="K2" s="457"/>
      <c r="L2" s="457"/>
      <c r="M2" s="457"/>
      <c r="N2" s="457"/>
      <c r="O2" s="457"/>
      <c r="P2" s="457"/>
      <c r="Q2" s="457"/>
      <c r="R2" s="457"/>
      <c r="S2" s="457"/>
    </row>
    <row r="3" spans="1:22" ht="15.75">
      <c r="A3" s="1726" t="s">
        <v>686</v>
      </c>
      <c r="B3" s="2383">
        <f ca="1">ROUND(B2*10000/E2,0)</f>
        <v>41056</v>
      </c>
      <c r="C3" s="1727"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5" t="s">
        <v>1653</v>
      </c>
      <c r="B5" s="3425" t="s">
        <v>1654</v>
      </c>
      <c r="C5" s="3426"/>
      <c r="D5" s="2477"/>
      <c r="E5" s="1729" t="s">
        <v>1655</v>
      </c>
      <c r="F5" s="127" t="s">
        <v>1656</v>
      </c>
      <c r="G5" s="457"/>
      <c r="H5" s="457"/>
      <c r="I5" s="457"/>
      <c r="J5" s="457"/>
      <c r="K5" s="457"/>
      <c r="L5" s="457"/>
      <c r="M5" s="457"/>
      <c r="N5" s="457"/>
      <c r="O5" s="457"/>
      <c r="P5" s="457"/>
      <c r="Q5" s="457"/>
      <c r="R5" s="457"/>
      <c r="S5" s="457"/>
    </row>
    <row r="6" spans="1:22">
      <c r="A6" s="2386" t="str">
        <f>'数据-取费表'!AN6</f>
        <v>收益法 (元)</v>
      </c>
      <c r="B6" s="2384">
        <f ca="1">IF(F6="是",'数据-取费表'!AO6,0)</f>
        <v>588.37170000000003</v>
      </c>
      <c r="C6" s="1727" t="s">
        <v>1651</v>
      </c>
      <c r="D6" s="2476"/>
      <c r="E6" s="2388">
        <f>IF(OR(A6=0,F6="否"),0,'数据-取费表'!K6+'数据-取费表'!S6)</f>
        <v>143.31</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6"/>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6"/>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6"/>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6"/>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6"/>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6"/>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8"/>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1766</v>
      </c>
      <c r="C1" s="1153" t="s">
        <v>1662</v>
      </c>
      <c r="D1" s="1140"/>
      <c r="E1" s="3121"/>
      <c r="F1" s="1733"/>
      <c r="G1" s="1150" t="s">
        <v>1767</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1801"/>
      <c r="Q2" s="857"/>
      <c r="R2" s="857"/>
      <c r="S2" s="857"/>
      <c r="T2" s="857"/>
      <c r="U2" s="857"/>
      <c r="V2" s="857"/>
      <c r="W2" s="857"/>
      <c r="X2" s="857"/>
      <c r="Y2" s="857"/>
      <c r="Z2" s="857"/>
      <c r="AA2" s="857"/>
      <c r="AB2" s="857"/>
      <c r="AC2" s="1802"/>
    </row>
    <row r="3" spans="1:29" s="340" customFormat="1" ht="28.5" customHeight="1" thickBot="1">
      <c r="A3" s="193" t="s">
        <v>1464</v>
      </c>
      <c r="B3" s="534">
        <f>IF(C2="——",C49,ROUND(B2*10000/D3,0))</f>
        <v>0</v>
      </c>
      <c r="C3" s="342" t="s">
        <v>1768</v>
      </c>
      <c r="D3" s="341">
        <f>IF(D1="",'数据-汇总表'!E3,SUMIF('数据-汇总表'!$C19:$C33,D1,'数据-汇总表'!$E19:$E33))</f>
        <v>143.31</v>
      </c>
      <c r="E3" s="1802"/>
      <c r="F3" s="854"/>
      <c r="G3" s="853"/>
      <c r="H3" s="853"/>
      <c r="I3" s="853"/>
      <c r="J3" s="853"/>
      <c r="K3" s="855"/>
      <c r="L3" s="2500"/>
      <c r="M3" s="2501"/>
      <c r="N3" s="2501"/>
      <c r="O3" s="2501"/>
      <c r="P3" s="1801"/>
      <c r="Q3" s="857"/>
      <c r="R3" s="857"/>
      <c r="S3" s="857"/>
      <c r="T3" s="857"/>
      <c r="U3" s="857"/>
      <c r="V3" s="857"/>
      <c r="W3" s="857"/>
      <c r="X3" s="857"/>
      <c r="Y3" s="857"/>
      <c r="Z3" s="857"/>
      <c r="AA3" s="857"/>
      <c r="AB3" s="857"/>
      <c r="AC3" s="1802"/>
    </row>
    <row r="4" spans="1:29" ht="15">
      <c r="A4" s="343" t="s">
        <v>1769</v>
      </c>
      <c r="B4" s="344"/>
      <c r="C4" s="3379" t="s">
        <v>1770</v>
      </c>
      <c r="D4" s="3380"/>
      <c r="E4" s="3381" t="s">
        <v>1771</v>
      </c>
      <c r="F4" s="3382"/>
      <c r="G4" s="3379" t="s">
        <v>1772</v>
      </c>
      <c r="H4" s="3380"/>
      <c r="I4" s="3379" t="s">
        <v>1773</v>
      </c>
      <c r="J4" s="3380"/>
      <c r="K4" s="535" t="s">
        <v>1774</v>
      </c>
      <c r="L4" s="2483"/>
      <c r="M4" s="2484"/>
      <c r="N4" s="2484"/>
      <c r="O4" s="2484"/>
      <c r="P4" s="3383" t="s">
        <v>1775</v>
      </c>
      <c r="Q4" s="3384"/>
      <c r="R4" s="3366" t="s">
        <v>1771</v>
      </c>
      <c r="S4" s="3367"/>
      <c r="T4" s="3366" t="s">
        <v>1772</v>
      </c>
      <c r="U4" s="3367"/>
      <c r="V4" s="3391" t="s">
        <v>1773</v>
      </c>
      <c r="W4" s="3391"/>
      <c r="X4" s="1263"/>
      <c r="Y4" s="3366" t="s">
        <v>1775</v>
      </c>
      <c r="Z4" s="3367"/>
      <c r="AA4" s="3361" t="s">
        <v>1771</v>
      </c>
      <c r="AB4" s="3391" t="s">
        <v>1772</v>
      </c>
      <c r="AC4" s="3361" t="s">
        <v>1773</v>
      </c>
    </row>
    <row r="5" spans="1:29" ht="15">
      <c r="A5" s="346"/>
      <c r="B5" s="347"/>
      <c r="C5" s="3372" t="s">
        <v>1673</v>
      </c>
      <c r="D5" s="3373"/>
      <c r="E5" s="3370" t="s">
        <v>1674</v>
      </c>
      <c r="F5" s="3371"/>
      <c r="G5" s="3372" t="s">
        <v>1675</v>
      </c>
      <c r="H5" s="3373"/>
      <c r="I5" s="3372" t="s">
        <v>1676</v>
      </c>
      <c r="J5" s="3373"/>
      <c r="K5" s="535"/>
      <c r="L5" s="2483"/>
      <c r="M5" s="2484"/>
      <c r="N5" s="2484"/>
      <c r="O5" s="2484"/>
      <c r="P5" s="3385"/>
      <c r="Q5" s="3386"/>
      <c r="R5" s="3368"/>
      <c r="S5" s="3369"/>
      <c r="T5" s="3368"/>
      <c r="U5" s="3369"/>
      <c r="V5" s="3391"/>
      <c r="W5" s="3391"/>
      <c r="X5" s="1263"/>
      <c r="Y5" s="3368"/>
      <c r="Z5" s="3369"/>
      <c r="AA5" s="3362"/>
      <c r="AB5" s="3391"/>
      <c r="AC5" s="3362"/>
    </row>
    <row r="6" spans="1:29" ht="15.75" thickBot="1">
      <c r="A6" s="348"/>
      <c r="B6" s="349"/>
      <c r="C6" s="3374" t="s">
        <v>1677</v>
      </c>
      <c r="D6" s="3375"/>
      <c r="E6" s="3376" t="s">
        <v>1677</v>
      </c>
      <c r="F6" s="3377"/>
      <c r="G6" s="3374" t="s">
        <v>1677</v>
      </c>
      <c r="H6" s="3375"/>
      <c r="I6" s="3374" t="s">
        <v>1677</v>
      </c>
      <c r="J6" s="3375"/>
      <c r="K6" s="535" t="s">
        <v>1678</v>
      </c>
      <c r="L6" s="2483"/>
      <c r="M6" s="2484"/>
      <c r="N6" s="2484"/>
      <c r="O6" s="2484"/>
      <c r="P6" s="3387"/>
      <c r="Q6" s="3388"/>
      <c r="R6" s="3368"/>
      <c r="S6" s="3369"/>
      <c r="T6" s="3389"/>
      <c r="U6" s="3390"/>
      <c r="V6" s="3391"/>
      <c r="W6" s="3391"/>
      <c r="X6" s="1263"/>
      <c r="Y6" s="3389"/>
      <c r="Z6" s="3390"/>
      <c r="AA6" s="3363"/>
      <c r="AB6" s="3391"/>
      <c r="AC6" s="3363"/>
    </row>
    <row r="7" spans="1:29" s="101" customFormat="1" ht="15.75" thickBot="1">
      <c r="A7" s="350" t="s">
        <v>1679</v>
      </c>
      <c r="B7" s="351"/>
      <c r="C7" s="352">
        <f>'数据-取费表'!B2</f>
        <v>45755</v>
      </c>
      <c r="D7" s="353">
        <v>100</v>
      </c>
      <c r="E7" s="354"/>
      <c r="F7" s="355">
        <f>SUMIF(58:58,YEAR(E7)&amp;"-"&amp;MONTH(E7),59:59)</f>
        <v>0</v>
      </c>
      <c r="G7" s="354"/>
      <c r="H7" s="353">
        <f>SUMIF(58:58,YEAR(G7)&amp;"-"&amp;MONTH(G7),59:59)</f>
        <v>0</v>
      </c>
      <c r="I7" s="354"/>
      <c r="J7" s="353">
        <f>SUMIF(58:58,YEAR(I7)&amp;"-"&amp;MONTH(I7),59:59)</f>
        <v>0</v>
      </c>
      <c r="K7" s="38"/>
      <c r="L7" s="2485"/>
      <c r="M7" s="2436"/>
      <c r="N7" s="2436"/>
      <c r="O7" s="2436"/>
      <c r="P7" s="3364" t="s">
        <v>1680</v>
      </c>
      <c r="Q7" s="3392"/>
      <c r="R7" s="662" t="s">
        <v>14</v>
      </c>
      <c r="S7" s="663">
        <f t="shared" ref="S7:S15" si="0">F7</f>
        <v>0</v>
      </c>
      <c r="T7" s="662" t="s">
        <v>14</v>
      </c>
      <c r="U7" s="663">
        <f t="shared" ref="U7:U15" si="1">H7</f>
        <v>0</v>
      </c>
      <c r="V7" s="662" t="s">
        <v>14</v>
      </c>
      <c r="W7" s="663">
        <f t="shared" ref="W7:W15" si="2">J7</f>
        <v>0</v>
      </c>
      <c r="X7" s="664"/>
      <c r="Y7" s="3364" t="s">
        <v>1680</v>
      </c>
      <c r="Z7" s="3365"/>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5"/>
      <c r="M8" s="2436"/>
      <c r="N8" s="2436"/>
      <c r="O8" s="2436"/>
      <c r="P8" s="3364" t="s">
        <v>1683</v>
      </c>
      <c r="Q8" s="3365"/>
      <c r="R8" s="662" t="s">
        <v>14</v>
      </c>
      <c r="S8" s="663">
        <f t="shared" si="0"/>
        <v>100</v>
      </c>
      <c r="T8" s="662" t="s">
        <v>14</v>
      </c>
      <c r="U8" s="663">
        <f t="shared" si="1"/>
        <v>100</v>
      </c>
      <c r="V8" s="662" t="s">
        <v>14</v>
      </c>
      <c r="W8" s="663">
        <f t="shared" si="2"/>
        <v>100</v>
      </c>
      <c r="X8" s="664"/>
      <c r="Y8" s="3364" t="s">
        <v>1683</v>
      </c>
      <c r="Z8" s="3365"/>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5"/>
      <c r="M9" s="2436"/>
      <c r="N9" s="2436"/>
      <c r="O9" s="2436"/>
      <c r="P9" s="3378"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129"/>
      <c r="D10" s="118">
        <v>100</v>
      </c>
      <c r="E10" s="3130"/>
      <c r="F10" s="362">
        <f>SUMIF(65:65,E10,66:66)-SUMIF(65:65,C10,66:66)+100</f>
        <v>100</v>
      </c>
      <c r="G10" s="3129"/>
      <c r="H10" s="118">
        <f>SUMIF(65:65,G10,66:66)-SUMIF(65:65,C10,66:66)+100</f>
        <v>100</v>
      </c>
      <c r="I10" s="3129"/>
      <c r="J10" s="118">
        <f>SUMIF(65:65,I10,66:66)-SUMIF(65:65,C10,66:66)+100</f>
        <v>100</v>
      </c>
      <c r="K10" s="38"/>
      <c r="L10" s="2486"/>
      <c r="M10" s="2487"/>
      <c r="N10" s="2487"/>
      <c r="O10" s="2487"/>
      <c r="P10" s="3378"/>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365"/>
      <c r="B11" s="362" t="s">
        <v>1689</v>
      </c>
      <c r="C11" s="366"/>
      <c r="D11" s="118">
        <v>100</v>
      </c>
      <c r="E11" s="367"/>
      <c r="F11" s="362" t="e">
        <f>LOOKUP(E11,68:68,69:69)-LOOKUP(C11,68:68,69:69)+100</f>
        <v>#N/A</v>
      </c>
      <c r="G11" s="366"/>
      <c r="H11" s="118" t="e">
        <f>LOOKUP(G11,68:68,69:69)-LOOKUP(C11,68:68,69:69)+100</f>
        <v>#N/A</v>
      </c>
      <c r="I11" s="366"/>
      <c r="J11" s="118" t="e">
        <f>LOOKUP(I11,68:68,69:69)-LOOKUP(C11,68:68,69:69)+100</f>
        <v>#N/A</v>
      </c>
      <c r="K11" s="536"/>
      <c r="L11" s="2488"/>
      <c r="M11" s="2484"/>
      <c r="N11" s="2484"/>
      <c r="O11" s="2484"/>
      <c r="P11" s="3378"/>
      <c r="Q11" s="528" t="str">
        <f t="shared" si="6"/>
        <v>容积率</v>
      </c>
      <c r="R11" s="662" t="s">
        <v>14</v>
      </c>
      <c r="S11" s="663" t="e">
        <f t="shared" si="0"/>
        <v>#N/A</v>
      </c>
      <c r="T11" s="662" t="s">
        <v>14</v>
      </c>
      <c r="U11" s="663" t="e">
        <f t="shared" si="1"/>
        <v>#N/A</v>
      </c>
      <c r="V11" s="662" t="s">
        <v>14</v>
      </c>
      <c r="W11" s="663" t="e">
        <f t="shared" si="2"/>
        <v>#N/A</v>
      </c>
      <c r="X11" s="664"/>
      <c r="Y11" s="3329"/>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8">
        <f>SUMIF(70:70,G12,71:71)-SUMIF(70:70,C12,71:71)+100</f>
        <v>100</v>
      </c>
      <c r="I12" s="371"/>
      <c r="J12" s="118">
        <f>SUMIF(70:70,I12,71:71)-SUMIF(70:70,C12,71:71)+100</f>
        <v>100</v>
      </c>
      <c r="K12" s="537"/>
      <c r="L12" s="2485"/>
      <c r="M12" s="2436"/>
      <c r="N12" s="2436"/>
      <c r="O12" s="2436"/>
      <c r="P12" s="3378"/>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9"/>
      <c r="M13" s="2484"/>
      <c r="N13" s="2484"/>
      <c r="O13" s="2484"/>
      <c r="P13" s="3378"/>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75"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9"/>
      <c r="M14" s="2484"/>
      <c r="N14" s="2484"/>
      <c r="O14" s="2484"/>
      <c r="P14" s="3378"/>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50">
        <f t="shared" si="5"/>
        <v>1</v>
      </c>
    </row>
    <row r="15" spans="1:29" ht="71.25">
      <c r="A15" s="377" t="s">
        <v>1690</v>
      </c>
      <c r="B15" s="58" t="s">
        <v>1777</v>
      </c>
      <c r="C15" s="1748"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9"/>
      <c r="M15" s="2484"/>
      <c r="N15" s="2484"/>
      <c r="O15" s="2484"/>
      <c r="P15" s="3404" t="s">
        <v>1691</v>
      </c>
      <c r="Q15" s="1261" t="str">
        <f t="shared" si="6"/>
        <v>商业繁华度</v>
      </c>
      <c r="R15" s="665" t="s">
        <v>14</v>
      </c>
      <c r="S15" s="666">
        <f t="shared" si="0"/>
        <v>100</v>
      </c>
      <c r="T15" s="665" t="s">
        <v>14</v>
      </c>
      <c r="U15" s="666">
        <f t="shared" si="1"/>
        <v>100</v>
      </c>
      <c r="V15" s="665" t="s">
        <v>14</v>
      </c>
      <c r="W15" s="666">
        <f t="shared" si="2"/>
        <v>100</v>
      </c>
      <c r="X15" s="1263"/>
      <c r="Y15" s="3397"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9"/>
      <c r="M16" s="2484"/>
      <c r="N16" s="2484"/>
      <c r="O16" s="2484"/>
      <c r="P16" s="3405"/>
      <c r="Q16" s="1261"/>
      <c r="R16" s="665"/>
      <c r="S16" s="666"/>
      <c r="T16" s="665"/>
      <c r="U16" s="666"/>
      <c r="V16" s="665"/>
      <c r="W16" s="666"/>
      <c r="X16" s="1263"/>
      <c r="Y16" s="3398"/>
      <c r="Z16" s="1262"/>
      <c r="AA16" s="1262">
        <v>1</v>
      </c>
      <c r="AB16" s="1262">
        <v>1</v>
      </c>
      <c r="AC16" s="1262">
        <v>1</v>
      </c>
    </row>
    <row r="17" spans="1:29" ht="114">
      <c r="A17" s="365"/>
      <c r="B17" s="388" t="s">
        <v>1259</v>
      </c>
      <c r="C17" s="1752" t="str">
        <f>估价对象房地状况!C6</f>
        <v>周边有28路、57路、72路、98路、300路等多条公交线路，地铁7号线与10号线换乘站双井站，综合评价交通便捷度好。</v>
      </c>
      <c r="D17" s="387">
        <v>100</v>
      </c>
      <c r="E17" s="389"/>
      <c r="F17" s="390">
        <f>SUMIF(78:78,E18,79:79)-SUMIF(78:78,C18,79:79)+100</f>
        <v>100</v>
      </c>
      <c r="G17" s="391"/>
      <c r="H17" s="392">
        <f>SUMIF(78:78,G18,79:79)-SUMIF(78:78,C18,79:79)+100</f>
        <v>100</v>
      </c>
      <c r="I17" s="389"/>
      <c r="J17" s="392">
        <f>SUMIF(78:78,I18,79:79)-SUMIF(78:78,C18,79:79)+100</f>
        <v>100</v>
      </c>
      <c r="K17" s="538"/>
      <c r="L17" s="2489"/>
      <c r="M17" s="2484"/>
      <c r="N17" s="2484"/>
      <c r="O17" s="2484"/>
      <c r="P17" s="3405"/>
      <c r="Q17" s="1261" t="str">
        <f>B17</f>
        <v>交通便捷度</v>
      </c>
      <c r="R17" s="665" t="s">
        <v>14</v>
      </c>
      <c r="S17" s="666">
        <f>F17</f>
        <v>100</v>
      </c>
      <c r="T17" s="665" t="s">
        <v>14</v>
      </c>
      <c r="U17" s="666">
        <f>H17</f>
        <v>100</v>
      </c>
      <c r="V17" s="665" t="s">
        <v>14</v>
      </c>
      <c r="W17" s="666">
        <f>J17</f>
        <v>100</v>
      </c>
      <c r="X17" s="1263"/>
      <c r="Y17" s="3398"/>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9"/>
      <c r="M18" s="2484"/>
      <c r="N18" s="2484"/>
      <c r="O18" s="2484"/>
      <c r="P18" s="3405"/>
      <c r="Q18" s="1261"/>
      <c r="R18" s="665"/>
      <c r="S18" s="666"/>
      <c r="T18" s="665"/>
      <c r="U18" s="666"/>
      <c r="V18" s="665"/>
      <c r="W18" s="666"/>
      <c r="X18" s="1263"/>
      <c r="Y18" s="3398"/>
      <c r="Z18" s="1262"/>
      <c r="AA18" s="1262">
        <v>1</v>
      </c>
      <c r="AB18" s="1262">
        <v>1</v>
      </c>
      <c r="AC18" s="1262">
        <v>1</v>
      </c>
    </row>
    <row r="19" spans="1:29" ht="313.5">
      <c r="A19" s="365"/>
      <c r="B19" s="388" t="s">
        <v>1778</v>
      </c>
      <c r="C19" s="1752" t="str">
        <f>估价对象房地状况!C7</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D19" s="392">
        <v>100</v>
      </c>
      <c r="E19" s="394"/>
      <c r="F19" s="395">
        <f>SUMIF(80:80,E20,81:81)-SUMIF(80:80,C20,81:81)+100</f>
        <v>100</v>
      </c>
      <c r="G19" s="396"/>
      <c r="H19" s="387">
        <f>SUMIF(80:80,G20,81:81)-SUMIF(80:80,C20,81:81)+100</f>
        <v>100</v>
      </c>
      <c r="I19" s="394"/>
      <c r="J19" s="387">
        <f>SUMIF(80:80,I20,81:81)-SUMIF(80:80,C20,81:81)+100</f>
        <v>100</v>
      </c>
      <c r="K19" s="538"/>
      <c r="L19" s="2489"/>
      <c r="M19" s="2484"/>
      <c r="N19" s="2484"/>
      <c r="O19" s="2484"/>
      <c r="P19" s="3405"/>
      <c r="Q19" s="1261" t="str">
        <f>B19</f>
        <v>公共配套设施</v>
      </c>
      <c r="R19" s="665" t="s">
        <v>14</v>
      </c>
      <c r="S19" s="666">
        <f>F19</f>
        <v>100</v>
      </c>
      <c r="T19" s="665" t="s">
        <v>14</v>
      </c>
      <c r="U19" s="666">
        <f>H19</f>
        <v>100</v>
      </c>
      <c r="V19" s="665" t="s">
        <v>14</v>
      </c>
      <c r="W19" s="666">
        <f>J19</f>
        <v>100</v>
      </c>
      <c r="X19" s="1263"/>
      <c r="Y19" s="3398"/>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9"/>
      <c r="M20" s="2484"/>
      <c r="N20" s="2484"/>
      <c r="O20" s="2484"/>
      <c r="P20" s="3405"/>
      <c r="Q20" s="1261"/>
      <c r="R20" s="665"/>
      <c r="S20" s="666"/>
      <c r="T20" s="665"/>
      <c r="U20" s="666"/>
      <c r="V20" s="665"/>
      <c r="W20" s="666"/>
      <c r="X20" s="1263"/>
      <c r="Y20" s="3398"/>
      <c r="Z20" s="1262"/>
      <c r="AA20" s="1262">
        <v>1</v>
      </c>
      <c r="AB20" s="1262">
        <v>1</v>
      </c>
      <c r="AC20" s="1262">
        <v>1</v>
      </c>
    </row>
    <row r="21" spans="1:29" ht="28.5">
      <c r="A21" s="365"/>
      <c r="B21" s="584" t="s">
        <v>1779</v>
      </c>
      <c r="C21" s="1752"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9"/>
      <c r="M21" s="2484"/>
      <c r="N21" s="2484"/>
      <c r="O21" s="2484"/>
      <c r="P21" s="3405"/>
      <c r="Q21" s="1261" t="str">
        <f>B21</f>
        <v>基础设施水平</v>
      </c>
      <c r="R21" s="665" t="s">
        <v>14</v>
      </c>
      <c r="S21" s="666">
        <f>F21</f>
        <v>100</v>
      </c>
      <c r="T21" s="665" t="s">
        <v>14</v>
      </c>
      <c r="U21" s="666">
        <f>H21</f>
        <v>100</v>
      </c>
      <c r="V21" s="665" t="s">
        <v>14</v>
      </c>
      <c r="W21" s="666">
        <f>J21</f>
        <v>100</v>
      </c>
      <c r="X21" s="1263"/>
      <c r="Y21" s="3398"/>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9"/>
      <c r="M22" s="2484"/>
      <c r="N22" s="2484"/>
      <c r="O22" s="2484"/>
      <c r="P22" s="3405"/>
      <c r="Q22" s="1261"/>
      <c r="R22" s="665"/>
      <c r="S22" s="666"/>
      <c r="T22" s="665"/>
      <c r="U22" s="666"/>
      <c r="V22" s="665"/>
      <c r="W22" s="666"/>
      <c r="X22" s="1263"/>
      <c r="Y22" s="3398"/>
      <c r="Z22" s="1262"/>
      <c r="AA22" s="1262">
        <v>1</v>
      </c>
      <c r="AB22" s="1262">
        <v>1</v>
      </c>
      <c r="AC22" s="1262">
        <v>1</v>
      </c>
    </row>
    <row r="23" spans="1:29" ht="128.25">
      <c r="A23" s="365"/>
      <c r="B23" s="388" t="s">
        <v>1261</v>
      </c>
      <c r="C23" s="1803" t="str">
        <f>估价对象房地状况!C9</f>
        <v>自然环境：CBD城市森林公园、通惠河水系等自然景观；
人文环境：北京今日美术馆等人文场所；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9"/>
      <c r="M23" s="2484"/>
      <c r="N23" s="2484"/>
      <c r="O23" s="2484"/>
      <c r="P23" s="3405"/>
      <c r="Q23" s="1261" t="str">
        <f>B23</f>
        <v>自然及人文环境</v>
      </c>
      <c r="R23" s="665" t="s">
        <v>14</v>
      </c>
      <c r="S23" s="666">
        <f>F23</f>
        <v>100</v>
      </c>
      <c r="T23" s="665" t="s">
        <v>14</v>
      </c>
      <c r="U23" s="666">
        <f>H23</f>
        <v>100</v>
      </c>
      <c r="V23" s="665" t="s">
        <v>14</v>
      </c>
      <c r="W23" s="666">
        <f>J23</f>
        <v>100</v>
      </c>
      <c r="X23" s="1263"/>
      <c r="Y23" s="3398"/>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9"/>
      <c r="M24" s="2484"/>
      <c r="N24" s="2484"/>
      <c r="O24" s="2484"/>
      <c r="P24" s="3405"/>
      <c r="Q24" s="1261"/>
      <c r="R24" s="665"/>
      <c r="S24" s="666"/>
      <c r="T24" s="665"/>
      <c r="U24" s="666"/>
      <c r="V24" s="665"/>
      <c r="W24" s="666"/>
      <c r="X24" s="1263"/>
      <c r="Y24" s="3398"/>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9"/>
      <c r="M25" s="2484"/>
      <c r="N25" s="2484"/>
      <c r="O25" s="2484"/>
      <c r="P25" s="3405"/>
      <c r="Q25" s="1261" t="str">
        <f t="shared" ref="Q25:Q46" si="11">B25</f>
        <v>临街状况</v>
      </c>
      <c r="R25" s="665" t="s">
        <v>14</v>
      </c>
      <c r="S25" s="666">
        <f>F25</f>
        <v>100</v>
      </c>
      <c r="T25" s="665" t="s">
        <v>14</v>
      </c>
      <c r="U25" s="666">
        <f>H25</f>
        <v>100</v>
      </c>
      <c r="V25" s="665" t="s">
        <v>14</v>
      </c>
      <c r="W25" s="666">
        <f>J25</f>
        <v>100</v>
      </c>
      <c r="X25" s="1263"/>
      <c r="Y25" s="3398"/>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9"/>
      <c r="M26" s="2484"/>
      <c r="N26" s="2484"/>
      <c r="O26" s="2484"/>
      <c r="P26" s="3405"/>
      <c r="Q26" s="1261" t="str">
        <f t="shared" si="11"/>
        <v>平面位置/可视性</v>
      </c>
      <c r="R26" s="665" t="s">
        <v>14</v>
      </c>
      <c r="S26" s="666">
        <f>F26</f>
        <v>100</v>
      </c>
      <c r="T26" s="665" t="s">
        <v>14</v>
      </c>
      <c r="U26" s="666">
        <f>H26</f>
        <v>100</v>
      </c>
      <c r="V26" s="665" t="s">
        <v>14</v>
      </c>
      <c r="W26" s="666">
        <f>J26</f>
        <v>100</v>
      </c>
      <c r="X26" s="1263"/>
      <c r="Y26" s="3398"/>
      <c r="Z26" s="1262" t="str">
        <f>Q26</f>
        <v>平面位置/可视性</v>
      </c>
      <c r="AA26" s="1262">
        <f t="shared" si="3"/>
        <v>1</v>
      </c>
      <c r="AB26" s="1262">
        <f t="shared" si="4"/>
        <v>1</v>
      </c>
      <c r="AC26" s="1262">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5"/>
      <c r="M27" s="2436"/>
      <c r="N27" s="2436"/>
      <c r="O27" s="2436"/>
      <c r="P27" s="3405"/>
      <c r="Q27" s="528" t="str">
        <f t="shared" si="11"/>
        <v>人流量</v>
      </c>
      <c r="R27" s="662" t="s">
        <v>14</v>
      </c>
      <c r="S27" s="663">
        <f>F27</f>
        <v>100</v>
      </c>
      <c r="T27" s="662" t="s">
        <v>14</v>
      </c>
      <c r="U27" s="663">
        <f>H27</f>
        <v>100</v>
      </c>
      <c r="V27" s="662" t="s">
        <v>14</v>
      </c>
      <c r="W27" s="663">
        <f>J27</f>
        <v>100</v>
      </c>
      <c r="X27" s="664"/>
      <c r="Y27" s="3398"/>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9"/>
      <c r="M28" s="2484"/>
      <c r="N28" s="2484"/>
      <c r="O28" s="2484"/>
      <c r="P28" s="3405"/>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98"/>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9"/>
      <c r="M29" s="2484"/>
      <c r="N29" s="2484"/>
      <c r="O29" s="2484"/>
      <c r="P29" s="3405"/>
      <c r="Q29" s="1261">
        <f t="shared" si="11"/>
        <v>111</v>
      </c>
      <c r="R29" s="665" t="s">
        <v>14</v>
      </c>
      <c r="S29" s="666">
        <f t="shared" si="12"/>
        <v>100</v>
      </c>
      <c r="T29" s="665" t="s">
        <v>14</v>
      </c>
      <c r="U29" s="666">
        <f t="shared" si="13"/>
        <v>100</v>
      </c>
      <c r="V29" s="665" t="s">
        <v>14</v>
      </c>
      <c r="W29" s="666">
        <f t="shared" si="14"/>
        <v>100</v>
      </c>
      <c r="X29" s="1263"/>
      <c r="Y29" s="3398"/>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9"/>
      <c r="M30" s="2484"/>
      <c r="N30" s="2484"/>
      <c r="O30" s="2484"/>
      <c r="P30" s="3405"/>
      <c r="Q30" s="1261">
        <f t="shared" si="11"/>
        <v>111</v>
      </c>
      <c r="R30" s="665" t="s">
        <v>14</v>
      </c>
      <c r="S30" s="666">
        <f t="shared" si="12"/>
        <v>100</v>
      </c>
      <c r="T30" s="665" t="s">
        <v>14</v>
      </c>
      <c r="U30" s="666">
        <f t="shared" si="13"/>
        <v>100</v>
      </c>
      <c r="V30" s="665" t="s">
        <v>14</v>
      </c>
      <c r="W30" s="666">
        <f t="shared" si="14"/>
        <v>100</v>
      </c>
      <c r="X30" s="1263"/>
      <c r="Y30" s="3398"/>
      <c r="Z30" s="1262">
        <f t="shared" si="15"/>
        <v>111</v>
      </c>
      <c r="AA30" s="1262">
        <f t="shared" si="3"/>
        <v>1</v>
      </c>
      <c r="AB30" s="1262">
        <f t="shared" si="4"/>
        <v>1</v>
      </c>
      <c r="AC30" s="1262">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9"/>
      <c r="M31" s="2484"/>
      <c r="N31" s="2484"/>
      <c r="O31" s="2484"/>
      <c r="P31" s="3405"/>
      <c r="Q31" s="1261">
        <f t="shared" si="11"/>
        <v>111</v>
      </c>
      <c r="R31" s="665" t="s">
        <v>14</v>
      </c>
      <c r="S31" s="666">
        <f t="shared" si="12"/>
        <v>100</v>
      </c>
      <c r="T31" s="665" t="s">
        <v>14</v>
      </c>
      <c r="U31" s="666">
        <f t="shared" si="13"/>
        <v>100</v>
      </c>
      <c r="V31" s="665" t="s">
        <v>14</v>
      </c>
      <c r="W31" s="666">
        <f t="shared" si="14"/>
        <v>100</v>
      </c>
      <c r="X31" s="1263"/>
      <c r="Y31" s="3398"/>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9"/>
      <c r="M32" s="2484"/>
      <c r="N32" s="2484"/>
      <c r="O32" s="2484"/>
      <c r="P32" s="3399" t="s">
        <v>1696</v>
      </c>
      <c r="Q32" s="1261" t="str">
        <f t="shared" si="11"/>
        <v>商业类型</v>
      </c>
      <c r="R32" s="665" t="s">
        <v>14</v>
      </c>
      <c r="S32" s="666">
        <f t="shared" si="12"/>
        <v>100</v>
      </c>
      <c r="T32" s="665" t="s">
        <v>14</v>
      </c>
      <c r="U32" s="666">
        <f t="shared" si="13"/>
        <v>100</v>
      </c>
      <c r="V32" s="665" t="s">
        <v>14</v>
      </c>
      <c r="W32" s="666">
        <f t="shared" si="14"/>
        <v>100</v>
      </c>
      <c r="X32" s="1263"/>
      <c r="Y32" s="3402" t="s">
        <v>1696</v>
      </c>
      <c r="Z32" s="1262" t="str">
        <f t="shared" si="15"/>
        <v>商业类型</v>
      </c>
      <c r="AA32" s="1262">
        <f t="shared" si="3"/>
        <v>1</v>
      </c>
      <c r="AB32" s="1262">
        <f t="shared" si="4"/>
        <v>1</v>
      </c>
      <c r="AC32" s="1262">
        <f t="shared" si="5"/>
        <v>1</v>
      </c>
    </row>
    <row r="33" spans="1:29" s="406" customFormat="1" ht="15">
      <c r="A33" s="404"/>
      <c r="B33" s="362" t="s">
        <v>1697</v>
      </c>
      <c r="C33" s="405"/>
      <c r="D33" s="118">
        <v>100</v>
      </c>
      <c r="E33" s="367"/>
      <c r="F33" s="362" t="e">
        <f>LOOKUP(E33,103:103,104:104)-LOOKUP(C33,103:103,104:104)+100</f>
        <v>#N/A</v>
      </c>
      <c r="G33" s="366"/>
      <c r="H33" s="118" t="e">
        <f>LOOKUP(G33,103:103,104:104)-LOOKUP(C33,103:103,104:104)+100</f>
        <v>#N/A</v>
      </c>
      <c r="I33" s="366"/>
      <c r="J33" s="118" t="e">
        <f>LOOKUP(I33,103:103,104:104)-LOOKUP(C33,103:103,104:104)+100</f>
        <v>#N/A</v>
      </c>
      <c r="K33" s="537"/>
      <c r="L33" s="2488"/>
      <c r="M33" s="2490"/>
      <c r="N33" s="2490"/>
      <c r="O33" s="2490"/>
      <c r="P33" s="3400"/>
      <c r="Q33" s="529" t="str">
        <f t="shared" si="11"/>
        <v>项目建筑规模</v>
      </c>
      <c r="R33" s="667" t="s">
        <v>14</v>
      </c>
      <c r="S33" s="668" t="e">
        <f t="shared" si="12"/>
        <v>#N/A</v>
      </c>
      <c r="T33" s="667" t="s">
        <v>14</v>
      </c>
      <c r="U33" s="668" t="e">
        <f t="shared" si="13"/>
        <v>#N/A</v>
      </c>
      <c r="V33" s="667" t="s">
        <v>14</v>
      </c>
      <c r="W33" s="668" t="e">
        <f t="shared" si="14"/>
        <v>#N/A</v>
      </c>
      <c r="X33" s="669"/>
      <c r="Y33" s="3402"/>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9"/>
      <c r="M34" s="2484"/>
      <c r="N34" s="2484"/>
      <c r="O34" s="2484"/>
      <c r="P34" s="3400"/>
      <c r="Q34" s="1261" t="str">
        <f t="shared" si="11"/>
        <v>建筑结构</v>
      </c>
      <c r="R34" s="665" t="s">
        <v>14</v>
      </c>
      <c r="S34" s="666">
        <f t="shared" si="12"/>
        <v>100</v>
      </c>
      <c r="T34" s="665" t="s">
        <v>14</v>
      </c>
      <c r="U34" s="666">
        <f t="shared" si="13"/>
        <v>100</v>
      </c>
      <c r="V34" s="665" t="s">
        <v>14</v>
      </c>
      <c r="W34" s="666">
        <f t="shared" si="14"/>
        <v>100</v>
      </c>
      <c r="X34" s="1263"/>
      <c r="Y34" s="3402"/>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9"/>
      <c r="M35" s="2484"/>
      <c r="N35" s="2484"/>
      <c r="O35" s="2484"/>
      <c r="P35" s="3400"/>
      <c r="Q35" s="1261" t="str">
        <f t="shared" si="11"/>
        <v>公共部分装修</v>
      </c>
      <c r="R35" s="665" t="s">
        <v>14</v>
      </c>
      <c r="S35" s="666">
        <f t="shared" si="12"/>
        <v>100</v>
      </c>
      <c r="T35" s="665" t="s">
        <v>14</v>
      </c>
      <c r="U35" s="666">
        <f t="shared" si="13"/>
        <v>100</v>
      </c>
      <c r="V35" s="665" t="s">
        <v>14</v>
      </c>
      <c r="W35" s="666">
        <f t="shared" si="14"/>
        <v>100</v>
      </c>
      <c r="X35" s="1263"/>
      <c r="Y35" s="3402"/>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9"/>
      <c r="M36" s="2484"/>
      <c r="N36" s="2484"/>
      <c r="O36" s="2484"/>
      <c r="P36" s="3400"/>
      <c r="Q36" s="1261" t="str">
        <f t="shared" si="11"/>
        <v>成新度</v>
      </c>
      <c r="R36" s="665" t="s">
        <v>14</v>
      </c>
      <c r="S36" s="666" t="e">
        <f t="shared" si="12"/>
        <v>#N/A</v>
      </c>
      <c r="T36" s="665" t="s">
        <v>14</v>
      </c>
      <c r="U36" s="666" t="e">
        <f t="shared" si="13"/>
        <v>#N/A</v>
      </c>
      <c r="V36" s="665" t="s">
        <v>14</v>
      </c>
      <c r="W36" s="666" t="e">
        <f t="shared" si="14"/>
        <v>#N/A</v>
      </c>
      <c r="X36" s="1263"/>
      <c r="Y36" s="3402"/>
      <c r="Z36" s="1262" t="str">
        <f t="shared" si="15"/>
        <v>成新度</v>
      </c>
      <c r="AA36" s="1262" t="e">
        <f t="shared" si="3"/>
        <v>#N/A</v>
      </c>
      <c r="AB36" s="1262" t="e">
        <f t="shared" si="4"/>
        <v>#N/A</v>
      </c>
      <c r="AC36" s="1262" t="e">
        <f t="shared" si="5"/>
        <v>#N/A</v>
      </c>
    </row>
    <row r="37" spans="1:29" s="101" customFormat="1" ht="15">
      <c r="A37" s="408"/>
      <c r="B37" s="362" t="s">
        <v>1787</v>
      </c>
      <c r="C37" s="1758"/>
      <c r="D37" s="118">
        <v>100</v>
      </c>
      <c r="E37" s="1758"/>
      <c r="F37" s="398">
        <f>SUMIF(112:112,E37,113:113)-SUMIF(112:112,C37,113:113)+100</f>
        <v>100</v>
      </c>
      <c r="G37" s="1758"/>
      <c r="H37" s="372">
        <f>SUMIF(112:112,G37,113:113)-SUMIF(112:112,C37,113:113)+100</f>
        <v>100</v>
      </c>
      <c r="I37" s="1758"/>
      <c r="J37" s="372">
        <f>SUMIF(112:112,I37,113:113)-SUMIF(112:112,C37,113:113)+100</f>
        <v>100</v>
      </c>
      <c r="K37" s="536"/>
      <c r="L37" s="2485"/>
      <c r="M37" s="2436"/>
      <c r="N37" s="2436"/>
      <c r="O37" s="2436"/>
      <c r="P37" s="3400"/>
      <c r="Q37" s="528" t="str">
        <f t="shared" si="11"/>
        <v>市政基础设施</v>
      </c>
      <c r="R37" s="662" t="s">
        <v>14</v>
      </c>
      <c r="S37" s="663">
        <f t="shared" si="12"/>
        <v>100</v>
      </c>
      <c r="T37" s="662" t="s">
        <v>14</v>
      </c>
      <c r="U37" s="663">
        <f t="shared" si="13"/>
        <v>100</v>
      </c>
      <c r="V37" s="662" t="s">
        <v>14</v>
      </c>
      <c r="W37" s="663">
        <f t="shared" si="14"/>
        <v>100</v>
      </c>
      <c r="X37" s="664"/>
      <c r="Y37" s="3402"/>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9"/>
      <c r="M38" s="2484"/>
      <c r="N38" s="2484"/>
      <c r="O38" s="2484"/>
      <c r="P38" s="3400" t="s">
        <v>1696</v>
      </c>
      <c r="Q38" s="1261" t="str">
        <f t="shared" si="11"/>
        <v>业态</v>
      </c>
      <c r="R38" s="665" t="s">
        <v>14</v>
      </c>
      <c r="S38" s="666">
        <f t="shared" si="12"/>
        <v>100</v>
      </c>
      <c r="T38" s="665" t="s">
        <v>14</v>
      </c>
      <c r="U38" s="666">
        <f t="shared" si="13"/>
        <v>100</v>
      </c>
      <c r="V38" s="665" t="s">
        <v>14</v>
      </c>
      <c r="W38" s="666">
        <f t="shared" si="14"/>
        <v>100</v>
      </c>
      <c r="X38" s="1263"/>
      <c r="Y38" s="3402"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9"/>
      <c r="M39" s="2484"/>
      <c r="N39" s="2484"/>
      <c r="O39" s="2484"/>
      <c r="P39" s="3400"/>
      <c r="Q39" s="1261" t="str">
        <f t="shared" si="11"/>
        <v>层高</v>
      </c>
      <c r="R39" s="665" t="s">
        <v>14</v>
      </c>
      <c r="S39" s="666">
        <f t="shared" si="12"/>
        <v>100</v>
      </c>
      <c r="T39" s="665" t="s">
        <v>14</v>
      </c>
      <c r="U39" s="666">
        <f t="shared" si="13"/>
        <v>100</v>
      </c>
      <c r="V39" s="665" t="s">
        <v>14</v>
      </c>
      <c r="W39" s="666">
        <f t="shared" si="14"/>
        <v>100</v>
      </c>
      <c r="X39" s="1263"/>
      <c r="Y39" s="3402"/>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9"/>
      <c r="M40" s="2484"/>
      <c r="N40" s="2484"/>
      <c r="O40" s="2484"/>
      <c r="P40" s="3400"/>
      <c r="Q40" s="1261" t="str">
        <f t="shared" si="11"/>
        <v>单套建筑面积</v>
      </c>
      <c r="R40" s="665" t="s">
        <v>14</v>
      </c>
      <c r="S40" s="666">
        <f t="shared" si="12"/>
        <v>100</v>
      </c>
      <c r="T40" s="665" t="s">
        <v>14</v>
      </c>
      <c r="U40" s="666">
        <f t="shared" si="13"/>
        <v>100</v>
      </c>
      <c r="V40" s="665" t="s">
        <v>14</v>
      </c>
      <c r="W40" s="666">
        <f t="shared" si="14"/>
        <v>100</v>
      </c>
      <c r="X40" s="1263"/>
      <c r="Y40" s="3402"/>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8"/>
      <c r="M41" s="2490"/>
      <c r="N41" s="2490"/>
      <c r="O41" s="2490"/>
      <c r="P41" s="3400"/>
      <c r="Q41" s="529" t="str">
        <f t="shared" si="11"/>
        <v>进深比</v>
      </c>
      <c r="R41" s="667" t="s">
        <v>14</v>
      </c>
      <c r="S41" s="668">
        <f t="shared" si="12"/>
        <v>100</v>
      </c>
      <c r="T41" s="667" t="s">
        <v>14</v>
      </c>
      <c r="U41" s="668">
        <f t="shared" si="13"/>
        <v>100</v>
      </c>
      <c r="V41" s="667" t="s">
        <v>14</v>
      </c>
      <c r="W41" s="668">
        <f t="shared" si="14"/>
        <v>100</v>
      </c>
      <c r="X41" s="669"/>
      <c r="Y41" s="3402"/>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9"/>
      <c r="M42" s="2484"/>
      <c r="N42" s="2484"/>
      <c r="O42" s="2484"/>
      <c r="P42" s="3400"/>
      <c r="Q42" s="1261" t="str">
        <f t="shared" si="11"/>
        <v>内部装修</v>
      </c>
      <c r="R42" s="665" t="s">
        <v>14</v>
      </c>
      <c r="S42" s="666">
        <f t="shared" si="12"/>
        <v>100</v>
      </c>
      <c r="T42" s="665" t="s">
        <v>14</v>
      </c>
      <c r="U42" s="666">
        <f t="shared" si="13"/>
        <v>100</v>
      </c>
      <c r="V42" s="665" t="s">
        <v>14</v>
      </c>
      <c r="W42" s="666">
        <f t="shared" si="14"/>
        <v>100</v>
      </c>
      <c r="X42" s="1263"/>
      <c r="Y42" s="3402"/>
      <c r="Z42" s="1262" t="str">
        <f t="shared" si="15"/>
        <v>内部装修</v>
      </c>
      <c r="AA42" s="1262">
        <f t="shared" si="3"/>
        <v>1</v>
      </c>
      <c r="AB42" s="1262">
        <f t="shared" si="4"/>
        <v>1</v>
      </c>
      <c r="AC42" s="1262">
        <f t="shared" si="5"/>
        <v>1</v>
      </c>
    </row>
    <row r="43" spans="1:29" ht="15">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9"/>
      <c r="M43" s="2484"/>
      <c r="N43" s="2484"/>
      <c r="O43" s="2484"/>
      <c r="P43" s="3400"/>
      <c r="Q43" s="1261" t="str">
        <f t="shared" si="11"/>
        <v>内部装修维护情况</v>
      </c>
      <c r="R43" s="665" t="s">
        <v>14</v>
      </c>
      <c r="S43" s="666">
        <f t="shared" si="12"/>
        <v>100</v>
      </c>
      <c r="T43" s="665" t="s">
        <v>14</v>
      </c>
      <c r="U43" s="666">
        <f t="shared" si="13"/>
        <v>100</v>
      </c>
      <c r="V43" s="665" t="s">
        <v>14</v>
      </c>
      <c r="W43" s="666">
        <f t="shared" si="14"/>
        <v>100</v>
      </c>
      <c r="X43" s="1263"/>
      <c r="Y43" s="3402"/>
      <c r="Z43" s="1262" t="str">
        <f t="shared" si="15"/>
        <v>内部装修维护情况</v>
      </c>
      <c r="AA43" s="1262">
        <f t="shared" si="3"/>
        <v>1</v>
      </c>
      <c r="AB43" s="1262">
        <f t="shared" si="4"/>
        <v>1</v>
      </c>
      <c r="AC43" s="1262">
        <f t="shared" si="5"/>
        <v>1</v>
      </c>
    </row>
    <row r="44" spans="1:29" s="101" customFormat="1" ht="15">
      <c r="A44" s="408"/>
      <c r="B44" s="1064">
        <v>111</v>
      </c>
      <c r="C44" s="405"/>
      <c r="D44" s="118">
        <v>100</v>
      </c>
      <c r="E44" s="371"/>
      <c r="F44" s="362">
        <f>SUMIF(126:126,E44,127:127)-SUMIF(126:126,C44,127:127)+100</f>
        <v>100</v>
      </c>
      <c r="G44" s="371"/>
      <c r="H44" s="118">
        <f>SUMIF(126:126,G44,127:127)-SUMIF(126:126,C44,127:127)+100</f>
        <v>100</v>
      </c>
      <c r="I44" s="371"/>
      <c r="J44" s="118">
        <f>SUMIF(126:126,I44,127:127)-SUMIF(126:126,C44,127:127)+100</f>
        <v>100</v>
      </c>
      <c r="K44" s="537"/>
      <c r="L44" s="2485"/>
      <c r="M44" s="2436"/>
      <c r="N44" s="2436"/>
      <c r="O44" s="2436"/>
      <c r="P44" s="3400"/>
      <c r="Q44" s="528">
        <f t="shared" si="11"/>
        <v>111</v>
      </c>
      <c r="R44" s="662" t="s">
        <v>14</v>
      </c>
      <c r="S44" s="663">
        <f t="shared" si="12"/>
        <v>100</v>
      </c>
      <c r="T44" s="662" t="s">
        <v>14</v>
      </c>
      <c r="U44" s="663">
        <f t="shared" si="13"/>
        <v>100</v>
      </c>
      <c r="V44" s="662" t="s">
        <v>14</v>
      </c>
      <c r="W44" s="663">
        <f t="shared" si="14"/>
        <v>100</v>
      </c>
      <c r="X44" s="664"/>
      <c r="Y44" s="3402"/>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9"/>
      <c r="M45" s="2484"/>
      <c r="N45" s="2484"/>
      <c r="O45" s="2484"/>
      <c r="P45" s="3400"/>
      <c r="Q45" s="1261">
        <f t="shared" si="11"/>
        <v>111</v>
      </c>
      <c r="R45" s="665" t="s">
        <v>14</v>
      </c>
      <c r="S45" s="666">
        <f t="shared" si="12"/>
        <v>100</v>
      </c>
      <c r="T45" s="665" t="s">
        <v>14</v>
      </c>
      <c r="U45" s="666">
        <f t="shared" si="13"/>
        <v>100</v>
      </c>
      <c r="V45" s="665" t="s">
        <v>14</v>
      </c>
      <c r="W45" s="666">
        <f t="shared" si="14"/>
        <v>100</v>
      </c>
      <c r="X45" s="1263"/>
      <c r="Y45" s="3402"/>
      <c r="Z45" s="1262">
        <f t="shared" si="15"/>
        <v>111</v>
      </c>
      <c r="AA45" s="1262">
        <f t="shared" si="3"/>
        <v>1</v>
      </c>
      <c r="AB45" s="1262">
        <f t="shared" si="4"/>
        <v>1</v>
      </c>
      <c r="AC45" s="1262">
        <f t="shared" si="5"/>
        <v>1</v>
      </c>
    </row>
    <row r="46" spans="1:29" ht="15.75"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9"/>
      <c r="M46" s="2484"/>
      <c r="N46" s="2484"/>
      <c r="O46" s="2484"/>
      <c r="P46" s="3401"/>
      <c r="Q46" s="1261">
        <f t="shared" si="11"/>
        <v>111</v>
      </c>
      <c r="R46" s="665" t="s">
        <v>14</v>
      </c>
      <c r="S46" s="666">
        <f t="shared" si="12"/>
        <v>100</v>
      </c>
      <c r="T46" s="665" t="s">
        <v>14</v>
      </c>
      <c r="U46" s="666">
        <f t="shared" si="13"/>
        <v>100</v>
      </c>
      <c r="V46" s="665" t="s">
        <v>14</v>
      </c>
      <c r="W46" s="666">
        <f t="shared" si="14"/>
        <v>100</v>
      </c>
      <c r="X46" s="1263"/>
      <c r="Y46" s="3403"/>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91"/>
      <c r="M47" s="2484"/>
      <c r="N47" s="2484"/>
      <c r="O47" s="2484"/>
      <c r="P47" s="3396" t="str">
        <f>A47</f>
        <v>成交单价（元/平方米）</v>
      </c>
      <c r="Q47" s="3396"/>
      <c r="R47" s="3391">
        <f>E47</f>
        <v>0</v>
      </c>
      <c r="S47" s="3391"/>
      <c r="T47" s="3391">
        <f>G47</f>
        <v>0</v>
      </c>
      <c r="U47" s="3391"/>
      <c r="V47" s="3391">
        <f>I47</f>
        <v>0</v>
      </c>
      <c r="W47" s="3391"/>
      <c r="X47" s="383"/>
      <c r="Y47" s="671"/>
      <c r="Z47" s="383"/>
      <c r="AA47" s="383"/>
      <c r="AB47" s="383"/>
      <c r="AC47" s="383"/>
    </row>
    <row r="48" spans="1:29" ht="15.75" thickBot="1">
      <c r="A48" s="421" t="s">
        <v>1793</v>
      </c>
      <c r="B48" s="422"/>
      <c r="C48" s="1080" t="e">
        <f>R49</f>
        <v>#DIV/0!</v>
      </c>
      <c r="D48" s="2138" t="s">
        <v>2138</v>
      </c>
      <c r="E48" s="1081" t="e">
        <f>R48</f>
        <v>#DIV/0!</v>
      </c>
      <c r="F48" s="2139"/>
      <c r="G48" s="1080" t="e">
        <f>T48</f>
        <v>#DIV/0!</v>
      </c>
      <c r="H48" s="2139"/>
      <c r="I48" s="1081" t="e">
        <f>V48</f>
        <v>#DIV/0!</v>
      </c>
      <c r="J48" s="2139"/>
      <c r="K48" s="2141">
        <f>F48+H48+J48</f>
        <v>0</v>
      </c>
      <c r="L48" s="2491"/>
      <c r="M48" s="2484"/>
      <c r="N48" s="2484"/>
      <c r="O48" s="2484"/>
      <c r="P48" s="3396" t="str">
        <f>A48</f>
        <v>比较价值（元/平方米）</v>
      </c>
      <c r="Q48" s="3396"/>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91"/>
      <c r="M49" s="2484"/>
      <c r="N49" s="2484"/>
      <c r="O49" s="2484"/>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3"/>
      <c r="Y49" s="383"/>
      <c r="Z49" s="383"/>
      <c r="AA49" s="383"/>
      <c r="AB49" s="383"/>
      <c r="AC49" s="383"/>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6" t="s">
        <v>1798</v>
      </c>
      <c r="B57" s="383"/>
      <c r="C57" s="657"/>
      <c r="D57" s="657"/>
      <c r="E57" s="657"/>
      <c r="F57" s="658"/>
      <c r="G57" s="658"/>
      <c r="H57" s="657"/>
      <c r="I57" s="657"/>
      <c r="J57" s="657"/>
      <c r="K57" s="659"/>
      <c r="L57" s="886"/>
      <c r="M57" s="884"/>
      <c r="N57" s="884"/>
      <c r="O57" s="884"/>
      <c r="P57" s="2504"/>
      <c r="Q57" s="2505"/>
      <c r="R57" s="2484"/>
      <c r="S57" s="2484"/>
      <c r="T57" s="2484"/>
      <c r="U57" s="2484"/>
      <c r="V57" s="2484"/>
      <c r="W57" s="2484"/>
      <c r="X57" s="2484"/>
      <c r="Y57" s="2484"/>
      <c r="Z57" s="2484"/>
      <c r="AA57" s="2484"/>
      <c r="AB57" s="2484"/>
      <c r="AC57" s="2484"/>
    </row>
    <row r="58" spans="1:29" s="440" customFormat="1" ht="15">
      <c r="A58" s="438" t="s">
        <v>1679</v>
      </c>
      <c r="B58" s="439"/>
      <c r="C58" s="1101" t="str">
        <f>YEAR(C7)&amp;"-"&amp;MONTH(C7)</f>
        <v>2025-4</v>
      </c>
      <c r="D58" s="1102">
        <f>EDATE(C58,-1)</f>
        <v>45717</v>
      </c>
      <c r="E58" s="1102">
        <f t="shared" ref="E58:N58" si="16">EDATE(D58,-1)</f>
        <v>45689</v>
      </c>
      <c r="F58" s="1102">
        <f t="shared" si="16"/>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EDATE(N58,-1)</f>
        <v>45383</v>
      </c>
      <c r="P58" s="2506"/>
      <c r="Q58" s="2507"/>
      <c r="R58" s="2507"/>
      <c r="S58" s="2507"/>
      <c r="T58" s="2507"/>
      <c r="U58" s="2507"/>
      <c r="V58" s="2507"/>
      <c r="W58" s="2507"/>
      <c r="X58" s="2507"/>
      <c r="Y58" s="2507"/>
      <c r="Z58" s="2507"/>
      <c r="AA58" s="2507"/>
      <c r="AB58" s="2507"/>
      <c r="AC58" s="2507"/>
    </row>
    <row r="59" spans="1:29" s="101" customFormat="1" ht="15">
      <c r="A59" s="441"/>
      <c r="B59" s="442"/>
      <c r="C59" s="1100">
        <v>100</v>
      </c>
      <c r="D59" s="444"/>
      <c r="E59" s="444"/>
      <c r="F59" s="444"/>
      <c r="G59" s="444"/>
      <c r="H59" s="444"/>
      <c r="I59" s="444"/>
      <c r="J59" s="444"/>
      <c r="K59" s="444"/>
      <c r="L59" s="444"/>
      <c r="M59" s="445"/>
      <c r="N59" s="444"/>
      <c r="O59" s="445"/>
      <c r="P59" s="2508"/>
      <c r="Q59" s="2436"/>
      <c r="R59" s="2436"/>
      <c r="S59" s="2436"/>
      <c r="T59" s="2436"/>
      <c r="U59" s="2436"/>
      <c r="V59" s="2436"/>
      <c r="W59" s="2436"/>
      <c r="X59" s="2436"/>
      <c r="Y59" s="2436"/>
      <c r="Z59" s="2436"/>
      <c r="AA59" s="2436"/>
      <c r="AB59" s="2436"/>
      <c r="AC59" s="2436"/>
    </row>
    <row r="60" spans="1:29" s="101" customFormat="1" ht="15.75" thickBot="1">
      <c r="A60" s="447" t="s">
        <v>1716</v>
      </c>
      <c r="B60" s="448"/>
      <c r="C60" s="449"/>
      <c r="D60" s="450"/>
      <c r="E60" s="450"/>
      <c r="F60" s="450"/>
      <c r="G60" s="450"/>
      <c r="H60" s="450"/>
      <c r="I60" s="450"/>
      <c r="J60" s="450"/>
      <c r="K60" s="450"/>
      <c r="L60" s="450"/>
      <c r="M60" s="451"/>
      <c r="N60" s="450"/>
      <c r="O60" s="451"/>
      <c r="P60" s="2508"/>
      <c r="Q60" s="2505"/>
      <c r="R60" s="2436"/>
      <c r="S60" s="2436"/>
      <c r="T60" s="2436"/>
      <c r="U60" s="2436"/>
      <c r="V60" s="2436"/>
      <c r="W60" s="2436"/>
      <c r="X60" s="2436"/>
      <c r="Y60" s="2436"/>
      <c r="Z60" s="2436"/>
      <c r="AA60" s="2436"/>
      <c r="AB60" s="2436"/>
      <c r="AC60" s="2436"/>
    </row>
    <row r="61" spans="1:29" s="101" customFormat="1" ht="15">
      <c r="A61" s="453" t="s">
        <v>1681</v>
      </c>
      <c r="B61" s="442"/>
      <c r="C61" s="454" t="s">
        <v>1776</v>
      </c>
      <c r="D61" s="31"/>
      <c r="E61" s="31"/>
      <c r="F61" s="31"/>
      <c r="G61" s="31"/>
      <c r="H61" s="31"/>
      <c r="I61" s="31"/>
      <c r="J61" s="31"/>
      <c r="K61" s="31"/>
      <c r="L61" s="455"/>
      <c r="M61" s="456"/>
      <c r="N61" s="2517"/>
      <c r="O61" s="2517"/>
      <c r="P61" s="2509"/>
      <c r="Q61" s="2505"/>
      <c r="R61" s="2436"/>
      <c r="S61" s="2436"/>
      <c r="T61" s="2436"/>
      <c r="U61" s="2436"/>
      <c r="V61" s="2436"/>
      <c r="W61" s="2436"/>
      <c r="X61" s="2436"/>
      <c r="Y61" s="2436"/>
      <c r="Z61" s="2436"/>
      <c r="AA61" s="2436"/>
      <c r="AB61" s="2436"/>
      <c r="AC61" s="2436"/>
    </row>
    <row r="62" spans="1:29" s="101" customFormat="1" ht="15.75" thickBot="1">
      <c r="A62" s="453"/>
      <c r="B62" s="442"/>
      <c r="C62" s="443">
        <v>100</v>
      </c>
      <c r="D62" s="444"/>
      <c r="E62" s="444"/>
      <c r="F62" s="444"/>
      <c r="G62" s="444"/>
      <c r="H62" s="444"/>
      <c r="I62" s="444"/>
      <c r="J62" s="444"/>
      <c r="K62" s="444"/>
      <c r="L62" s="444"/>
      <c r="M62" s="446"/>
      <c r="N62" s="2517"/>
      <c r="O62" s="2517"/>
      <c r="P62" s="2508"/>
      <c r="Q62" s="2505"/>
      <c r="R62" s="2436"/>
      <c r="S62" s="2436"/>
      <c r="T62" s="2436"/>
      <c r="U62" s="2436"/>
      <c r="V62" s="2436"/>
      <c r="W62" s="2436"/>
      <c r="X62" s="2436"/>
      <c r="Y62" s="2436"/>
      <c r="Z62" s="2436"/>
      <c r="AA62" s="2436"/>
      <c r="AB62" s="2436"/>
      <c r="AC62" s="2436"/>
    </row>
    <row r="63" spans="1:29">
      <c r="A63" s="377"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5"/>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5"/>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5"/>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5"/>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6"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6"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6"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6"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6"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6"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7"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5"/>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5"/>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5"/>
      <c r="B82" s="475" t="s">
        <v>1779</v>
      </c>
      <c r="C82" s="579" t="s">
        <v>1799</v>
      </c>
      <c r="D82" s="579" t="s">
        <v>1800</v>
      </c>
      <c r="E82" s="579" t="s">
        <v>1801</v>
      </c>
      <c r="F82" s="579" t="s">
        <v>1802</v>
      </c>
      <c r="G82" s="579" t="s">
        <v>1803</v>
      </c>
      <c r="H82" s="468"/>
      <c r="I82" s="468"/>
      <c r="J82" s="468"/>
      <c r="K82" s="468"/>
      <c r="L82" s="468"/>
      <c r="M82" s="1061"/>
      <c r="N82" s="2519"/>
      <c r="O82" s="2519"/>
      <c r="P82" s="2510"/>
      <c r="Q82" s="2505"/>
      <c r="R82" s="2484"/>
      <c r="S82" s="2484"/>
      <c r="T82" s="2484"/>
      <c r="U82" s="2484"/>
      <c r="V82" s="2484"/>
      <c r="W82" s="2484"/>
      <c r="X82" s="2484"/>
      <c r="Y82" s="2484"/>
      <c r="Z82" s="2484"/>
      <c r="AA82" s="2484"/>
      <c r="AB82" s="2484"/>
      <c r="AC82" s="2484"/>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9"/>
      <c r="O83" s="2519"/>
      <c r="P83" s="2510"/>
      <c r="Q83" s="2505"/>
      <c r="R83" s="2484"/>
      <c r="S83" s="2484"/>
      <c r="T83" s="2484"/>
      <c r="U83" s="2484"/>
      <c r="V83" s="2484"/>
      <c r="W83" s="2484"/>
      <c r="X83" s="2484"/>
      <c r="Y83" s="2484"/>
      <c r="Z83" s="2484"/>
      <c r="AA83" s="2484"/>
      <c r="AB83" s="2484"/>
      <c r="AC83" s="2484"/>
    </row>
    <row r="84" spans="1:29" ht="15.75" thickTop="1">
      <c r="A84" s="365"/>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1" customFormat="1" ht="15.75" thickTop="1">
      <c r="A86" s="368"/>
      <c r="B86" s="467" t="s">
        <v>1804</v>
      </c>
      <c r="C86" s="483"/>
      <c r="D86" s="483"/>
      <c r="E86" s="483"/>
      <c r="F86" s="483"/>
      <c r="G86" s="483"/>
      <c r="H86" s="483"/>
      <c r="I86" s="483"/>
      <c r="J86" s="483"/>
      <c r="K86" s="483"/>
      <c r="L86" s="508"/>
      <c r="M86" s="509"/>
      <c r="N86" s="2517"/>
      <c r="O86" s="2517"/>
      <c r="P86" s="2510"/>
      <c r="Q86" s="2505"/>
      <c r="R86" s="2436"/>
      <c r="S86" s="2436"/>
      <c r="T86" s="2436"/>
      <c r="U86" s="2436"/>
      <c r="V86" s="2436"/>
      <c r="W86" s="2436"/>
      <c r="X86" s="2436"/>
      <c r="Y86" s="2436"/>
      <c r="Z86" s="2436"/>
      <c r="AA86" s="2436"/>
      <c r="AB86" s="2436"/>
      <c r="AC86" s="2436"/>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9"/>
      <c r="O87" s="2519"/>
      <c r="P87" s="2510"/>
      <c r="Q87" s="2505"/>
      <c r="R87" s="2436"/>
      <c r="S87" s="2436"/>
      <c r="T87" s="2436"/>
      <c r="U87" s="2436"/>
      <c r="V87" s="2436"/>
      <c r="W87" s="2436"/>
      <c r="X87" s="2436"/>
      <c r="Y87" s="2436"/>
      <c r="Z87" s="2436"/>
      <c r="AA87" s="2436"/>
      <c r="AB87" s="2436"/>
      <c r="AC87" s="2436"/>
    </row>
    <row r="88" spans="1:29" s="101" customFormat="1" ht="15.75" thickTop="1">
      <c r="A88" s="368"/>
      <c r="B88" s="467" t="str">
        <f>B26</f>
        <v>平面位置/可视性</v>
      </c>
      <c r="C88" s="483"/>
      <c r="D88" s="483"/>
      <c r="E88" s="483"/>
      <c r="F88" s="1777"/>
      <c r="G88" s="483"/>
      <c r="H88" s="483"/>
      <c r="I88" s="483"/>
      <c r="J88" s="483"/>
      <c r="K88" s="483"/>
      <c r="L88" s="483"/>
      <c r="M88" s="509"/>
      <c r="N88" s="2517"/>
      <c r="O88" s="2517"/>
      <c r="P88" s="2510"/>
      <c r="Q88" s="2505"/>
      <c r="R88" s="2436"/>
      <c r="S88" s="2436"/>
      <c r="T88" s="2436"/>
      <c r="U88" s="2436"/>
      <c r="V88" s="2436"/>
      <c r="W88" s="2436"/>
      <c r="X88" s="2436"/>
      <c r="Y88" s="2436"/>
      <c r="Z88" s="2436"/>
      <c r="AA88" s="2436"/>
      <c r="AB88" s="2436"/>
      <c r="AC88" s="2436"/>
    </row>
    <row r="89" spans="1:29" s="101" customFormat="1" ht="15.75" thickBot="1">
      <c r="A89" s="368"/>
      <c r="B89" s="472"/>
      <c r="C89" s="489"/>
      <c r="D89" s="465"/>
      <c r="E89" s="465"/>
      <c r="F89" s="465"/>
      <c r="G89" s="465"/>
      <c r="H89" s="465"/>
      <c r="I89" s="465"/>
      <c r="J89" s="465"/>
      <c r="K89" s="465"/>
      <c r="L89" s="465"/>
      <c r="M89" s="465"/>
      <c r="N89" s="2519"/>
      <c r="O89" s="2519"/>
      <c r="P89" s="2510"/>
      <c r="Q89" s="2505"/>
      <c r="R89" s="2436"/>
      <c r="S89" s="2436"/>
      <c r="T89" s="2436"/>
      <c r="U89" s="2436"/>
      <c r="V89" s="2436"/>
      <c r="W89" s="2436"/>
      <c r="X89" s="2436"/>
      <c r="Y89" s="2436"/>
      <c r="Z89" s="2436"/>
      <c r="AA89" s="2436"/>
      <c r="AB89" s="2436"/>
      <c r="AC89" s="2436"/>
    </row>
    <row r="90" spans="1:29" s="406" customFormat="1" ht="15.75"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5"/>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5"/>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5"/>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5"/>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5"/>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5"/>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5"/>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3"/>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7"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6" customFormat="1">
      <c r="A103" s="404"/>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6" customFormat="1" ht="15.75"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7"/>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7"/>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7"/>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9"/>
      <c r="O111" s="2519"/>
      <c r="P111" s="2510"/>
      <c r="Q111" s="2505"/>
      <c r="R111" s="2484"/>
      <c r="S111" s="2484"/>
      <c r="T111" s="2484"/>
      <c r="U111" s="2484"/>
      <c r="V111" s="2484"/>
      <c r="W111" s="2484"/>
      <c r="X111" s="2484"/>
      <c r="Y111" s="2484"/>
      <c r="Z111" s="2484"/>
      <c r="AA111" s="2484"/>
      <c r="AB111" s="2484"/>
      <c r="AC111" s="2484"/>
    </row>
    <row r="112" spans="1:29" s="406" customFormat="1" ht="15" thickTop="1">
      <c r="A112" s="404"/>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7"/>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7"/>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7"/>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5"/>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6" customFormat="1" ht="15" thickTop="1">
      <c r="A120" s="404"/>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7"/>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6" customFormat="1" ht="15" thickTop="1">
      <c r="A126" s="404"/>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6"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7"/>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5"/>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7"/>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3"/>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5" t="s">
        <v>1810</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143.31</v>
      </c>
      <c r="E3" s="1802"/>
      <c r="F3" s="854"/>
      <c r="G3" s="853"/>
      <c r="H3" s="853"/>
      <c r="I3" s="853"/>
      <c r="J3" s="853"/>
      <c r="K3" s="855"/>
      <c r="L3" s="2500"/>
      <c r="M3" s="2501"/>
      <c r="N3" s="2501"/>
      <c r="O3" s="2501"/>
      <c r="P3" s="339"/>
      <c r="Q3" s="339"/>
      <c r="R3" s="339"/>
      <c r="S3" s="339"/>
      <c r="T3" s="339"/>
      <c r="U3" s="339"/>
      <c r="V3" s="339"/>
      <c r="W3" s="339"/>
      <c r="X3" s="339"/>
      <c r="Y3" s="339"/>
      <c r="Z3" s="339"/>
      <c r="AA3" s="339"/>
      <c r="AB3" s="339"/>
      <c r="AC3" s="661"/>
    </row>
    <row r="4" spans="1:29" ht="15">
      <c r="A4" s="343" t="s">
        <v>1769</v>
      </c>
      <c r="B4" s="344"/>
      <c r="C4" s="3379" t="s">
        <v>1770</v>
      </c>
      <c r="D4" s="3380"/>
      <c r="E4" s="3381" t="s">
        <v>1771</v>
      </c>
      <c r="F4" s="3382"/>
      <c r="G4" s="3379" t="s">
        <v>1772</v>
      </c>
      <c r="H4" s="3380"/>
      <c r="I4" s="3379" t="s">
        <v>1773</v>
      </c>
      <c r="J4" s="3380"/>
      <c r="K4" s="535" t="s">
        <v>1774</v>
      </c>
      <c r="L4" s="2483"/>
      <c r="M4" s="2484"/>
      <c r="N4" s="2484"/>
      <c r="O4" s="2484"/>
      <c r="P4" s="3433" t="s">
        <v>1775</v>
      </c>
      <c r="Q4" s="3434"/>
      <c r="R4" s="3428" t="s">
        <v>1771</v>
      </c>
      <c r="S4" s="3429"/>
      <c r="T4" s="3428" t="s">
        <v>1772</v>
      </c>
      <c r="U4" s="3429"/>
      <c r="V4" s="3437" t="s">
        <v>1773</v>
      </c>
      <c r="W4" s="3437"/>
      <c r="X4" s="1806"/>
      <c r="Y4" s="3428" t="s">
        <v>1775</v>
      </c>
      <c r="Z4" s="3429"/>
      <c r="AA4" s="3427" t="s">
        <v>1771</v>
      </c>
      <c r="AB4" s="3427" t="s">
        <v>1772</v>
      </c>
      <c r="AC4" s="3430" t="s">
        <v>1773</v>
      </c>
    </row>
    <row r="5" spans="1:29" ht="15">
      <c r="A5" s="346"/>
      <c r="B5" s="347"/>
      <c r="C5" s="3372" t="s">
        <v>1673</v>
      </c>
      <c r="D5" s="3373"/>
      <c r="E5" s="3370" t="s">
        <v>1674</v>
      </c>
      <c r="F5" s="3371"/>
      <c r="G5" s="3372" t="s">
        <v>1675</v>
      </c>
      <c r="H5" s="3373"/>
      <c r="I5" s="3372" t="s">
        <v>1676</v>
      </c>
      <c r="J5" s="3373"/>
      <c r="K5" s="535"/>
      <c r="L5" s="2483"/>
      <c r="M5" s="2484"/>
      <c r="N5" s="2484"/>
      <c r="O5" s="2484"/>
      <c r="P5" s="3435"/>
      <c r="Q5" s="3386"/>
      <c r="R5" s="3368"/>
      <c r="S5" s="3369"/>
      <c r="T5" s="3368"/>
      <c r="U5" s="3369"/>
      <c r="V5" s="3391"/>
      <c r="W5" s="3391"/>
      <c r="X5" s="1263"/>
      <c r="Y5" s="3368"/>
      <c r="Z5" s="3369"/>
      <c r="AA5" s="3362"/>
      <c r="AB5" s="3362"/>
      <c r="AC5" s="3431"/>
    </row>
    <row r="6" spans="1:29" ht="15.75" thickBot="1">
      <c r="A6" s="348"/>
      <c r="B6" s="349"/>
      <c r="C6" s="3374" t="s">
        <v>1677</v>
      </c>
      <c r="D6" s="3375"/>
      <c r="E6" s="3376" t="s">
        <v>1677</v>
      </c>
      <c r="F6" s="3377"/>
      <c r="G6" s="3374" t="s">
        <v>1677</v>
      </c>
      <c r="H6" s="3375"/>
      <c r="I6" s="3374" t="s">
        <v>1677</v>
      </c>
      <c r="J6" s="3375"/>
      <c r="K6" s="535" t="s">
        <v>1678</v>
      </c>
      <c r="L6" s="2483"/>
      <c r="M6" s="2484"/>
      <c r="N6" s="2484"/>
      <c r="O6" s="2484"/>
      <c r="P6" s="3436"/>
      <c r="Q6" s="3388"/>
      <c r="R6" s="3368"/>
      <c r="S6" s="3369"/>
      <c r="T6" s="3389"/>
      <c r="U6" s="3390"/>
      <c r="V6" s="3391"/>
      <c r="W6" s="3391"/>
      <c r="X6" s="1263"/>
      <c r="Y6" s="3389"/>
      <c r="Z6" s="3390"/>
      <c r="AA6" s="3363"/>
      <c r="AB6" s="3363"/>
      <c r="AC6" s="3432"/>
    </row>
    <row r="7" spans="1:29" s="101" customFormat="1" ht="15.75" thickBot="1">
      <c r="A7" s="350" t="s">
        <v>1679</v>
      </c>
      <c r="B7" s="351"/>
      <c r="C7" s="352">
        <f>'数据-取费表'!B2</f>
        <v>45755</v>
      </c>
      <c r="D7" s="353">
        <v>100</v>
      </c>
      <c r="E7" s="354"/>
      <c r="F7" s="355">
        <f>SUMIF(59:59,YEAR(E7)&amp;"-"&amp;MONTH(E7),60:60)</f>
        <v>0</v>
      </c>
      <c r="G7" s="354"/>
      <c r="H7" s="353">
        <f>SUMIF(59:59,YEAR(G7)&amp;"-"&amp;MONTH(G7),60:60)</f>
        <v>0</v>
      </c>
      <c r="I7" s="354"/>
      <c r="J7" s="353">
        <f>SUMIF(59:59,YEAR(I7)&amp;"-"&amp;MONTH(I7),60:60)</f>
        <v>0</v>
      </c>
      <c r="K7" s="38"/>
      <c r="L7" s="2485"/>
      <c r="M7" s="2436"/>
      <c r="N7" s="2436"/>
      <c r="O7" s="2436"/>
      <c r="P7" s="3438" t="s">
        <v>1680</v>
      </c>
      <c r="Q7" s="3392"/>
      <c r="R7" s="662" t="s">
        <v>14</v>
      </c>
      <c r="S7" s="663">
        <f t="shared" ref="S7:S15" si="0">F7</f>
        <v>0</v>
      </c>
      <c r="T7" s="662" t="s">
        <v>14</v>
      </c>
      <c r="U7" s="663">
        <f t="shared" ref="U7:U15" si="1">H7</f>
        <v>0</v>
      </c>
      <c r="V7" s="662" t="s">
        <v>14</v>
      </c>
      <c r="W7" s="663">
        <f t="shared" ref="W7:W15" si="2">J7</f>
        <v>0</v>
      </c>
      <c r="X7" s="664"/>
      <c r="Y7" s="3364" t="s">
        <v>1680</v>
      </c>
      <c r="Z7" s="3365"/>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5"/>
      <c r="M8" s="2436"/>
      <c r="N8" s="2436"/>
      <c r="O8" s="2436"/>
      <c r="P8" s="3438" t="s">
        <v>1683</v>
      </c>
      <c r="Q8" s="3365"/>
      <c r="R8" s="662" t="s">
        <v>14</v>
      </c>
      <c r="S8" s="663">
        <f t="shared" si="0"/>
        <v>100</v>
      </c>
      <c r="T8" s="662" t="s">
        <v>14</v>
      </c>
      <c r="U8" s="663">
        <f t="shared" si="1"/>
        <v>100</v>
      </c>
      <c r="V8" s="662" t="s">
        <v>14</v>
      </c>
      <c r="W8" s="663">
        <f t="shared" si="2"/>
        <v>100</v>
      </c>
      <c r="X8" s="664"/>
      <c r="Y8" s="3364" t="s">
        <v>1683</v>
      </c>
      <c r="Z8" s="3365"/>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5"/>
      <c r="M9" s="2436"/>
      <c r="N9" s="2436"/>
      <c r="O9" s="2436"/>
      <c r="P9" s="3378"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800">
        <f t="shared" si="5"/>
        <v>1</v>
      </c>
    </row>
    <row r="10" spans="1:29" s="364" customFormat="1" ht="27">
      <c r="A10" s="361"/>
      <c r="B10" s="362"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78"/>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800">
        <f t="shared" si="5"/>
        <v>1</v>
      </c>
    </row>
    <row r="11" spans="1:29" ht="15">
      <c r="A11" s="365"/>
      <c r="B11" s="362" t="s">
        <v>1689</v>
      </c>
      <c r="C11" s="366"/>
      <c r="D11" s="118">
        <v>100</v>
      </c>
      <c r="E11" s="366"/>
      <c r="F11" s="118">
        <f>LOOKUP(E11,69:69,70:70)-LOOKUP(C11,69:69,70:70)+100</f>
        <v>100</v>
      </c>
      <c r="G11" s="367"/>
      <c r="H11" s="118">
        <f>LOOKUP(G11,69:69,70:70)-LOOKUP(C11,69:69,70:70)+100</f>
        <v>100</v>
      </c>
      <c r="I11" s="366"/>
      <c r="J11" s="118">
        <f>LOOKUP(I11,69:69,70:70)-LOOKUP(C11,69:69,70:70)+100</f>
        <v>100</v>
      </c>
      <c r="K11" s="536"/>
      <c r="L11" s="2488"/>
      <c r="M11" s="2484"/>
      <c r="N11" s="2484"/>
      <c r="O11" s="2484"/>
      <c r="P11" s="3378"/>
      <c r="Q11" s="528" t="str">
        <f t="shared" si="6"/>
        <v>容积率</v>
      </c>
      <c r="R11" s="662" t="s">
        <v>14</v>
      </c>
      <c r="S11" s="663">
        <f t="shared" si="0"/>
        <v>100</v>
      </c>
      <c r="T11" s="662" t="s">
        <v>14</v>
      </c>
      <c r="U11" s="663">
        <f t="shared" si="1"/>
        <v>100</v>
      </c>
      <c r="V11" s="662" t="s">
        <v>14</v>
      </c>
      <c r="W11" s="663">
        <f t="shared" si="2"/>
        <v>100</v>
      </c>
      <c r="X11" s="664"/>
      <c r="Y11" s="3329"/>
      <c r="Z11" s="50" t="str">
        <f t="shared" si="7"/>
        <v>容积率</v>
      </c>
      <c r="AA11" s="50">
        <f t="shared" si="3"/>
        <v>1</v>
      </c>
      <c r="AB11" s="50">
        <f t="shared" si="4"/>
        <v>1</v>
      </c>
      <c r="AC11" s="800">
        <f t="shared" si="5"/>
        <v>1</v>
      </c>
    </row>
    <row r="12" spans="1:29" s="101" customFormat="1" ht="15">
      <c r="A12" s="368"/>
      <c r="B12" s="445">
        <v>111</v>
      </c>
      <c r="C12" s="369"/>
      <c r="D12" s="370">
        <v>100</v>
      </c>
      <c r="E12" s="369"/>
      <c r="F12" s="118">
        <f>SUMIF(71:71,E12,72:72)-SUMIF(71:71,C12,72:72)+100</f>
        <v>100</v>
      </c>
      <c r="G12" s="1807"/>
      <c r="H12" s="118">
        <f>SUMIF(71:71,G12,72:72)-SUMIF(71:71,C12,72:72)+100</f>
        <v>100</v>
      </c>
      <c r="I12" s="369"/>
      <c r="J12" s="118">
        <f>SUMIF(71:71,I12,72:72)-SUMIF(71:71,C12,72:72)+100</f>
        <v>100</v>
      </c>
      <c r="K12" s="537"/>
      <c r="L12" s="2485"/>
      <c r="M12" s="2436"/>
      <c r="N12" s="2436"/>
      <c r="O12" s="2436"/>
      <c r="P12" s="3378"/>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800">
        <f>D12/J12</f>
        <v>1</v>
      </c>
    </row>
    <row r="13" spans="1:29" ht="15">
      <c r="A13" s="365"/>
      <c r="B13" s="445">
        <v>111</v>
      </c>
      <c r="C13" s="371"/>
      <c r="D13" s="372">
        <v>100</v>
      </c>
      <c r="E13" s="369"/>
      <c r="F13" s="118">
        <f>SUMIF(73:73,E13,74:74)-SUMIF(73:73,C13,74:74)+100</f>
        <v>100</v>
      </c>
      <c r="G13" s="1807"/>
      <c r="H13" s="372">
        <f>SUMIF(73:73,G13,74:74)-SUMIF(73:73,C13,74:74)+100</f>
        <v>100</v>
      </c>
      <c r="I13" s="369"/>
      <c r="J13" s="372">
        <f>SUMIF(73:73,I13,74:74)-SUMIF(73:73,C13,74:74)+100</f>
        <v>100</v>
      </c>
      <c r="K13" s="537"/>
      <c r="L13" s="2489"/>
      <c r="M13" s="2484"/>
      <c r="N13" s="2484"/>
      <c r="O13" s="2484"/>
      <c r="P13" s="3378"/>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800">
        <f t="shared" si="5"/>
        <v>1</v>
      </c>
    </row>
    <row r="14" spans="1:29" ht="15.75" thickBot="1">
      <c r="A14" s="373"/>
      <c r="B14" s="1747">
        <v>111</v>
      </c>
      <c r="C14" s="374"/>
      <c r="D14" s="375">
        <v>100</v>
      </c>
      <c r="E14" s="551"/>
      <c r="F14" s="375">
        <f>SUMIF(75:75,E14,76:76)-SUMIF(75:75,C14,76:76)+100</f>
        <v>100</v>
      </c>
      <c r="G14" s="1807"/>
      <c r="H14" s="375">
        <f>SUMIF(75:75,G14,76:76)-SUMIF(75:75,C14,76:76)+100</f>
        <v>100</v>
      </c>
      <c r="I14" s="369"/>
      <c r="J14" s="375">
        <f>SUMIF(75:75,I14,76:76)-SUMIF(75:75,C14,76:76)+100</f>
        <v>100</v>
      </c>
      <c r="K14" s="537"/>
      <c r="L14" s="2489"/>
      <c r="M14" s="2484"/>
      <c r="N14" s="2484"/>
      <c r="O14" s="2484"/>
      <c r="P14" s="3378"/>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800">
        <f t="shared" si="5"/>
        <v>1</v>
      </c>
    </row>
    <row r="15" spans="1:29" ht="71.25">
      <c r="A15" s="377" t="s">
        <v>1690</v>
      </c>
      <c r="B15" s="552" t="s">
        <v>1811</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9"/>
      <c r="M15" s="2484"/>
      <c r="N15" s="2484"/>
      <c r="O15" s="2484"/>
      <c r="P15" s="3404" t="s">
        <v>1691</v>
      </c>
      <c r="Q15" s="1261" t="str">
        <f t="shared" si="6"/>
        <v>办公集聚程度</v>
      </c>
      <c r="R15" s="665" t="s">
        <v>14</v>
      </c>
      <c r="S15" s="666">
        <f t="shared" si="0"/>
        <v>100</v>
      </c>
      <c r="T15" s="665" t="s">
        <v>14</v>
      </c>
      <c r="U15" s="666">
        <f t="shared" si="1"/>
        <v>100</v>
      </c>
      <c r="V15" s="665" t="s">
        <v>14</v>
      </c>
      <c r="W15" s="666">
        <f t="shared" si="2"/>
        <v>100</v>
      </c>
      <c r="X15" s="1263"/>
      <c r="Y15" s="3397" t="s">
        <v>1691</v>
      </c>
      <c r="Z15" s="1262" t="str">
        <f t="shared" si="7"/>
        <v>办公集聚程度</v>
      </c>
      <c r="AA15" s="1262">
        <f t="shared" si="3"/>
        <v>1</v>
      </c>
      <c r="AB15" s="1262">
        <f t="shared" si="4"/>
        <v>1</v>
      </c>
      <c r="AC15" s="1809">
        <f t="shared" si="5"/>
        <v>1</v>
      </c>
    </row>
    <row r="16" spans="1:29" ht="15">
      <c r="A16" s="365"/>
      <c r="B16" s="553"/>
      <c r="C16" s="1756"/>
      <c r="D16" s="385"/>
      <c r="E16" s="384"/>
      <c r="F16" s="385"/>
      <c r="G16" s="1756"/>
      <c r="H16" s="387"/>
      <c r="I16" s="384"/>
      <c r="J16" s="385"/>
      <c r="K16" s="539"/>
      <c r="L16" s="2489"/>
      <c r="M16" s="2484"/>
      <c r="N16" s="2484"/>
      <c r="O16" s="2484"/>
      <c r="P16" s="3405"/>
      <c r="Q16" s="1261"/>
      <c r="R16" s="665"/>
      <c r="S16" s="666"/>
      <c r="T16" s="665"/>
      <c r="U16" s="666"/>
      <c r="V16" s="665"/>
      <c r="W16" s="666"/>
      <c r="X16" s="1263"/>
      <c r="Y16" s="3398"/>
      <c r="Z16" s="1262"/>
      <c r="AA16" s="1262">
        <v>1</v>
      </c>
      <c r="AB16" s="1262">
        <v>1</v>
      </c>
      <c r="AC16" s="1809">
        <v>1</v>
      </c>
    </row>
    <row r="17" spans="1:29" ht="99.75">
      <c r="A17" s="365"/>
      <c r="B17" s="554" t="s">
        <v>1259</v>
      </c>
      <c r="C17" s="1810" t="str">
        <f>估价对象房地状况!C6</f>
        <v>周边有28路、57路、72路、98路、300路等多条公交线路，地铁7号线与10号线换乘站双井站，综合评价交通便捷度好。</v>
      </c>
      <c r="D17" s="387">
        <v>100</v>
      </c>
      <c r="E17" s="391"/>
      <c r="F17" s="387">
        <f>SUMIF(79:79,E18,80:80)-SUMIF(79:79,C18,80:80)+100</f>
        <v>100</v>
      </c>
      <c r="G17" s="389"/>
      <c r="H17" s="392">
        <f>SUMIF(79:79,G18,80:80)-SUMIF(79:79,C18,80:80)+100</f>
        <v>100</v>
      </c>
      <c r="I17" s="389"/>
      <c r="J17" s="392">
        <f>SUMIF(79:79,I18,80:80)-SUMIF(79:79,C18,80:80)+100</f>
        <v>100</v>
      </c>
      <c r="K17" s="538"/>
      <c r="L17" s="2489"/>
      <c r="M17" s="2484"/>
      <c r="N17" s="2484"/>
      <c r="O17" s="2484"/>
      <c r="P17" s="3405"/>
      <c r="Q17" s="1261" t="str">
        <f>B17</f>
        <v>交通便捷度</v>
      </c>
      <c r="R17" s="665" t="s">
        <v>14</v>
      </c>
      <c r="S17" s="666">
        <f>F17</f>
        <v>100</v>
      </c>
      <c r="T17" s="665" t="s">
        <v>14</v>
      </c>
      <c r="U17" s="666">
        <f>H17</f>
        <v>100</v>
      </c>
      <c r="V17" s="665" t="s">
        <v>14</v>
      </c>
      <c r="W17" s="666">
        <f>J17</f>
        <v>100</v>
      </c>
      <c r="X17" s="1263"/>
      <c r="Y17" s="3398"/>
      <c r="Z17" s="1262" t="str">
        <f>Q17</f>
        <v>交通便捷度</v>
      </c>
      <c r="AA17" s="1262">
        <f t="shared" si="3"/>
        <v>1</v>
      </c>
      <c r="AB17" s="1262">
        <f t="shared" si="4"/>
        <v>1</v>
      </c>
      <c r="AC17" s="1809">
        <f t="shared" si="5"/>
        <v>1</v>
      </c>
    </row>
    <row r="18" spans="1:29" ht="15">
      <c r="A18" s="365"/>
      <c r="B18" s="399"/>
      <c r="C18" s="1811"/>
      <c r="D18" s="387"/>
      <c r="E18" s="1754"/>
      <c r="F18" s="387"/>
      <c r="G18" s="1755"/>
      <c r="H18" s="385"/>
      <c r="I18" s="1755"/>
      <c r="J18" s="385"/>
      <c r="K18" s="539"/>
      <c r="L18" s="2489"/>
      <c r="M18" s="2484"/>
      <c r="N18" s="2484"/>
      <c r="O18" s="2484"/>
      <c r="P18" s="3405"/>
      <c r="Q18" s="1261"/>
      <c r="R18" s="665"/>
      <c r="S18" s="666"/>
      <c r="T18" s="665"/>
      <c r="U18" s="666"/>
      <c r="V18" s="665"/>
      <c r="W18" s="666"/>
      <c r="X18" s="1263"/>
      <c r="Y18" s="3398"/>
      <c r="Z18" s="1262"/>
      <c r="AA18" s="1262">
        <v>1</v>
      </c>
      <c r="AB18" s="1262">
        <v>1</v>
      </c>
      <c r="AC18" s="1809">
        <v>1</v>
      </c>
    </row>
    <row r="19" spans="1:29" ht="270.75">
      <c r="A19" s="365"/>
      <c r="B19" s="554" t="s">
        <v>1812</v>
      </c>
      <c r="C19" s="1810" t="str">
        <f>估价对象房地状况!C7</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D19" s="392">
        <v>100</v>
      </c>
      <c r="E19" s="396"/>
      <c r="F19" s="392">
        <f>SUMIF(81:81,E20,82:82)-SUMIF(81:81,C20,82:82)+100</f>
        <v>100</v>
      </c>
      <c r="G19" s="394"/>
      <c r="H19" s="387">
        <f>SUMIF(81:81,G20,82:82)-SUMIF(81:81,C20,82:82)+100</f>
        <v>100</v>
      </c>
      <c r="I19" s="394"/>
      <c r="J19" s="387">
        <f>SUMIF(81:81,I20,82:82)-SUMIF(81:81,C20,82:82)+100</f>
        <v>100</v>
      </c>
      <c r="K19" s="538"/>
      <c r="L19" s="2489"/>
      <c r="M19" s="2484"/>
      <c r="N19" s="2484"/>
      <c r="O19" s="2484"/>
      <c r="P19" s="3405"/>
      <c r="Q19" s="1261" t="str">
        <f>B19</f>
        <v>公共配套设施</v>
      </c>
      <c r="R19" s="665" t="s">
        <v>14</v>
      </c>
      <c r="S19" s="666">
        <f>F19</f>
        <v>100</v>
      </c>
      <c r="T19" s="665" t="s">
        <v>14</v>
      </c>
      <c r="U19" s="666">
        <f>H19</f>
        <v>100</v>
      </c>
      <c r="V19" s="665" t="s">
        <v>14</v>
      </c>
      <c r="W19" s="666">
        <f>J19</f>
        <v>100</v>
      </c>
      <c r="X19" s="1263"/>
      <c r="Y19" s="3398"/>
      <c r="Z19" s="1262" t="str">
        <f>Q19</f>
        <v>公共配套设施</v>
      </c>
      <c r="AA19" s="1262">
        <f t="shared" si="3"/>
        <v>1</v>
      </c>
      <c r="AB19" s="1262">
        <f t="shared" si="4"/>
        <v>1</v>
      </c>
      <c r="AC19" s="1809">
        <f t="shared" si="5"/>
        <v>1</v>
      </c>
    </row>
    <row r="20" spans="1:29" ht="15">
      <c r="A20" s="365"/>
      <c r="B20" s="399"/>
      <c r="C20" s="1756"/>
      <c r="D20" s="385"/>
      <c r="E20" s="1749"/>
      <c r="F20" s="385"/>
      <c r="G20" s="1750"/>
      <c r="H20" s="385"/>
      <c r="I20" s="1750"/>
      <c r="J20" s="385"/>
      <c r="K20" s="539"/>
      <c r="L20" s="2489"/>
      <c r="M20" s="2484"/>
      <c r="N20" s="2484"/>
      <c r="O20" s="2484"/>
      <c r="P20" s="3405"/>
      <c r="Q20" s="1261"/>
      <c r="R20" s="665"/>
      <c r="S20" s="666"/>
      <c r="T20" s="665"/>
      <c r="U20" s="666"/>
      <c r="V20" s="665"/>
      <c r="W20" s="666"/>
      <c r="X20" s="1263"/>
      <c r="Y20" s="3398"/>
      <c r="Z20" s="1262"/>
      <c r="AA20" s="1262">
        <v>1</v>
      </c>
      <c r="AB20" s="1262">
        <v>1</v>
      </c>
      <c r="AC20" s="1809">
        <v>1</v>
      </c>
    </row>
    <row r="21" spans="1:29" ht="28.5">
      <c r="A21" s="365"/>
      <c r="B21" s="555" t="s">
        <v>1813</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9"/>
      <c r="M21" s="2484"/>
      <c r="N21" s="2484"/>
      <c r="O21" s="2484"/>
      <c r="P21" s="3405"/>
      <c r="Q21" s="1261" t="str">
        <f>B21</f>
        <v>基础设施水平</v>
      </c>
      <c r="R21" s="665" t="s">
        <v>14</v>
      </c>
      <c r="S21" s="666">
        <f>F21</f>
        <v>100</v>
      </c>
      <c r="T21" s="665" t="s">
        <v>14</v>
      </c>
      <c r="U21" s="666">
        <f>H21</f>
        <v>100</v>
      </c>
      <c r="V21" s="665" t="s">
        <v>14</v>
      </c>
      <c r="W21" s="666">
        <f>J21</f>
        <v>100</v>
      </c>
      <c r="X21" s="1263"/>
      <c r="Y21" s="3398"/>
      <c r="Z21" s="1262" t="str">
        <f>Q21</f>
        <v>基础设施水平</v>
      </c>
      <c r="AA21" s="1262">
        <f t="shared" ref="AA21" si="8">D21/F21</f>
        <v>1</v>
      </c>
      <c r="AB21" s="1262">
        <f t="shared" ref="AB21" si="9">D21/H21</f>
        <v>1</v>
      </c>
      <c r="AC21" s="1809">
        <f t="shared" ref="AC21" si="10">D21/J21</f>
        <v>1</v>
      </c>
    </row>
    <row r="22" spans="1:29" ht="15">
      <c r="A22" s="365"/>
      <c r="B22" s="555"/>
      <c r="C22" s="1811"/>
      <c r="D22" s="385"/>
      <c r="E22" s="384"/>
      <c r="F22" s="385"/>
      <c r="G22" s="1756"/>
      <c r="H22" s="385"/>
      <c r="I22" s="1756"/>
      <c r="J22" s="385"/>
      <c r="K22" s="1062"/>
      <c r="L22" s="2489"/>
      <c r="M22" s="2484"/>
      <c r="N22" s="2484"/>
      <c r="O22" s="2484"/>
      <c r="P22" s="3405"/>
      <c r="Q22" s="1261"/>
      <c r="R22" s="665"/>
      <c r="S22" s="666"/>
      <c r="T22" s="665"/>
      <c r="U22" s="666"/>
      <c r="V22" s="665"/>
      <c r="W22" s="666"/>
      <c r="X22" s="1263"/>
      <c r="Y22" s="3398"/>
      <c r="Z22" s="1262"/>
      <c r="AA22" s="1262">
        <v>1</v>
      </c>
      <c r="AB22" s="1262">
        <v>1</v>
      </c>
      <c r="AC22" s="1809">
        <v>1</v>
      </c>
    </row>
    <row r="23" spans="1:29" ht="128.25">
      <c r="A23" s="365"/>
      <c r="B23" s="554" t="s">
        <v>1814</v>
      </c>
      <c r="C23" s="1810" t="str">
        <f>估价对象房地状况!C9</f>
        <v>自然环境：CBD城市森林公园、通惠河水系等自然景观；
人文环境：北京今日美术馆等人文场所；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9"/>
      <c r="M23" s="2484"/>
      <c r="N23" s="2484"/>
      <c r="O23" s="2484"/>
      <c r="P23" s="3405"/>
      <c r="Q23" s="1261" t="str">
        <f>B23</f>
        <v>环境质量</v>
      </c>
      <c r="R23" s="665" t="s">
        <v>14</v>
      </c>
      <c r="S23" s="666">
        <f>F23</f>
        <v>100</v>
      </c>
      <c r="T23" s="665" t="s">
        <v>14</v>
      </c>
      <c r="U23" s="666">
        <f>H23</f>
        <v>100</v>
      </c>
      <c r="V23" s="665" t="s">
        <v>14</v>
      </c>
      <c r="W23" s="666">
        <f>J23</f>
        <v>100</v>
      </c>
      <c r="X23" s="1263"/>
      <c r="Y23" s="3398"/>
      <c r="Z23" s="1262" t="str">
        <f>Q23</f>
        <v>环境质量</v>
      </c>
      <c r="AA23" s="1262">
        <f t="shared" si="3"/>
        <v>1</v>
      </c>
      <c r="AB23" s="1262">
        <f t="shared" si="4"/>
        <v>1</v>
      </c>
      <c r="AC23" s="1809">
        <f t="shared" si="5"/>
        <v>1</v>
      </c>
    </row>
    <row r="24" spans="1:29" ht="15">
      <c r="A24" s="365"/>
      <c r="B24" s="555"/>
      <c r="C24" s="1756"/>
      <c r="D24" s="385"/>
      <c r="E24" s="1749"/>
      <c r="F24" s="385"/>
      <c r="G24" s="1750"/>
      <c r="H24" s="385"/>
      <c r="I24" s="1750"/>
      <c r="J24" s="385"/>
      <c r="K24" s="539"/>
      <c r="L24" s="2489"/>
      <c r="M24" s="2484"/>
      <c r="N24" s="2484"/>
      <c r="O24" s="2484"/>
      <c r="P24" s="3405"/>
      <c r="Q24" s="1261"/>
      <c r="R24" s="665"/>
      <c r="S24" s="666"/>
      <c r="T24" s="665"/>
      <c r="U24" s="666"/>
      <c r="V24" s="665"/>
      <c r="W24" s="666"/>
      <c r="X24" s="1263"/>
      <c r="Y24" s="3398"/>
      <c r="Z24" s="1262"/>
      <c r="AA24" s="1262">
        <v>1</v>
      </c>
      <c r="AB24" s="1262">
        <v>1</v>
      </c>
      <c r="AC24" s="1809">
        <v>1</v>
      </c>
    </row>
    <row r="25" spans="1:29" ht="27">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9"/>
      <c r="M25" s="2484"/>
      <c r="N25" s="2484"/>
      <c r="O25" s="2484"/>
      <c r="P25" s="3405"/>
      <c r="Q25" s="1261" t="str">
        <f>B25</f>
        <v>毗邻道路的类型与等级</v>
      </c>
      <c r="R25" s="665" t="s">
        <v>14</v>
      </c>
      <c r="S25" s="666">
        <f>F25</f>
        <v>100</v>
      </c>
      <c r="T25" s="665" t="s">
        <v>14</v>
      </c>
      <c r="U25" s="666">
        <f>H25</f>
        <v>100</v>
      </c>
      <c r="V25" s="665" t="s">
        <v>14</v>
      </c>
      <c r="W25" s="666">
        <f>J25</f>
        <v>100</v>
      </c>
      <c r="X25" s="1263"/>
      <c r="Y25" s="3398"/>
      <c r="Z25" s="1262" t="str">
        <f>Q25</f>
        <v>毗邻道路的类型与等级</v>
      </c>
      <c r="AA25" s="1262">
        <f t="shared" si="3"/>
        <v>1</v>
      </c>
      <c r="AB25" s="1262">
        <f t="shared" si="4"/>
        <v>1</v>
      </c>
      <c r="AC25" s="1809">
        <f t="shared" si="5"/>
        <v>1</v>
      </c>
    </row>
    <row r="26" spans="1:29" ht="15">
      <c r="A26" s="346"/>
      <c r="B26" s="399"/>
      <c r="C26" s="556"/>
      <c r="D26" s="372"/>
      <c r="E26" s="540"/>
      <c r="F26" s="372"/>
      <c r="G26" s="556"/>
      <c r="H26" s="372"/>
      <c r="I26" s="540"/>
      <c r="J26" s="372"/>
      <c r="K26" s="539"/>
      <c r="L26" s="2489"/>
      <c r="M26" s="2484"/>
      <c r="N26" s="2484"/>
      <c r="O26" s="2484"/>
      <c r="P26" s="3405"/>
      <c r="Q26" s="1261"/>
      <c r="R26" s="665"/>
      <c r="S26" s="666"/>
      <c r="T26" s="665"/>
      <c r="U26" s="666"/>
      <c r="V26" s="665"/>
      <c r="W26" s="666"/>
      <c r="X26" s="1263"/>
      <c r="Y26" s="3398"/>
      <c r="Z26" s="1262"/>
      <c r="AA26" s="1262">
        <v>1</v>
      </c>
      <c r="AB26" s="1262">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9"/>
      <c r="M27" s="2484"/>
      <c r="N27" s="2484"/>
      <c r="O27" s="2484"/>
      <c r="P27" s="3405"/>
      <c r="Q27" s="1261" t="str">
        <f t="shared" ref="Q27:Q47" si="11">B27</f>
        <v>楼层</v>
      </c>
      <c r="R27" s="665" t="s">
        <v>14</v>
      </c>
      <c r="S27" s="666">
        <f>F27</f>
        <v>100</v>
      </c>
      <c r="T27" s="665" t="s">
        <v>14</v>
      </c>
      <c r="U27" s="666">
        <f>H27</f>
        <v>100</v>
      </c>
      <c r="V27" s="665" t="s">
        <v>14</v>
      </c>
      <c r="W27" s="666">
        <f>J27</f>
        <v>100</v>
      </c>
      <c r="X27" s="1263"/>
      <c r="Y27" s="3398"/>
      <c r="Z27" s="1262" t="str">
        <f>Q27</f>
        <v>楼层</v>
      </c>
      <c r="AA27" s="1262">
        <f t="shared" si="3"/>
        <v>1</v>
      </c>
      <c r="AB27" s="1262">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5"/>
      <c r="M28" s="2436"/>
      <c r="N28" s="2436"/>
      <c r="O28" s="2436"/>
      <c r="P28" s="3405"/>
      <c r="Q28" s="528" t="str">
        <f t="shared" si="11"/>
        <v>朝向</v>
      </c>
      <c r="R28" s="662" t="s">
        <v>14</v>
      </c>
      <c r="S28" s="663">
        <f>F28</f>
        <v>100</v>
      </c>
      <c r="T28" s="662" t="s">
        <v>14</v>
      </c>
      <c r="U28" s="663">
        <f>H28</f>
        <v>100</v>
      </c>
      <c r="V28" s="662" t="s">
        <v>14</v>
      </c>
      <c r="W28" s="663">
        <f>J28</f>
        <v>100</v>
      </c>
      <c r="X28" s="664"/>
      <c r="Y28" s="3398"/>
      <c r="Z28" s="50" t="str">
        <f>Q28</f>
        <v>朝向</v>
      </c>
      <c r="AA28" s="1262">
        <f>D28/F28</f>
        <v>1</v>
      </c>
      <c r="AB28" s="1262">
        <f>D28/H28</f>
        <v>1</v>
      </c>
      <c r="AC28" s="1809">
        <f>D28/J28</f>
        <v>1</v>
      </c>
    </row>
    <row r="29" spans="1:29" ht="15">
      <c r="A29" s="365"/>
      <c r="B29" s="1097">
        <v>111</v>
      </c>
      <c r="C29" s="1760"/>
      <c r="D29" s="372">
        <v>100</v>
      </c>
      <c r="E29" s="369"/>
      <c r="F29" s="372">
        <f>SUMIF(93:93,E29,94:94)-SUMIF(93:93,C29,94:94)+100</f>
        <v>100</v>
      </c>
      <c r="G29" s="1807"/>
      <c r="H29" s="372">
        <f>SUMIF(93:93,G29,94:94)-SUMIF(93:93,C29,94:94)+100</f>
        <v>100</v>
      </c>
      <c r="I29" s="369"/>
      <c r="J29" s="372">
        <f>SUMIF(93:93,I29,94:94)-SUMIF(93:93,C29,94:94)+100</f>
        <v>100</v>
      </c>
      <c r="K29" s="537"/>
      <c r="L29" s="2489"/>
      <c r="M29" s="2484"/>
      <c r="N29" s="2484"/>
      <c r="O29" s="2484"/>
      <c r="P29" s="3405"/>
      <c r="Q29" s="1261">
        <f t="shared" si="11"/>
        <v>111</v>
      </c>
      <c r="R29" s="665" t="s">
        <v>14</v>
      </c>
      <c r="S29" s="666">
        <f t="shared" ref="S29:S47" si="12">F29</f>
        <v>100</v>
      </c>
      <c r="T29" s="665" t="s">
        <v>14</v>
      </c>
      <c r="U29" s="666">
        <f t="shared" ref="U29:U47" si="13">H29</f>
        <v>100</v>
      </c>
      <c r="V29" s="665" t="s">
        <v>14</v>
      </c>
      <c r="W29" s="666">
        <f t="shared" ref="W29:W47" si="14">J29</f>
        <v>100</v>
      </c>
      <c r="X29" s="1263"/>
      <c r="Y29" s="3398"/>
      <c r="Z29" s="1262">
        <f t="shared" ref="Z29:Z47" si="15">Q29</f>
        <v>111</v>
      </c>
      <c r="AA29" s="1262">
        <f t="shared" si="3"/>
        <v>1</v>
      </c>
      <c r="AB29" s="1262">
        <f t="shared" si="4"/>
        <v>1</v>
      </c>
      <c r="AC29" s="1809">
        <f t="shared" si="5"/>
        <v>1</v>
      </c>
    </row>
    <row r="30" spans="1:29" ht="15">
      <c r="A30" s="365"/>
      <c r="B30" s="1097">
        <v>111</v>
      </c>
      <c r="C30" s="1760"/>
      <c r="D30" s="372">
        <v>100</v>
      </c>
      <c r="E30" s="369"/>
      <c r="F30" s="372">
        <f>SUMIF(95:95,E30,96:96)-SUMIF(95:95,C30,96:96)+100</f>
        <v>100</v>
      </c>
      <c r="G30" s="1807"/>
      <c r="H30" s="372">
        <f>SUMIF(95:95,G30,96:96)-SUMIF(95:95,C30,96:96)+100</f>
        <v>100</v>
      </c>
      <c r="I30" s="369"/>
      <c r="J30" s="372">
        <f>SUMIF(95:95,I30,96:96)-SUMIF(95:95,C30,96:96)+100</f>
        <v>100</v>
      </c>
      <c r="K30" s="537"/>
      <c r="L30" s="2489"/>
      <c r="M30" s="2484"/>
      <c r="N30" s="2484"/>
      <c r="O30" s="2484"/>
      <c r="P30" s="3405"/>
      <c r="Q30" s="1261">
        <f t="shared" si="11"/>
        <v>111</v>
      </c>
      <c r="R30" s="665" t="s">
        <v>14</v>
      </c>
      <c r="S30" s="666">
        <f t="shared" si="12"/>
        <v>100</v>
      </c>
      <c r="T30" s="665" t="s">
        <v>14</v>
      </c>
      <c r="U30" s="666">
        <f t="shared" si="13"/>
        <v>100</v>
      </c>
      <c r="V30" s="665" t="s">
        <v>14</v>
      </c>
      <c r="W30" s="666">
        <f t="shared" si="14"/>
        <v>100</v>
      </c>
      <c r="X30" s="1263"/>
      <c r="Y30" s="3398"/>
      <c r="Z30" s="1262">
        <f t="shared" si="15"/>
        <v>111</v>
      </c>
      <c r="AA30" s="1262">
        <f t="shared" si="3"/>
        <v>1</v>
      </c>
      <c r="AB30" s="1262">
        <f t="shared" si="4"/>
        <v>1</v>
      </c>
      <c r="AC30" s="1809">
        <f t="shared" si="5"/>
        <v>1</v>
      </c>
    </row>
    <row r="31" spans="1:29" ht="15">
      <c r="A31" s="365"/>
      <c r="B31" s="1097">
        <v>111</v>
      </c>
      <c r="C31" s="1760"/>
      <c r="D31" s="372">
        <v>100</v>
      </c>
      <c r="E31" s="369"/>
      <c r="F31" s="372">
        <f>SUMIF(97:97,E31,98:98)-SUMIF(97:97,C31,98:98)+100</f>
        <v>100</v>
      </c>
      <c r="G31" s="1807"/>
      <c r="H31" s="372">
        <f>SUMIF(97:97,G31,98:98)-SUMIF(97:97,C31,98:98)+100</f>
        <v>100</v>
      </c>
      <c r="I31" s="369"/>
      <c r="J31" s="372">
        <f>SUMIF(97:97,I31,98:98)-SUMIF(97:97,C31,98:98)+100</f>
        <v>100</v>
      </c>
      <c r="K31" s="537"/>
      <c r="L31" s="2489"/>
      <c r="M31" s="2484"/>
      <c r="N31" s="2484"/>
      <c r="O31" s="2484"/>
      <c r="P31" s="3405"/>
      <c r="Q31" s="1261">
        <f t="shared" si="11"/>
        <v>111</v>
      </c>
      <c r="R31" s="665" t="s">
        <v>14</v>
      </c>
      <c r="S31" s="666">
        <f t="shared" si="12"/>
        <v>100</v>
      </c>
      <c r="T31" s="665" t="s">
        <v>14</v>
      </c>
      <c r="U31" s="666">
        <f t="shared" si="13"/>
        <v>100</v>
      </c>
      <c r="V31" s="665" t="s">
        <v>14</v>
      </c>
      <c r="W31" s="666">
        <f t="shared" si="14"/>
        <v>100</v>
      </c>
      <c r="X31" s="1263"/>
      <c r="Y31" s="3398"/>
      <c r="Z31" s="1262">
        <f t="shared" si="15"/>
        <v>111</v>
      </c>
      <c r="AA31" s="1262">
        <f t="shared" si="3"/>
        <v>1</v>
      </c>
      <c r="AB31" s="1262">
        <f t="shared" si="4"/>
        <v>1</v>
      </c>
      <c r="AC31" s="1809">
        <f t="shared" si="5"/>
        <v>1</v>
      </c>
    </row>
    <row r="32" spans="1:29" ht="15.75" thickBot="1">
      <c r="A32" s="373"/>
      <c r="B32" s="557">
        <v>111</v>
      </c>
      <c r="C32" s="1761"/>
      <c r="D32" s="375">
        <v>100</v>
      </c>
      <c r="E32" s="551"/>
      <c r="F32" s="375">
        <f>SUMIF(99:99,E32,100:100)-SUMIF(99:99,C32,100:100)+100</f>
        <v>100</v>
      </c>
      <c r="G32" s="1807"/>
      <c r="H32" s="375">
        <f>SUMIF(99:99,G32,100:100)-SUMIF(99:99,C32,100:100)+100</f>
        <v>100</v>
      </c>
      <c r="I32" s="369"/>
      <c r="J32" s="375">
        <f>SUMIF(99:99,I32,100:100)-SUMIF(99:99,C32,100:100)+100</f>
        <v>100</v>
      </c>
      <c r="K32" s="537"/>
      <c r="L32" s="2489"/>
      <c r="M32" s="2484"/>
      <c r="N32" s="2484"/>
      <c r="O32" s="2484"/>
      <c r="P32" s="3405"/>
      <c r="Q32" s="1261">
        <f t="shared" si="11"/>
        <v>111</v>
      </c>
      <c r="R32" s="665" t="s">
        <v>14</v>
      </c>
      <c r="S32" s="666">
        <f t="shared" si="12"/>
        <v>100</v>
      </c>
      <c r="T32" s="665" t="s">
        <v>14</v>
      </c>
      <c r="U32" s="666">
        <f t="shared" si="13"/>
        <v>100</v>
      </c>
      <c r="V32" s="665" t="s">
        <v>14</v>
      </c>
      <c r="W32" s="666">
        <f t="shared" si="14"/>
        <v>100</v>
      </c>
      <c r="X32" s="1263"/>
      <c r="Y32" s="3398"/>
      <c r="Z32" s="1262">
        <f t="shared" si="15"/>
        <v>111</v>
      </c>
      <c r="AA32" s="1262">
        <f t="shared" si="3"/>
        <v>1</v>
      </c>
      <c r="AB32" s="1262">
        <f t="shared" si="4"/>
        <v>1</v>
      </c>
      <c r="AC32" s="1809">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9"/>
      <c r="M33" s="2484"/>
      <c r="N33" s="2484"/>
      <c r="O33" s="2484"/>
      <c r="P33" s="3399" t="s">
        <v>1696</v>
      </c>
      <c r="Q33" s="1261" t="str">
        <f t="shared" si="11"/>
        <v>建筑类型</v>
      </c>
      <c r="R33" s="665" t="s">
        <v>14</v>
      </c>
      <c r="S33" s="666">
        <f t="shared" si="12"/>
        <v>100</v>
      </c>
      <c r="T33" s="665" t="s">
        <v>14</v>
      </c>
      <c r="U33" s="666">
        <f t="shared" si="13"/>
        <v>100</v>
      </c>
      <c r="V33" s="665" t="s">
        <v>14</v>
      </c>
      <c r="W33" s="666">
        <f t="shared" si="14"/>
        <v>100</v>
      </c>
      <c r="X33" s="1263"/>
      <c r="Y33" s="3402" t="s">
        <v>1696</v>
      </c>
      <c r="Z33" s="1262" t="str">
        <f t="shared" si="15"/>
        <v>建筑类型</v>
      </c>
      <c r="AA33" s="1262">
        <f t="shared" si="3"/>
        <v>1</v>
      </c>
      <c r="AB33" s="1262">
        <f t="shared" si="4"/>
        <v>1</v>
      </c>
      <c r="AC33" s="1809">
        <f t="shared" si="5"/>
        <v>1</v>
      </c>
    </row>
    <row r="34" spans="1:29" s="406" customFormat="1" ht="15">
      <c r="A34" s="404"/>
      <c r="B34" s="362" t="s">
        <v>1697</v>
      </c>
      <c r="C34" s="405"/>
      <c r="D34" s="118">
        <v>100</v>
      </c>
      <c r="E34" s="367"/>
      <c r="F34" s="362" t="e">
        <f>LOOKUP(E34,104:104,105:105)-LOOKUP(C34,104:104,105:105)+100</f>
        <v>#N/A</v>
      </c>
      <c r="G34" s="366"/>
      <c r="H34" s="118" t="e">
        <f>LOOKUP(G34,104:104,105:105)-LOOKUP(C34,104:104,105:105)+100</f>
        <v>#N/A</v>
      </c>
      <c r="I34" s="366"/>
      <c r="J34" s="118" t="e">
        <f>LOOKUP(I34,104:104,105:105)-LOOKUP(C34,104:104,105:105)+100</f>
        <v>#N/A</v>
      </c>
      <c r="K34" s="537"/>
      <c r="L34" s="2488"/>
      <c r="M34" s="2490"/>
      <c r="N34" s="2490"/>
      <c r="O34" s="2490"/>
      <c r="P34" s="3400"/>
      <c r="Q34" s="529" t="str">
        <f t="shared" si="11"/>
        <v>项目建筑规模</v>
      </c>
      <c r="R34" s="667" t="s">
        <v>14</v>
      </c>
      <c r="S34" s="668" t="e">
        <f t="shared" si="12"/>
        <v>#N/A</v>
      </c>
      <c r="T34" s="667" t="s">
        <v>14</v>
      </c>
      <c r="U34" s="668" t="e">
        <f t="shared" si="13"/>
        <v>#N/A</v>
      </c>
      <c r="V34" s="667" t="s">
        <v>14</v>
      </c>
      <c r="W34" s="668" t="e">
        <f t="shared" si="14"/>
        <v>#N/A</v>
      </c>
      <c r="X34" s="669"/>
      <c r="Y34" s="3402"/>
      <c r="Z34" s="670" t="str">
        <f t="shared" si="15"/>
        <v>项目建筑规模</v>
      </c>
      <c r="AA34" s="1262" t="e">
        <f t="shared" si="3"/>
        <v>#N/A</v>
      </c>
      <c r="AB34" s="1262"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9"/>
      <c r="M35" s="2484"/>
      <c r="N35" s="2484"/>
      <c r="O35" s="2484"/>
      <c r="P35" s="3400"/>
      <c r="Q35" s="1261" t="str">
        <f t="shared" si="11"/>
        <v>建筑结构</v>
      </c>
      <c r="R35" s="665" t="s">
        <v>14</v>
      </c>
      <c r="S35" s="666">
        <f t="shared" si="12"/>
        <v>100</v>
      </c>
      <c r="T35" s="665" t="s">
        <v>14</v>
      </c>
      <c r="U35" s="666">
        <f t="shared" si="13"/>
        <v>100</v>
      </c>
      <c r="V35" s="665" t="s">
        <v>14</v>
      </c>
      <c r="W35" s="666">
        <f t="shared" si="14"/>
        <v>100</v>
      </c>
      <c r="X35" s="1263"/>
      <c r="Y35" s="3402"/>
      <c r="Z35" s="1262" t="str">
        <f t="shared" si="15"/>
        <v>建筑结构</v>
      </c>
      <c r="AA35" s="1262">
        <f t="shared" si="3"/>
        <v>1</v>
      </c>
      <c r="AB35" s="1262">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9"/>
      <c r="M36" s="2484"/>
      <c r="N36" s="2484"/>
      <c r="O36" s="2484"/>
      <c r="P36" s="3400"/>
      <c r="Q36" s="1261" t="str">
        <f t="shared" si="11"/>
        <v>公共部分装修</v>
      </c>
      <c r="R36" s="665" t="s">
        <v>14</v>
      </c>
      <c r="S36" s="666">
        <f t="shared" si="12"/>
        <v>100</v>
      </c>
      <c r="T36" s="665" t="s">
        <v>14</v>
      </c>
      <c r="U36" s="666">
        <f t="shared" si="13"/>
        <v>100</v>
      </c>
      <c r="V36" s="665" t="s">
        <v>14</v>
      </c>
      <c r="W36" s="666">
        <f t="shared" si="14"/>
        <v>100</v>
      </c>
      <c r="X36" s="1263"/>
      <c r="Y36" s="3402"/>
      <c r="Z36" s="1262" t="str">
        <f t="shared" si="15"/>
        <v>公共部分装修</v>
      </c>
      <c r="AA36" s="1262">
        <f t="shared" si="3"/>
        <v>1</v>
      </c>
      <c r="AB36" s="1262">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9"/>
      <c r="M37" s="2484"/>
      <c r="N37" s="2484"/>
      <c r="O37" s="2484"/>
      <c r="P37" s="3400"/>
      <c r="Q37" s="1261" t="str">
        <f t="shared" si="11"/>
        <v>成新度</v>
      </c>
      <c r="R37" s="665" t="s">
        <v>14</v>
      </c>
      <c r="S37" s="666" t="e">
        <f t="shared" si="12"/>
        <v>#N/A</v>
      </c>
      <c r="T37" s="665" t="s">
        <v>14</v>
      </c>
      <c r="U37" s="666" t="e">
        <f t="shared" si="13"/>
        <v>#N/A</v>
      </c>
      <c r="V37" s="665" t="s">
        <v>14</v>
      </c>
      <c r="W37" s="666" t="e">
        <f t="shared" si="14"/>
        <v>#N/A</v>
      </c>
      <c r="X37" s="1263"/>
      <c r="Y37" s="3402"/>
      <c r="Z37" s="1262" t="str">
        <f t="shared" si="15"/>
        <v>成新度</v>
      </c>
      <c r="AA37" s="1262" t="e">
        <f t="shared" si="3"/>
        <v>#N/A</v>
      </c>
      <c r="AB37" s="1262" t="e">
        <f t="shared" si="4"/>
        <v>#N/A</v>
      </c>
      <c r="AC37" s="1809" t="e">
        <f t="shared" si="5"/>
        <v>#N/A</v>
      </c>
    </row>
    <row r="38" spans="1:29" s="101" customFormat="1" ht="15">
      <c r="A38" s="408"/>
      <c r="B38" s="362" t="s">
        <v>1818</v>
      </c>
      <c r="C38" s="397"/>
      <c r="D38" s="118">
        <v>100</v>
      </c>
      <c r="E38" s="397"/>
      <c r="F38" s="398">
        <f>SUMIF(113:113,E38,114:114)-SUMIF(113:113,C38,114:114)+100</f>
        <v>100</v>
      </c>
      <c r="G38" s="397"/>
      <c r="H38" s="372">
        <f>SUMIF(113:113,G38,114:114)-SUMIF(113:113,C38,114:114)+100</f>
        <v>100</v>
      </c>
      <c r="I38" s="397"/>
      <c r="J38" s="372">
        <f>SUMIF(113:113,I38,114:114)-SUMIF(113:113,C38,114:114)+100</f>
        <v>100</v>
      </c>
      <c r="K38" s="536"/>
      <c r="L38" s="2485"/>
      <c r="M38" s="2436"/>
      <c r="N38" s="2436"/>
      <c r="O38" s="2436"/>
      <c r="P38" s="3400"/>
      <c r="Q38" s="528" t="str">
        <f t="shared" si="11"/>
        <v>写字楼等级</v>
      </c>
      <c r="R38" s="662" t="s">
        <v>14</v>
      </c>
      <c r="S38" s="663">
        <f t="shared" si="12"/>
        <v>100</v>
      </c>
      <c r="T38" s="662" t="s">
        <v>14</v>
      </c>
      <c r="U38" s="663">
        <f t="shared" si="13"/>
        <v>100</v>
      </c>
      <c r="V38" s="662" t="s">
        <v>14</v>
      </c>
      <c r="W38" s="663">
        <f t="shared" si="14"/>
        <v>100</v>
      </c>
      <c r="X38" s="664"/>
      <c r="Y38" s="3402"/>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9"/>
      <c r="M39" s="2484"/>
      <c r="N39" s="2484"/>
      <c r="O39" s="2484"/>
      <c r="P39" s="3400" t="s">
        <v>1696</v>
      </c>
      <c r="Q39" s="1261" t="str">
        <f t="shared" si="11"/>
        <v>物业管理</v>
      </c>
      <c r="R39" s="665" t="s">
        <v>14</v>
      </c>
      <c r="S39" s="666">
        <f t="shared" si="12"/>
        <v>100</v>
      </c>
      <c r="T39" s="665" t="s">
        <v>14</v>
      </c>
      <c r="U39" s="666">
        <f t="shared" si="13"/>
        <v>100</v>
      </c>
      <c r="V39" s="665" t="s">
        <v>14</v>
      </c>
      <c r="W39" s="666">
        <f t="shared" si="14"/>
        <v>100</v>
      </c>
      <c r="X39" s="1263"/>
      <c r="Y39" s="3402" t="s">
        <v>1696</v>
      </c>
      <c r="Z39" s="1262" t="str">
        <f t="shared" si="15"/>
        <v>物业管理</v>
      </c>
      <c r="AA39" s="1262">
        <f t="shared" si="3"/>
        <v>1</v>
      </c>
      <c r="AB39" s="1262">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9"/>
      <c r="M40" s="2484"/>
      <c r="N40" s="2484"/>
      <c r="O40" s="2484"/>
      <c r="P40" s="3400"/>
      <c r="Q40" s="1261" t="str">
        <f t="shared" si="11"/>
        <v>市政基础设施</v>
      </c>
      <c r="R40" s="665" t="s">
        <v>14</v>
      </c>
      <c r="S40" s="666">
        <f t="shared" si="12"/>
        <v>100</v>
      </c>
      <c r="T40" s="665" t="s">
        <v>14</v>
      </c>
      <c r="U40" s="666">
        <f t="shared" si="13"/>
        <v>100</v>
      </c>
      <c r="V40" s="665" t="s">
        <v>14</v>
      </c>
      <c r="W40" s="666">
        <f t="shared" si="14"/>
        <v>100</v>
      </c>
      <c r="X40" s="1263"/>
      <c r="Y40" s="3402"/>
      <c r="Z40" s="1262" t="str">
        <f t="shared" si="15"/>
        <v>市政基础设施</v>
      </c>
      <c r="AA40" s="1262">
        <f t="shared" si="3"/>
        <v>1</v>
      </c>
      <c r="AB40" s="1262">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9"/>
      <c r="M41" s="2484"/>
      <c r="N41" s="2484"/>
      <c r="O41" s="2484"/>
      <c r="P41" s="3400"/>
      <c r="Q41" s="1261" t="str">
        <f t="shared" si="11"/>
        <v>层高</v>
      </c>
      <c r="R41" s="665" t="s">
        <v>14</v>
      </c>
      <c r="S41" s="666">
        <f t="shared" si="12"/>
        <v>100</v>
      </c>
      <c r="T41" s="665" t="s">
        <v>14</v>
      </c>
      <c r="U41" s="666">
        <f t="shared" si="13"/>
        <v>100</v>
      </c>
      <c r="V41" s="665" t="s">
        <v>14</v>
      </c>
      <c r="W41" s="666">
        <f t="shared" si="14"/>
        <v>100</v>
      </c>
      <c r="X41" s="1263"/>
      <c r="Y41" s="3402"/>
      <c r="Z41" s="1262" t="str">
        <f t="shared" si="15"/>
        <v>层高</v>
      </c>
      <c r="AA41" s="1262">
        <f t="shared" si="3"/>
        <v>1</v>
      </c>
      <c r="AB41" s="1262">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8"/>
      <c r="M42" s="2490"/>
      <c r="N42" s="2490"/>
      <c r="O42" s="2490"/>
      <c r="P42" s="3400"/>
      <c r="Q42" s="529" t="str">
        <f t="shared" si="11"/>
        <v>单套建筑面积</v>
      </c>
      <c r="R42" s="667" t="s">
        <v>14</v>
      </c>
      <c r="S42" s="668">
        <f t="shared" si="12"/>
        <v>100</v>
      </c>
      <c r="T42" s="667" t="s">
        <v>14</v>
      </c>
      <c r="U42" s="668">
        <f t="shared" si="13"/>
        <v>100</v>
      </c>
      <c r="V42" s="667" t="s">
        <v>14</v>
      </c>
      <c r="W42" s="668">
        <f t="shared" si="14"/>
        <v>100</v>
      </c>
      <c r="X42" s="669"/>
      <c r="Y42" s="3402"/>
      <c r="Z42" s="670" t="str">
        <f t="shared" si="15"/>
        <v>单套建筑面积</v>
      </c>
      <c r="AA42" s="1262">
        <f t="shared" si="3"/>
        <v>1</v>
      </c>
      <c r="AB42" s="1262">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9"/>
      <c r="M43" s="2484"/>
      <c r="N43" s="2484"/>
      <c r="O43" s="2484"/>
      <c r="P43" s="3400"/>
      <c r="Q43" s="1261" t="str">
        <f t="shared" si="11"/>
        <v>内部装修</v>
      </c>
      <c r="R43" s="665" t="s">
        <v>14</v>
      </c>
      <c r="S43" s="666">
        <f t="shared" si="12"/>
        <v>100</v>
      </c>
      <c r="T43" s="665" t="s">
        <v>14</v>
      </c>
      <c r="U43" s="666">
        <f t="shared" si="13"/>
        <v>100</v>
      </c>
      <c r="V43" s="665" t="s">
        <v>14</v>
      </c>
      <c r="W43" s="666">
        <f t="shared" si="14"/>
        <v>100</v>
      </c>
      <c r="X43" s="1263"/>
      <c r="Y43" s="3402"/>
      <c r="Z43" s="1262" t="str">
        <f t="shared" si="15"/>
        <v>内部装修</v>
      </c>
      <c r="AA43" s="1262">
        <f t="shared" si="3"/>
        <v>1</v>
      </c>
      <c r="AB43" s="1262">
        <f t="shared" si="4"/>
        <v>1</v>
      </c>
      <c r="AC43" s="1809">
        <f t="shared" si="5"/>
        <v>1</v>
      </c>
    </row>
    <row r="44" spans="1:29" ht="15">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9"/>
      <c r="M44" s="2484"/>
      <c r="N44" s="2484"/>
      <c r="O44" s="2484"/>
      <c r="P44" s="3400"/>
      <c r="Q44" s="1261" t="str">
        <f t="shared" si="11"/>
        <v>内部装修维护情况</v>
      </c>
      <c r="R44" s="665" t="s">
        <v>14</v>
      </c>
      <c r="S44" s="666">
        <f t="shared" si="12"/>
        <v>100</v>
      </c>
      <c r="T44" s="665" t="s">
        <v>14</v>
      </c>
      <c r="U44" s="666">
        <f t="shared" si="13"/>
        <v>100</v>
      </c>
      <c r="V44" s="665" t="s">
        <v>14</v>
      </c>
      <c r="W44" s="666">
        <f t="shared" si="14"/>
        <v>100</v>
      </c>
      <c r="X44" s="1263"/>
      <c r="Y44" s="3402"/>
      <c r="Z44" s="1262" t="str">
        <f t="shared" si="15"/>
        <v>内部装修维护情况</v>
      </c>
      <c r="AA44" s="1262">
        <f t="shared" si="3"/>
        <v>1</v>
      </c>
      <c r="AB44" s="1262">
        <f t="shared" si="4"/>
        <v>1</v>
      </c>
      <c r="AC44" s="1809">
        <f t="shared" si="5"/>
        <v>1</v>
      </c>
    </row>
    <row r="45" spans="1:29" s="101" customFormat="1" ht="15">
      <c r="A45" s="408"/>
      <c r="B45" s="1064">
        <v>111</v>
      </c>
      <c r="C45" s="405"/>
      <c r="D45" s="118">
        <v>100</v>
      </c>
      <c r="E45" s="369"/>
      <c r="F45" s="362">
        <f>SUMIF(127:127,E45,128:128)-SUMIF(127:127,C45,128:128)+100</f>
        <v>100</v>
      </c>
      <c r="G45" s="369"/>
      <c r="H45" s="118">
        <f>SUMIF(127:127,G45,128:128)-SUMIF(127:127,C45,128:128)+100</f>
        <v>100</v>
      </c>
      <c r="I45" s="369"/>
      <c r="J45" s="118">
        <f>SUMIF(127:127,I45,128:128)-SUMIF(127:127,C45,128:128)+100</f>
        <v>100</v>
      </c>
      <c r="K45" s="537"/>
      <c r="L45" s="2485"/>
      <c r="M45" s="2436"/>
      <c r="N45" s="2436"/>
      <c r="O45" s="2436"/>
      <c r="P45" s="3400"/>
      <c r="Q45" s="528">
        <f t="shared" si="11"/>
        <v>111</v>
      </c>
      <c r="R45" s="662" t="s">
        <v>14</v>
      </c>
      <c r="S45" s="663">
        <f t="shared" si="12"/>
        <v>100</v>
      </c>
      <c r="T45" s="662" t="s">
        <v>14</v>
      </c>
      <c r="U45" s="663">
        <f t="shared" si="13"/>
        <v>100</v>
      </c>
      <c r="V45" s="662" t="s">
        <v>14</v>
      </c>
      <c r="W45" s="663">
        <f t="shared" si="14"/>
        <v>100</v>
      </c>
      <c r="X45" s="664"/>
      <c r="Y45" s="3402"/>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9"/>
      <c r="M46" s="2484"/>
      <c r="N46" s="2484"/>
      <c r="O46" s="2484"/>
      <c r="P46" s="3400"/>
      <c r="Q46" s="1261">
        <f t="shared" si="11"/>
        <v>111</v>
      </c>
      <c r="R46" s="665" t="s">
        <v>14</v>
      </c>
      <c r="S46" s="666">
        <f t="shared" si="12"/>
        <v>100</v>
      </c>
      <c r="T46" s="665" t="s">
        <v>14</v>
      </c>
      <c r="U46" s="666">
        <f t="shared" si="13"/>
        <v>100</v>
      </c>
      <c r="V46" s="665" t="s">
        <v>14</v>
      </c>
      <c r="W46" s="666">
        <f t="shared" si="14"/>
        <v>100</v>
      </c>
      <c r="X46" s="1263"/>
      <c r="Y46" s="3402"/>
      <c r="Z46" s="1262">
        <f t="shared" si="15"/>
        <v>111</v>
      </c>
      <c r="AA46" s="1262">
        <f t="shared" si="3"/>
        <v>1</v>
      </c>
      <c r="AB46" s="1262">
        <f t="shared" si="4"/>
        <v>1</v>
      </c>
      <c r="AC46" s="1809">
        <f t="shared" si="5"/>
        <v>1</v>
      </c>
    </row>
    <row r="47" spans="1:29" ht="15.75"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9"/>
      <c r="M47" s="2484"/>
      <c r="N47" s="2484"/>
      <c r="O47" s="2484"/>
      <c r="P47" s="3401"/>
      <c r="Q47" s="1261">
        <f t="shared" si="11"/>
        <v>111</v>
      </c>
      <c r="R47" s="665" t="s">
        <v>14</v>
      </c>
      <c r="S47" s="666">
        <f t="shared" si="12"/>
        <v>100</v>
      </c>
      <c r="T47" s="665" t="s">
        <v>14</v>
      </c>
      <c r="U47" s="666">
        <f t="shared" si="13"/>
        <v>100</v>
      </c>
      <c r="V47" s="665" t="s">
        <v>14</v>
      </c>
      <c r="W47" s="666">
        <f t="shared" si="14"/>
        <v>100</v>
      </c>
      <c r="X47" s="1263"/>
      <c r="Y47" s="3403"/>
      <c r="Z47" s="1262">
        <f t="shared" si="15"/>
        <v>111</v>
      </c>
      <c r="AA47" s="1262">
        <f t="shared" si="3"/>
        <v>1</v>
      </c>
      <c r="AB47" s="1262">
        <f t="shared" si="4"/>
        <v>1</v>
      </c>
      <c r="AC47" s="1809">
        <f t="shared" si="5"/>
        <v>1</v>
      </c>
    </row>
    <row r="48" spans="1:29" ht="15">
      <c r="A48" s="414" t="s">
        <v>1708</v>
      </c>
      <c r="B48" s="415"/>
      <c r="C48" s="1079" t="s">
        <v>0</v>
      </c>
      <c r="D48" s="416"/>
      <c r="E48" s="417"/>
      <c r="F48" s="418"/>
      <c r="G48" s="419"/>
      <c r="H48" s="420"/>
      <c r="I48" s="417"/>
      <c r="J48" s="420"/>
      <c r="K48" s="672"/>
      <c r="L48" s="2491"/>
      <c r="M48" s="2484"/>
      <c r="N48" s="2484"/>
      <c r="O48" s="2484"/>
      <c r="P48" s="3378" t="str">
        <f>A48</f>
        <v>成交单价（元/平方米）</v>
      </c>
      <c r="Q48" s="3396"/>
      <c r="R48" s="3391">
        <f>E48</f>
        <v>0</v>
      </c>
      <c r="S48" s="3391"/>
      <c r="T48" s="3391">
        <f>G48</f>
        <v>0</v>
      </c>
      <c r="U48" s="3391"/>
      <c r="V48" s="3391">
        <f>I48</f>
        <v>0</v>
      </c>
      <c r="W48" s="3391"/>
      <c r="X48" s="383"/>
      <c r="Y48" s="671"/>
      <c r="Z48" s="383"/>
      <c r="AA48" s="383"/>
      <c r="AB48" s="383"/>
      <c r="AC48" s="553"/>
    </row>
    <row r="49" spans="1:29" ht="15.75" thickBot="1">
      <c r="A49" s="421" t="s">
        <v>1793</v>
      </c>
      <c r="B49" s="422"/>
      <c r="C49" s="1080" t="e">
        <f>R50</f>
        <v>#DIV/0!</v>
      </c>
      <c r="D49" s="2138" t="s">
        <v>2138</v>
      </c>
      <c r="E49" s="1081" t="e">
        <f>R49</f>
        <v>#DIV/0!</v>
      </c>
      <c r="F49" s="2139"/>
      <c r="G49" s="1080" t="e">
        <f>T49</f>
        <v>#DIV/0!</v>
      </c>
      <c r="H49" s="2139"/>
      <c r="I49" s="1081" t="e">
        <f>V49</f>
        <v>#DIV/0!</v>
      </c>
      <c r="J49" s="2139"/>
      <c r="K49" s="2141">
        <f>F49+H49+J49</f>
        <v>0</v>
      </c>
      <c r="L49" s="2491"/>
      <c r="M49" s="2484"/>
      <c r="N49" s="2484"/>
      <c r="O49" s="2484"/>
      <c r="P49" s="3378" t="str">
        <f>A49</f>
        <v>比较价值（元/平方米）</v>
      </c>
      <c r="Q49" s="3396"/>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91"/>
      <c r="M50" s="2484"/>
      <c r="N50" s="2484"/>
      <c r="O50" s="2484"/>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5"/>
      <c r="Y50" s="1795"/>
      <c r="Z50" s="1795"/>
      <c r="AA50" s="1795"/>
      <c r="AB50" s="1795"/>
      <c r="AC50" s="1796"/>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1798</v>
      </c>
      <c r="B58" s="383"/>
      <c r="C58" s="657"/>
      <c r="D58" s="657"/>
      <c r="E58" s="657"/>
      <c r="F58" s="658"/>
      <c r="G58" s="658"/>
      <c r="H58" s="657"/>
      <c r="I58" s="657"/>
      <c r="J58" s="657"/>
      <c r="K58" s="659"/>
      <c r="L58" s="886"/>
      <c r="M58" s="884"/>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1" t="str">
        <f>YEAR(C7)&amp;"-"&amp;MONTH(C7)</f>
        <v>2025-4</v>
      </c>
      <c r="D59" s="1102">
        <f>EDATE(C59,-1)</f>
        <v>45717</v>
      </c>
      <c r="E59" s="1102">
        <f>EDATE(D59,-1)</f>
        <v>45689</v>
      </c>
      <c r="F59" s="1102">
        <f t="shared" ref="F59:O59" si="16">EDATE(E59,-1)</f>
        <v>45658</v>
      </c>
      <c r="G59" s="1102">
        <f t="shared" si="16"/>
        <v>45627</v>
      </c>
      <c r="H59" s="1102">
        <f t="shared" si="16"/>
        <v>45597</v>
      </c>
      <c r="I59" s="1102">
        <f t="shared" si="16"/>
        <v>45566</v>
      </c>
      <c r="J59" s="1102">
        <f t="shared" si="16"/>
        <v>45536</v>
      </c>
      <c r="K59" s="1102">
        <f t="shared" si="16"/>
        <v>45505</v>
      </c>
      <c r="L59" s="1102">
        <f t="shared" si="16"/>
        <v>45474</v>
      </c>
      <c r="M59" s="1102">
        <f t="shared" si="16"/>
        <v>45444</v>
      </c>
      <c r="N59" s="1102">
        <f t="shared" si="16"/>
        <v>45413</v>
      </c>
      <c r="O59" s="1102">
        <f t="shared" si="16"/>
        <v>45383</v>
      </c>
      <c r="P59" s="2524"/>
      <c r="Q59" s="2507"/>
      <c r="R59" s="2507"/>
      <c r="S59" s="2507"/>
      <c r="T59" s="2507"/>
      <c r="U59" s="2507"/>
      <c r="V59" s="2507"/>
      <c r="W59" s="2507"/>
      <c r="X59" s="2507"/>
      <c r="Y59" s="2507"/>
      <c r="Z59" s="2507"/>
      <c r="AA59" s="2507"/>
      <c r="AB59" s="2507"/>
      <c r="AC59" s="2507"/>
    </row>
    <row r="60" spans="1:29" s="101" customFormat="1" ht="15">
      <c r="A60" s="441"/>
      <c r="B60" s="442"/>
      <c r="C60" s="1100">
        <v>100</v>
      </c>
      <c r="D60" s="444"/>
      <c r="E60" s="444"/>
      <c r="F60" s="444"/>
      <c r="G60" s="444"/>
      <c r="H60" s="444"/>
      <c r="I60" s="444"/>
      <c r="J60" s="444"/>
      <c r="K60" s="444"/>
      <c r="L60" s="444"/>
      <c r="M60" s="445"/>
      <c r="N60" s="444"/>
      <c r="O60" s="445"/>
      <c r="P60" s="2525"/>
      <c r="Q60" s="2436"/>
      <c r="R60" s="2436"/>
      <c r="S60" s="2436"/>
      <c r="T60" s="2436"/>
      <c r="U60" s="2436"/>
      <c r="V60" s="2436"/>
      <c r="W60" s="2436"/>
      <c r="X60" s="2436"/>
      <c r="Y60" s="2436"/>
      <c r="Z60" s="2436"/>
      <c r="AA60" s="2436"/>
      <c r="AB60" s="2436"/>
      <c r="AC60" s="2436"/>
    </row>
    <row r="61" spans="1:29" s="101" customFormat="1" ht="15.75" thickBot="1">
      <c r="A61" s="447" t="s">
        <v>1716</v>
      </c>
      <c r="B61" s="448"/>
      <c r="C61" s="449"/>
      <c r="D61" s="450"/>
      <c r="E61" s="450"/>
      <c r="F61" s="450"/>
      <c r="G61" s="450"/>
      <c r="H61" s="450"/>
      <c r="I61" s="450"/>
      <c r="J61" s="450"/>
      <c r="K61" s="450"/>
      <c r="L61" s="450"/>
      <c r="M61" s="451"/>
      <c r="N61" s="450"/>
      <c r="O61" s="451"/>
      <c r="P61" s="2525"/>
      <c r="Q61" s="2505"/>
      <c r="R61" s="2436"/>
      <c r="S61" s="2436"/>
      <c r="T61" s="2436"/>
      <c r="U61" s="2436"/>
      <c r="V61" s="2436"/>
      <c r="W61" s="2436"/>
      <c r="X61" s="2436"/>
      <c r="Y61" s="2436"/>
      <c r="Z61" s="2436"/>
      <c r="AA61" s="2436"/>
      <c r="AB61" s="2436"/>
      <c r="AC61" s="2436"/>
    </row>
    <row r="62" spans="1:29" s="101" customFormat="1" ht="15">
      <c r="A62" s="453" t="s">
        <v>1681</v>
      </c>
      <c r="B62" s="442"/>
      <c r="C62" s="454" t="s">
        <v>1776</v>
      </c>
      <c r="D62" s="31"/>
      <c r="E62" s="31"/>
      <c r="F62" s="31"/>
      <c r="G62" s="31"/>
      <c r="H62" s="31"/>
      <c r="I62" s="31"/>
      <c r="J62" s="31"/>
      <c r="K62" s="31"/>
      <c r="L62" s="455"/>
      <c r="M62" s="456"/>
      <c r="N62" s="2517"/>
      <c r="O62" s="2517"/>
      <c r="P62" s="2526"/>
      <c r="Q62" s="2505"/>
      <c r="R62" s="2436"/>
      <c r="S62" s="2436"/>
      <c r="T62" s="2436"/>
      <c r="U62" s="2436"/>
      <c r="V62" s="2436"/>
      <c r="W62" s="2436"/>
      <c r="X62" s="2436"/>
      <c r="Y62" s="2436"/>
      <c r="Z62" s="2436"/>
      <c r="AA62" s="2436"/>
      <c r="AB62" s="2436"/>
      <c r="AC62" s="2436"/>
    </row>
    <row r="63" spans="1:29" s="101" customFormat="1" ht="15.75" thickBot="1">
      <c r="A63" s="453"/>
      <c r="B63" s="442"/>
      <c r="C63" s="443">
        <v>100</v>
      </c>
      <c r="D63" s="444"/>
      <c r="E63" s="444"/>
      <c r="F63" s="444"/>
      <c r="G63" s="444"/>
      <c r="H63" s="444"/>
      <c r="I63" s="444"/>
      <c r="J63" s="444"/>
      <c r="K63" s="444"/>
      <c r="L63" s="444"/>
      <c r="M63" s="446"/>
      <c r="N63" s="2517"/>
      <c r="O63" s="2517"/>
      <c r="P63" s="2525"/>
      <c r="Q63" s="2505"/>
      <c r="R63" s="2436"/>
      <c r="S63" s="2436"/>
      <c r="T63" s="2436"/>
      <c r="U63" s="2436"/>
      <c r="V63" s="2436"/>
      <c r="W63" s="2436"/>
      <c r="X63" s="2436"/>
      <c r="Y63" s="2436"/>
      <c r="Z63" s="2436"/>
      <c r="AA63" s="2436"/>
      <c r="AB63" s="2436"/>
      <c r="AC63" s="2436"/>
    </row>
    <row r="64" spans="1:29">
      <c r="A64" s="377"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5"/>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5"/>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5"/>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5"/>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6"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6"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6"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6"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6"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6"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7"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5"/>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5"/>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5"/>
      <c r="B83" s="475" t="s">
        <v>1813</v>
      </c>
      <c r="C83" s="579" t="s">
        <v>1799</v>
      </c>
      <c r="D83" s="579" t="s">
        <v>1800</v>
      </c>
      <c r="E83" s="579" t="s">
        <v>1801</v>
      </c>
      <c r="F83" s="579" t="s">
        <v>1802</v>
      </c>
      <c r="G83" s="579" t="s">
        <v>1803</v>
      </c>
      <c r="H83" s="468"/>
      <c r="I83" s="468"/>
      <c r="J83" s="468"/>
      <c r="K83" s="468"/>
      <c r="L83" s="468"/>
      <c r="M83" s="1061"/>
      <c r="N83" s="2519"/>
      <c r="O83" s="2519"/>
      <c r="P83" s="2527"/>
      <c r="Q83" s="2505"/>
      <c r="R83" s="2484"/>
      <c r="S83" s="2484"/>
      <c r="T83" s="2484"/>
      <c r="U83" s="2484"/>
      <c r="V83" s="2484"/>
      <c r="W83" s="2484"/>
      <c r="X83" s="2484"/>
      <c r="Y83" s="2484"/>
      <c r="Z83" s="2484"/>
      <c r="AA83" s="2484"/>
      <c r="AB83" s="2484"/>
      <c r="AC83" s="2484"/>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9"/>
      <c r="O84" s="2519"/>
      <c r="P84" s="2527"/>
      <c r="Q84" s="2505"/>
      <c r="R84" s="2484"/>
      <c r="S84" s="2484"/>
      <c r="T84" s="2484"/>
      <c r="U84" s="2484"/>
      <c r="V84" s="2484"/>
      <c r="W84" s="2484"/>
      <c r="X84" s="2484"/>
      <c r="Y84" s="2484"/>
      <c r="Z84" s="2484"/>
      <c r="AA84" s="2484"/>
      <c r="AB84" s="2484"/>
      <c r="AC84" s="2484"/>
    </row>
    <row r="85" spans="1:29" ht="15.75" thickTop="1">
      <c r="A85" s="365"/>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1" customFormat="1" ht="27.75" thickTop="1">
      <c r="A87" s="368"/>
      <c r="B87" s="467" t="s">
        <v>1823</v>
      </c>
      <c r="C87" s="483"/>
      <c r="D87" s="483"/>
      <c r="E87" s="483"/>
      <c r="F87" s="483"/>
      <c r="G87" s="483"/>
      <c r="H87" s="483"/>
      <c r="I87" s="483"/>
      <c r="J87" s="483"/>
      <c r="K87" s="483"/>
      <c r="L87" s="508"/>
      <c r="M87" s="509"/>
      <c r="N87" s="2517"/>
      <c r="O87" s="2517"/>
      <c r="P87" s="2527"/>
      <c r="Q87" s="2505"/>
      <c r="R87" s="2436"/>
      <c r="S87" s="2436"/>
      <c r="T87" s="2436"/>
      <c r="U87" s="2436"/>
      <c r="V87" s="2436"/>
      <c r="W87" s="2436"/>
      <c r="X87" s="2436"/>
      <c r="Y87" s="2436"/>
      <c r="Z87" s="2436"/>
      <c r="AA87" s="2436"/>
      <c r="AB87" s="2436"/>
      <c r="AC87" s="2436"/>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6"/>
      <c r="S88" s="2436"/>
      <c r="T88" s="2436"/>
      <c r="U88" s="2436"/>
      <c r="V88" s="2436"/>
      <c r="W88" s="2436"/>
      <c r="X88" s="2436"/>
      <c r="Y88" s="2436"/>
      <c r="Z88" s="2436"/>
      <c r="AA88" s="2436"/>
      <c r="AB88" s="2436"/>
      <c r="AC88" s="2436"/>
    </row>
    <row r="89" spans="1:29" s="101" customFormat="1" ht="15.75" thickTop="1">
      <c r="A89" s="368"/>
      <c r="B89" s="467" t="str">
        <f>B27</f>
        <v>楼层</v>
      </c>
      <c r="C89" s="483"/>
      <c r="D89" s="483"/>
      <c r="E89" s="483"/>
      <c r="F89" s="1777"/>
      <c r="G89" s="483"/>
      <c r="H89" s="483"/>
      <c r="I89" s="483"/>
      <c r="J89" s="483"/>
      <c r="K89" s="483"/>
      <c r="L89" s="483"/>
      <c r="M89" s="509"/>
      <c r="N89" s="2517"/>
      <c r="O89" s="2517"/>
      <c r="P89" s="2527"/>
      <c r="Q89" s="2505"/>
      <c r="R89" s="2436"/>
      <c r="S89" s="2436"/>
      <c r="T89" s="2436"/>
      <c r="U89" s="2436"/>
      <c r="V89" s="2436"/>
      <c r="W89" s="2436"/>
      <c r="X89" s="2436"/>
      <c r="Y89" s="2436"/>
      <c r="Z89" s="2436"/>
      <c r="AA89" s="2436"/>
      <c r="AB89" s="2436"/>
      <c r="AC89" s="2436"/>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6"/>
      <c r="S90" s="2436"/>
      <c r="T90" s="2436"/>
      <c r="U90" s="2436"/>
      <c r="V90" s="2436"/>
      <c r="W90" s="2436"/>
      <c r="X90" s="2436"/>
      <c r="Y90" s="2436"/>
      <c r="Z90" s="2436"/>
      <c r="AA90" s="2436"/>
      <c r="AB90" s="2436"/>
      <c r="AC90" s="2436"/>
    </row>
    <row r="91" spans="1:29" s="406"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5"/>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5"/>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5"/>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5"/>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5"/>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3"/>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7"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6" customFormat="1">
      <c r="A104" s="404"/>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6"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7"/>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7"/>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7"/>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6" customFormat="1" ht="15" thickTop="1">
      <c r="A113" s="404"/>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7"/>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7"/>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7"/>
      <c r="B119" s="558" t="s">
        <v>1825</v>
      </c>
      <c r="C119" s="511"/>
      <c r="D119" s="511"/>
      <c r="E119" s="511"/>
      <c r="F119" s="511"/>
      <c r="G119" s="511"/>
      <c r="H119" s="511"/>
      <c r="I119" s="511"/>
      <c r="J119" s="511"/>
      <c r="K119" s="511"/>
      <c r="L119" s="1813"/>
      <c r="M119" s="1814"/>
      <c r="N119" s="2519"/>
      <c r="O119" s="2519"/>
      <c r="P119" s="2532"/>
      <c r="Q119" s="2533"/>
      <c r="R119" s="2484"/>
      <c r="S119" s="2484"/>
      <c r="T119" s="2484"/>
      <c r="U119" s="2484"/>
      <c r="V119" s="2484"/>
      <c r="W119" s="2484"/>
      <c r="X119" s="2484"/>
      <c r="Y119" s="2484"/>
      <c r="Z119" s="2484"/>
      <c r="AA119" s="2484"/>
      <c r="AB119" s="2484"/>
      <c r="AC119" s="2484"/>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6" customFormat="1" ht="15" thickTop="1">
      <c r="A121" s="404"/>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6"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7"/>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6" customFormat="1" ht="15" thickTop="1">
      <c r="A127" s="404"/>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6"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7"/>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5"/>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7"/>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3"/>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估价对象为北京市房地产，为所有。根据《国有土地使用证》[]，估价对象（分摊）出让国有建设用地使用权面积为0平方米，建筑面积为143.31平方米。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估价对象为北京市房地产,为开发建设的，该项目尚在开发建设中。根据《国有土地使用证》[]，估价对象（分摊）出让国有建设用地使用权面积为0平方米，规划建筑面积为143.31平方米。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2025年4月8日（评估专业人员实地查勘之日）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本次评估采用的主估价方法为比较法和收益法。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5" t="s">
        <v>1826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143.31</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1769</v>
      </c>
      <c r="B4" s="344"/>
      <c r="C4" s="3379" t="s">
        <v>1770</v>
      </c>
      <c r="D4" s="3380"/>
      <c r="E4" s="3381" t="s">
        <v>1771</v>
      </c>
      <c r="F4" s="3382"/>
      <c r="G4" s="3379" t="s">
        <v>1772</v>
      </c>
      <c r="H4" s="3380"/>
      <c r="I4" s="3379" t="s">
        <v>1773</v>
      </c>
      <c r="J4" s="3380"/>
      <c r="K4" s="535" t="s">
        <v>1774</v>
      </c>
      <c r="L4" s="858"/>
      <c r="M4" s="859"/>
      <c r="N4" s="859"/>
      <c r="O4" s="859"/>
      <c r="P4" s="3383" t="s">
        <v>1775</v>
      </c>
      <c r="Q4" s="3384"/>
      <c r="R4" s="3366" t="s">
        <v>1771</v>
      </c>
      <c r="S4" s="3367"/>
      <c r="T4" s="3366" t="s">
        <v>1772</v>
      </c>
      <c r="U4" s="3367"/>
      <c r="V4" s="3391" t="s">
        <v>1773</v>
      </c>
      <c r="W4" s="3391"/>
      <c r="X4" s="1263"/>
      <c r="Y4" s="3366" t="s">
        <v>1775</v>
      </c>
      <c r="Z4" s="3367"/>
      <c r="AA4" s="3361" t="s">
        <v>1771</v>
      </c>
      <c r="AB4" s="3362" t="s">
        <v>1772</v>
      </c>
      <c r="AC4" s="3361" t="s">
        <v>1773</v>
      </c>
    </row>
    <row r="5" spans="1:29" ht="15">
      <c r="A5" s="346"/>
      <c r="B5" s="347"/>
      <c r="C5" s="3372" t="s">
        <v>1673</v>
      </c>
      <c r="D5" s="3373"/>
      <c r="E5" s="3370" t="s">
        <v>1674</v>
      </c>
      <c r="F5" s="3371"/>
      <c r="G5" s="3372" t="s">
        <v>1675</v>
      </c>
      <c r="H5" s="3373"/>
      <c r="I5" s="3372" t="s">
        <v>1676</v>
      </c>
      <c r="J5" s="3373"/>
      <c r="K5" s="535"/>
      <c r="L5" s="858"/>
      <c r="M5" s="859"/>
      <c r="N5" s="859"/>
      <c r="O5" s="859"/>
      <c r="P5" s="3385"/>
      <c r="Q5" s="3386"/>
      <c r="R5" s="3368"/>
      <c r="S5" s="3369"/>
      <c r="T5" s="3368"/>
      <c r="U5" s="3369"/>
      <c r="V5" s="3391"/>
      <c r="W5" s="3391"/>
      <c r="X5" s="1263"/>
      <c r="Y5" s="3368"/>
      <c r="Z5" s="3369"/>
      <c r="AA5" s="3362"/>
      <c r="AB5" s="3362"/>
      <c r="AC5" s="3362"/>
    </row>
    <row r="6" spans="1:29" ht="15.75" thickBot="1">
      <c r="A6" s="348"/>
      <c r="B6" s="349"/>
      <c r="C6" s="3374" t="s">
        <v>1677</v>
      </c>
      <c r="D6" s="3375"/>
      <c r="E6" s="3376" t="s">
        <v>1677</v>
      </c>
      <c r="F6" s="3377"/>
      <c r="G6" s="3374" t="s">
        <v>1677</v>
      </c>
      <c r="H6" s="3375"/>
      <c r="I6" s="3374" t="s">
        <v>1677</v>
      </c>
      <c r="J6" s="3375"/>
      <c r="K6" s="535" t="s">
        <v>1678</v>
      </c>
      <c r="L6" s="858"/>
      <c r="M6" s="859"/>
      <c r="N6" s="859"/>
      <c r="O6" s="859"/>
      <c r="P6" s="3387"/>
      <c r="Q6" s="3388"/>
      <c r="R6" s="3368"/>
      <c r="S6" s="3369"/>
      <c r="T6" s="3389"/>
      <c r="U6" s="3390"/>
      <c r="V6" s="3391"/>
      <c r="W6" s="3391"/>
      <c r="X6" s="1263"/>
      <c r="Y6" s="3389"/>
      <c r="Z6" s="3390"/>
      <c r="AA6" s="3363"/>
      <c r="AB6" s="3363"/>
      <c r="AC6" s="3363"/>
    </row>
    <row r="7" spans="1:29" s="101" customFormat="1" ht="15.75" thickBot="1">
      <c r="A7" s="350" t="s">
        <v>1679</v>
      </c>
      <c r="B7" s="351"/>
      <c r="C7" s="352">
        <f>'数据-取费表'!B2</f>
        <v>45755</v>
      </c>
      <c r="D7" s="353">
        <v>100</v>
      </c>
      <c r="E7" s="354"/>
      <c r="F7" s="355">
        <f>SUMIF(52:52,YEAR(E7)&amp;"-"&amp;MONTH(E7),53:53)</f>
        <v>0</v>
      </c>
      <c r="G7" s="354"/>
      <c r="H7" s="353">
        <f>SUMIF(52:52,YEAR(G7)&amp;"-"&amp;MONTH(G7),53:53)</f>
        <v>0</v>
      </c>
      <c r="I7" s="354"/>
      <c r="J7" s="353">
        <f>SUMIF(52:52,YEAR(I7)&amp;"-"&amp;MONTH(I7),53:53)</f>
        <v>0</v>
      </c>
      <c r="K7" s="38"/>
      <c r="L7" s="860"/>
      <c r="M7" s="861"/>
      <c r="N7" s="861"/>
      <c r="O7" s="861"/>
      <c r="P7" s="3364" t="s">
        <v>1680</v>
      </c>
      <c r="Q7" s="3392"/>
      <c r="R7" s="662" t="s">
        <v>14</v>
      </c>
      <c r="S7" s="663">
        <f t="shared" ref="S7:S15" si="0">F7</f>
        <v>0</v>
      </c>
      <c r="T7" s="662" t="s">
        <v>14</v>
      </c>
      <c r="U7" s="663">
        <f t="shared" ref="U7:U15" si="1">H7</f>
        <v>0</v>
      </c>
      <c r="V7" s="662" t="s">
        <v>14</v>
      </c>
      <c r="W7" s="663">
        <f t="shared" ref="W7:W15" si="2">J7</f>
        <v>0</v>
      </c>
      <c r="X7" s="664"/>
      <c r="Y7" s="3364" t="s">
        <v>1680</v>
      </c>
      <c r="Z7" s="3365"/>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364" t="s">
        <v>1683</v>
      </c>
      <c r="Q8" s="3365"/>
      <c r="R8" s="662" t="s">
        <v>14</v>
      </c>
      <c r="S8" s="663">
        <f t="shared" si="0"/>
        <v>100</v>
      </c>
      <c r="T8" s="662" t="s">
        <v>14</v>
      </c>
      <c r="U8" s="663">
        <f t="shared" si="1"/>
        <v>100</v>
      </c>
      <c r="V8" s="662" t="s">
        <v>14</v>
      </c>
      <c r="W8" s="663">
        <f t="shared" si="2"/>
        <v>100</v>
      </c>
      <c r="X8" s="664"/>
      <c r="Y8" s="3364" t="s">
        <v>1683</v>
      </c>
      <c r="Z8" s="3365"/>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96"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3"/>
      <c r="M10" s="864"/>
      <c r="N10" s="864"/>
      <c r="O10" s="865"/>
      <c r="P10" s="3396"/>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365"/>
      <c r="B11" s="362" t="s">
        <v>1689</v>
      </c>
      <c r="C11" s="366"/>
      <c r="D11" s="118">
        <v>100</v>
      </c>
      <c r="E11" s="366"/>
      <c r="F11" s="118">
        <f>LOOKUP(E11,62:62,63:63)-LOOKUP(C11,62:62,63:63)+100</f>
        <v>100</v>
      </c>
      <c r="G11" s="367"/>
      <c r="H11" s="118">
        <f>LOOKUP(G11,62:62,63:63)-LOOKUP(C11,62:62,63:63)+100</f>
        <v>100</v>
      </c>
      <c r="I11" s="366"/>
      <c r="J11" s="118">
        <f>LOOKUP(I11,62:62,63:63)-LOOKUP(C11,62:62,63:63)+100</f>
        <v>100</v>
      </c>
      <c r="K11" s="536"/>
      <c r="L11" s="866"/>
      <c r="M11" s="859"/>
      <c r="N11" s="859"/>
      <c r="O11" s="867"/>
      <c r="P11" s="3396"/>
      <c r="Q11" s="528" t="str">
        <f t="shared" si="6"/>
        <v>容积率</v>
      </c>
      <c r="R11" s="662" t="s">
        <v>14</v>
      </c>
      <c r="S11" s="663">
        <f t="shared" si="0"/>
        <v>100</v>
      </c>
      <c r="T11" s="662" t="s">
        <v>14</v>
      </c>
      <c r="U11" s="663">
        <f t="shared" si="1"/>
        <v>100</v>
      </c>
      <c r="V11" s="662" t="s">
        <v>14</v>
      </c>
      <c r="W11" s="663">
        <f t="shared" si="2"/>
        <v>100</v>
      </c>
      <c r="X11" s="664"/>
      <c r="Y11" s="3329"/>
      <c r="Z11" s="50" t="str">
        <f t="shared" si="7"/>
        <v>容积率</v>
      </c>
      <c r="AA11" s="50">
        <f t="shared" si="3"/>
        <v>1</v>
      </c>
      <c r="AB11" s="50">
        <f t="shared" si="4"/>
        <v>1</v>
      </c>
      <c r="AC11" s="50">
        <f t="shared" si="5"/>
        <v>1</v>
      </c>
    </row>
    <row r="12" spans="1:29" s="101" customFormat="1" ht="15">
      <c r="A12" s="368"/>
      <c r="B12" s="445">
        <v>111</v>
      </c>
      <c r="C12" s="369"/>
      <c r="D12" s="370">
        <v>100</v>
      </c>
      <c r="E12" s="371"/>
      <c r="F12" s="118">
        <f>SUMIF(64:64,E12,65:65)-SUMIF(64:64,C12,65:65)+100</f>
        <v>100</v>
      </c>
      <c r="G12" s="1815"/>
      <c r="H12" s="118">
        <f>SUMIF(64:64,G12,65:65)-SUMIF(64:64,C12,65:65)+100</f>
        <v>100</v>
      </c>
      <c r="I12" s="405"/>
      <c r="J12" s="118">
        <f>SUMIF(64:64,I12,65:65)-SUMIF(64:64,C12,65:65)+100</f>
        <v>100</v>
      </c>
      <c r="K12" s="537"/>
      <c r="L12" s="860"/>
      <c r="M12" s="861"/>
      <c r="N12" s="861"/>
      <c r="O12" s="862"/>
      <c r="P12" s="339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
      <c r="A13" s="365"/>
      <c r="B13" s="445">
        <v>111</v>
      </c>
      <c r="C13" s="371"/>
      <c r="D13" s="372">
        <v>100</v>
      </c>
      <c r="E13" s="371"/>
      <c r="F13" s="118">
        <f>SUMIF(66:66,E13,67:67)-SUMIF(66:66,C13,67:67)+100</f>
        <v>100</v>
      </c>
      <c r="G13" s="1815"/>
      <c r="H13" s="372">
        <f>SUMIF(66:66,G13,67:67)-SUMIF(66:66,C13,67:67)+100</f>
        <v>100</v>
      </c>
      <c r="I13" s="405"/>
      <c r="J13" s="372">
        <f>SUMIF(66:66,I13,67:67)-SUMIF(66:66,C13,67:67)+100</f>
        <v>100</v>
      </c>
      <c r="K13" s="537"/>
      <c r="L13" s="868"/>
      <c r="M13" s="859"/>
      <c r="N13" s="859"/>
      <c r="O13" s="867"/>
      <c r="P13" s="339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75" thickBot="1">
      <c r="A14" s="373"/>
      <c r="B14" s="1747">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396"/>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50">
        <f t="shared" si="5"/>
        <v>1</v>
      </c>
    </row>
    <row r="15" spans="1:29" ht="57">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97" t="s">
        <v>1691</v>
      </c>
      <c r="Q15" s="1261" t="str">
        <f t="shared" si="6"/>
        <v>产业集聚程度</v>
      </c>
      <c r="R15" s="665" t="s">
        <v>14</v>
      </c>
      <c r="S15" s="666">
        <f t="shared" si="0"/>
        <v>100</v>
      </c>
      <c r="T15" s="665" t="s">
        <v>14</v>
      </c>
      <c r="U15" s="666">
        <f t="shared" si="1"/>
        <v>100</v>
      </c>
      <c r="V15" s="665" t="s">
        <v>14</v>
      </c>
      <c r="W15" s="666">
        <f t="shared" si="2"/>
        <v>100</v>
      </c>
      <c r="X15" s="1263"/>
      <c r="Y15" s="3397"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398"/>
      <c r="Q16" s="1261"/>
      <c r="R16" s="665"/>
      <c r="S16" s="666"/>
      <c r="T16" s="665"/>
      <c r="U16" s="666"/>
      <c r="V16" s="665"/>
      <c r="W16" s="666"/>
      <c r="X16" s="1263"/>
      <c r="Y16" s="3398"/>
      <c r="Z16" s="1262"/>
      <c r="AA16" s="1262">
        <v>1</v>
      </c>
      <c r="AB16" s="1262">
        <v>1</v>
      </c>
      <c r="AC16" s="1262">
        <v>1</v>
      </c>
    </row>
    <row r="17" spans="1:29" ht="85.5">
      <c r="A17" s="365"/>
      <c r="B17" s="388" t="s">
        <v>1259</v>
      </c>
      <c r="C17" s="1752"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398"/>
      <c r="Q17" s="1261" t="str">
        <f>B17</f>
        <v>交通便捷度</v>
      </c>
      <c r="R17" s="665" t="s">
        <v>14</v>
      </c>
      <c r="S17" s="666">
        <f>F17</f>
        <v>100</v>
      </c>
      <c r="T17" s="665" t="s">
        <v>14</v>
      </c>
      <c r="U17" s="666">
        <f>H17</f>
        <v>100</v>
      </c>
      <c r="V17" s="665" t="s">
        <v>14</v>
      </c>
      <c r="W17" s="666">
        <f>J17</f>
        <v>100</v>
      </c>
      <c r="X17" s="1263"/>
      <c r="Y17" s="3398"/>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398"/>
      <c r="Q18" s="1261"/>
      <c r="R18" s="665"/>
      <c r="S18" s="666"/>
      <c r="T18" s="665"/>
      <c r="U18" s="666"/>
      <c r="V18" s="665"/>
      <c r="W18" s="666"/>
      <c r="X18" s="1263"/>
      <c r="Y18" s="3398"/>
      <c r="Z18" s="1262"/>
      <c r="AA18" s="1262">
        <v>1</v>
      </c>
      <c r="AB18" s="1262">
        <v>1</v>
      </c>
      <c r="AC18" s="1262">
        <v>1</v>
      </c>
    </row>
    <row r="19" spans="1:29" ht="42.75">
      <c r="A19" s="365"/>
      <c r="B19" s="388" t="s">
        <v>1812</v>
      </c>
      <c r="C19" s="1752"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398"/>
      <c r="Q19" s="1261" t="str">
        <f>B19</f>
        <v>公共配套设施</v>
      </c>
      <c r="R19" s="665" t="s">
        <v>14</v>
      </c>
      <c r="S19" s="666">
        <f>F19</f>
        <v>100</v>
      </c>
      <c r="T19" s="665" t="s">
        <v>14</v>
      </c>
      <c r="U19" s="666">
        <f>H19</f>
        <v>100</v>
      </c>
      <c r="V19" s="665" t="s">
        <v>14</v>
      </c>
      <c r="W19" s="666">
        <f>J19</f>
        <v>100</v>
      </c>
      <c r="X19" s="1263"/>
      <c r="Y19" s="3398"/>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398"/>
      <c r="Q20" s="1261"/>
      <c r="R20" s="665"/>
      <c r="S20" s="666"/>
      <c r="T20" s="665"/>
      <c r="U20" s="666"/>
      <c r="V20" s="665"/>
      <c r="W20" s="666"/>
      <c r="X20" s="1263"/>
      <c r="Y20" s="3398"/>
      <c r="Z20" s="1262"/>
      <c r="AA20" s="1262">
        <v>1</v>
      </c>
      <c r="AB20" s="1262">
        <v>1</v>
      </c>
      <c r="AC20" s="1262">
        <v>1</v>
      </c>
    </row>
    <row r="21" spans="1:29" ht="28.5">
      <c r="A21" s="365"/>
      <c r="B21" s="584" t="s">
        <v>1813</v>
      </c>
      <c r="C21" s="1752"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398"/>
      <c r="Q21" s="1261" t="str">
        <f>B21</f>
        <v>基础设施水平</v>
      </c>
      <c r="R21" s="665" t="s">
        <v>14</v>
      </c>
      <c r="S21" s="666">
        <f>F21</f>
        <v>100</v>
      </c>
      <c r="T21" s="665" t="s">
        <v>14</v>
      </c>
      <c r="U21" s="666">
        <f>H21</f>
        <v>100</v>
      </c>
      <c r="V21" s="665" t="s">
        <v>14</v>
      </c>
      <c r="W21" s="666">
        <f>J21</f>
        <v>100</v>
      </c>
      <c r="X21" s="1263"/>
      <c r="Y21" s="3398"/>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398"/>
      <c r="Q22" s="1261"/>
      <c r="R22" s="665"/>
      <c r="S22" s="666"/>
      <c r="T22" s="665"/>
      <c r="U22" s="666"/>
      <c r="V22" s="665"/>
      <c r="W22" s="666"/>
      <c r="X22" s="1263"/>
      <c r="Y22" s="3398"/>
      <c r="Z22" s="1262"/>
      <c r="AA22" s="1262">
        <v>1</v>
      </c>
      <c r="AB22" s="1262">
        <v>1</v>
      </c>
      <c r="AC22" s="1262">
        <v>1</v>
      </c>
    </row>
    <row r="23" spans="1:29" ht="71.25">
      <c r="A23" s="365"/>
      <c r="B23" s="388" t="s">
        <v>1814</v>
      </c>
      <c r="C23" s="1752"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398"/>
      <c r="Q23" s="1261" t="str">
        <f>B23</f>
        <v>环境质量</v>
      </c>
      <c r="R23" s="665" t="s">
        <v>14</v>
      </c>
      <c r="S23" s="666">
        <f>F23</f>
        <v>100</v>
      </c>
      <c r="T23" s="665" t="s">
        <v>14</v>
      </c>
      <c r="U23" s="666">
        <f>H23</f>
        <v>100</v>
      </c>
      <c r="V23" s="665" t="s">
        <v>14</v>
      </c>
      <c r="W23" s="666">
        <f>J23</f>
        <v>100</v>
      </c>
      <c r="X23" s="1263"/>
      <c r="Y23" s="3398"/>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398"/>
      <c r="Q24" s="1261"/>
      <c r="R24" s="665"/>
      <c r="S24" s="666"/>
      <c r="T24" s="665"/>
      <c r="U24" s="666"/>
      <c r="V24" s="665"/>
      <c r="W24" s="666"/>
      <c r="X24" s="1263"/>
      <c r="Y24" s="3398"/>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398"/>
      <c r="Q25" s="1261">
        <f>B25</f>
        <v>111</v>
      </c>
      <c r="R25" s="665" t="s">
        <v>14</v>
      </c>
      <c r="S25" s="666">
        <f>F25</f>
        <v>100</v>
      </c>
      <c r="T25" s="665" t="s">
        <v>14</v>
      </c>
      <c r="U25" s="666">
        <f>H25</f>
        <v>100</v>
      </c>
      <c r="V25" s="665" t="s">
        <v>14</v>
      </c>
      <c r="W25" s="666">
        <f>J25</f>
        <v>100</v>
      </c>
      <c r="X25" s="1263"/>
      <c r="Y25" s="3398"/>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398"/>
      <c r="Q26" s="1261">
        <f t="shared" ref="Q26:Q40" si="11">B26</f>
        <v>111</v>
      </c>
      <c r="R26" s="665" t="s">
        <v>14</v>
      </c>
      <c r="S26" s="666">
        <f>F26</f>
        <v>100</v>
      </c>
      <c r="T26" s="665" t="s">
        <v>14</v>
      </c>
      <c r="U26" s="666">
        <f>H26</f>
        <v>100</v>
      </c>
      <c r="V26" s="665" t="s">
        <v>14</v>
      </c>
      <c r="W26" s="666">
        <f>J26</f>
        <v>100</v>
      </c>
      <c r="X26" s="1263"/>
      <c r="Y26" s="3398"/>
      <c r="Z26" s="1262">
        <f>Q26</f>
        <v>111</v>
      </c>
      <c r="AA26" s="1262">
        <f t="shared" si="3"/>
        <v>1</v>
      </c>
      <c r="AB26" s="1262">
        <f t="shared" si="4"/>
        <v>1</v>
      </c>
      <c r="AC26" s="1262">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398"/>
      <c r="Q27" s="528">
        <f t="shared" si="11"/>
        <v>111</v>
      </c>
      <c r="R27" s="662" t="s">
        <v>14</v>
      </c>
      <c r="S27" s="663">
        <f>F27</f>
        <v>100</v>
      </c>
      <c r="T27" s="662" t="s">
        <v>14</v>
      </c>
      <c r="U27" s="663">
        <f>H27</f>
        <v>100</v>
      </c>
      <c r="V27" s="662" t="s">
        <v>14</v>
      </c>
      <c r="W27" s="663">
        <f>J27</f>
        <v>100</v>
      </c>
      <c r="X27" s="664"/>
      <c r="Y27" s="3398"/>
      <c r="Z27" s="50">
        <f>Q27</f>
        <v>111</v>
      </c>
      <c r="AA27" s="1262">
        <f>D27/F27</f>
        <v>1</v>
      </c>
      <c r="AB27" s="1262">
        <f>D27/H27</f>
        <v>1</v>
      </c>
      <c r="AC27" s="1262">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398"/>
      <c r="Q28" s="1261">
        <f t="shared" si="11"/>
        <v>111</v>
      </c>
      <c r="R28" s="665" t="s">
        <v>14</v>
      </c>
      <c r="S28" s="666">
        <f t="shared" ref="S28:S40" si="12">F28</f>
        <v>100</v>
      </c>
      <c r="T28" s="665" t="s">
        <v>14</v>
      </c>
      <c r="U28" s="666">
        <f t="shared" ref="U28:U40" si="13">H28</f>
        <v>100</v>
      </c>
      <c r="V28" s="665" t="s">
        <v>14</v>
      </c>
      <c r="W28" s="666">
        <f t="shared" ref="W28:W40" si="14">J28</f>
        <v>100</v>
      </c>
      <c r="X28" s="1263"/>
      <c r="Y28" s="3398"/>
      <c r="Z28" s="1262">
        <f t="shared" ref="Z28:Z40" si="15">Q28</f>
        <v>111</v>
      </c>
      <c r="AA28" s="1262">
        <f t="shared" si="3"/>
        <v>1</v>
      </c>
      <c r="AB28" s="1262">
        <f t="shared" si="4"/>
        <v>1</v>
      </c>
      <c r="AC28" s="1262">
        <f t="shared" si="5"/>
        <v>1</v>
      </c>
    </row>
    <row r="29" spans="1:29" ht="28.5">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42" t="s">
        <v>1696</v>
      </c>
      <c r="Q29" s="1261" t="str">
        <f t="shared" si="11"/>
        <v>建筑类型</v>
      </c>
      <c r="R29" s="665" t="s">
        <v>14</v>
      </c>
      <c r="S29" s="666">
        <f t="shared" si="12"/>
        <v>100</v>
      </c>
      <c r="T29" s="665" t="s">
        <v>14</v>
      </c>
      <c r="U29" s="666">
        <f t="shared" si="13"/>
        <v>100</v>
      </c>
      <c r="V29" s="665" t="s">
        <v>14</v>
      </c>
      <c r="W29" s="666">
        <f t="shared" si="14"/>
        <v>100</v>
      </c>
      <c r="X29" s="1263"/>
      <c r="Y29" s="3402" t="s">
        <v>1696</v>
      </c>
      <c r="Z29" s="1262" t="str">
        <f t="shared" si="15"/>
        <v>建筑类型</v>
      </c>
      <c r="AA29" s="1262">
        <f t="shared" si="3"/>
        <v>1</v>
      </c>
      <c r="AB29" s="1262">
        <f t="shared" si="4"/>
        <v>1</v>
      </c>
      <c r="AC29" s="1262">
        <f t="shared" si="5"/>
        <v>1</v>
      </c>
    </row>
    <row r="30" spans="1:29" s="406" customFormat="1" ht="15">
      <c r="A30" s="404"/>
      <c r="B30" s="362" t="s">
        <v>1697</v>
      </c>
      <c r="C30" s="405"/>
      <c r="D30" s="118">
        <v>100</v>
      </c>
      <c r="E30" s="367"/>
      <c r="F30" s="362" t="e">
        <f>LOOKUP(E30,91:91,92:92)-LOOKUP(C30,91:91,92:92)+100</f>
        <v>#N/A</v>
      </c>
      <c r="G30" s="366"/>
      <c r="H30" s="118" t="e">
        <f>LOOKUP(G30,91:91,92:92)-LOOKUP(C30,91:91,92:92)+100</f>
        <v>#N/A</v>
      </c>
      <c r="I30" s="366"/>
      <c r="J30" s="118" t="e">
        <f>LOOKUP(I30,91:91,92:92)-LOOKUP(C30,91:91,92:92)+100</f>
        <v>#N/A</v>
      </c>
      <c r="K30" s="537"/>
      <c r="L30" s="866"/>
      <c r="M30" s="869"/>
      <c r="N30" s="869"/>
      <c r="O30" s="870"/>
      <c r="P30" s="3402"/>
      <c r="Q30" s="529" t="str">
        <f t="shared" si="11"/>
        <v>项目建筑规模</v>
      </c>
      <c r="R30" s="667" t="s">
        <v>14</v>
      </c>
      <c r="S30" s="668" t="e">
        <f t="shared" si="12"/>
        <v>#N/A</v>
      </c>
      <c r="T30" s="667" t="s">
        <v>14</v>
      </c>
      <c r="U30" s="668" t="e">
        <f t="shared" si="13"/>
        <v>#N/A</v>
      </c>
      <c r="V30" s="667" t="s">
        <v>14</v>
      </c>
      <c r="W30" s="668" t="e">
        <f t="shared" si="14"/>
        <v>#N/A</v>
      </c>
      <c r="X30" s="669"/>
      <c r="Y30" s="3402"/>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02"/>
      <c r="Q31" s="1261" t="str">
        <f t="shared" si="11"/>
        <v>建筑结构</v>
      </c>
      <c r="R31" s="665" t="s">
        <v>14</v>
      </c>
      <c r="S31" s="666">
        <f t="shared" si="12"/>
        <v>100</v>
      </c>
      <c r="T31" s="665" t="s">
        <v>14</v>
      </c>
      <c r="U31" s="666">
        <f t="shared" si="13"/>
        <v>100</v>
      </c>
      <c r="V31" s="665" t="s">
        <v>14</v>
      </c>
      <c r="W31" s="666">
        <f t="shared" si="14"/>
        <v>100</v>
      </c>
      <c r="X31" s="1263"/>
      <c r="Y31" s="3402"/>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02"/>
      <c r="Q32" s="1261" t="str">
        <f t="shared" si="11"/>
        <v>公共部分装修</v>
      </c>
      <c r="R32" s="665" t="s">
        <v>14</v>
      </c>
      <c r="S32" s="666">
        <f t="shared" si="12"/>
        <v>100</v>
      </c>
      <c r="T32" s="665" t="s">
        <v>14</v>
      </c>
      <c r="U32" s="666">
        <f t="shared" si="13"/>
        <v>100</v>
      </c>
      <c r="V32" s="665" t="s">
        <v>14</v>
      </c>
      <c r="W32" s="666">
        <f t="shared" si="14"/>
        <v>100</v>
      </c>
      <c r="X32" s="1263"/>
      <c r="Y32" s="3402"/>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02"/>
      <c r="Q33" s="1261" t="str">
        <f t="shared" si="11"/>
        <v>成新度</v>
      </c>
      <c r="R33" s="665" t="s">
        <v>14</v>
      </c>
      <c r="S33" s="666" t="e">
        <f t="shared" si="12"/>
        <v>#N/A</v>
      </c>
      <c r="T33" s="665" t="s">
        <v>14</v>
      </c>
      <c r="U33" s="666" t="e">
        <f t="shared" si="13"/>
        <v>#N/A</v>
      </c>
      <c r="V33" s="665" t="s">
        <v>14</v>
      </c>
      <c r="W33" s="666" t="e">
        <f t="shared" si="14"/>
        <v>#N/A</v>
      </c>
      <c r="X33" s="1263"/>
      <c r="Y33" s="3402"/>
      <c r="Z33" s="1262" t="str">
        <f t="shared" si="15"/>
        <v>成新度</v>
      </c>
      <c r="AA33" s="1262" t="e">
        <f t="shared" si="3"/>
        <v>#N/A</v>
      </c>
      <c r="AB33" s="1262" t="e">
        <f t="shared" si="4"/>
        <v>#N/A</v>
      </c>
      <c r="AC33" s="1262" t="e">
        <f t="shared" si="5"/>
        <v>#N/A</v>
      </c>
    </row>
    <row r="34" spans="1:29" s="101" customFormat="1" ht="15">
      <c r="A34" s="408"/>
      <c r="B34" s="362" t="s">
        <v>1819</v>
      </c>
      <c r="C34" s="397"/>
      <c r="D34" s="118">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02"/>
      <c r="Q34" s="528" t="str">
        <f t="shared" si="11"/>
        <v>物业管理</v>
      </c>
      <c r="R34" s="662" t="s">
        <v>14</v>
      </c>
      <c r="S34" s="663">
        <f t="shared" si="12"/>
        <v>100</v>
      </c>
      <c r="T34" s="662" t="s">
        <v>14</v>
      </c>
      <c r="U34" s="663">
        <f t="shared" si="13"/>
        <v>100</v>
      </c>
      <c r="V34" s="662" t="s">
        <v>14</v>
      </c>
      <c r="W34" s="663">
        <f t="shared" si="14"/>
        <v>100</v>
      </c>
      <c r="X34" s="664"/>
      <c r="Y34" s="3402"/>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02" t="s">
        <v>1696</v>
      </c>
      <c r="Q35" s="1261" t="str">
        <f t="shared" si="11"/>
        <v>市政基础设施</v>
      </c>
      <c r="R35" s="665" t="s">
        <v>14</v>
      </c>
      <c r="S35" s="666">
        <f t="shared" si="12"/>
        <v>100</v>
      </c>
      <c r="T35" s="665" t="s">
        <v>14</v>
      </c>
      <c r="U35" s="666">
        <f t="shared" si="13"/>
        <v>100</v>
      </c>
      <c r="V35" s="665" t="s">
        <v>14</v>
      </c>
      <c r="W35" s="666">
        <f t="shared" si="14"/>
        <v>100</v>
      </c>
      <c r="X35" s="1263"/>
      <c r="Y35" s="3402"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02"/>
      <c r="Q36" s="1261" t="str">
        <f t="shared" si="11"/>
        <v>内部装修</v>
      </c>
      <c r="R36" s="665" t="s">
        <v>14</v>
      </c>
      <c r="S36" s="666">
        <f t="shared" si="12"/>
        <v>100</v>
      </c>
      <c r="T36" s="665" t="s">
        <v>14</v>
      </c>
      <c r="U36" s="666">
        <f t="shared" si="13"/>
        <v>100</v>
      </c>
      <c r="V36" s="665" t="s">
        <v>14</v>
      </c>
      <c r="W36" s="666">
        <f t="shared" si="14"/>
        <v>100</v>
      </c>
      <c r="X36" s="1263"/>
      <c r="Y36" s="3402"/>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02"/>
      <c r="Q37" s="1261" t="str">
        <f t="shared" si="11"/>
        <v>内部装修状况</v>
      </c>
      <c r="R37" s="665" t="s">
        <v>14</v>
      </c>
      <c r="S37" s="666">
        <f t="shared" si="12"/>
        <v>100</v>
      </c>
      <c r="T37" s="665" t="s">
        <v>14</v>
      </c>
      <c r="U37" s="666">
        <f t="shared" si="13"/>
        <v>100</v>
      </c>
      <c r="V37" s="665" t="s">
        <v>14</v>
      </c>
      <c r="W37" s="666">
        <f t="shared" si="14"/>
        <v>100</v>
      </c>
      <c r="X37" s="1263"/>
      <c r="Y37" s="3402"/>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02"/>
      <c r="Q38" s="529">
        <f t="shared" si="11"/>
        <v>111</v>
      </c>
      <c r="R38" s="667" t="s">
        <v>14</v>
      </c>
      <c r="S38" s="668">
        <f t="shared" si="12"/>
        <v>100</v>
      </c>
      <c r="T38" s="667" t="s">
        <v>14</v>
      </c>
      <c r="U38" s="668">
        <f t="shared" si="13"/>
        <v>100</v>
      </c>
      <c r="V38" s="667" t="s">
        <v>14</v>
      </c>
      <c r="W38" s="668">
        <f t="shared" si="14"/>
        <v>100</v>
      </c>
      <c r="X38" s="669"/>
      <c r="Y38" s="3402"/>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02"/>
      <c r="Q39" s="1261">
        <f t="shared" si="11"/>
        <v>111</v>
      </c>
      <c r="R39" s="665" t="s">
        <v>14</v>
      </c>
      <c r="S39" s="666">
        <f t="shared" si="12"/>
        <v>100</v>
      </c>
      <c r="T39" s="665" t="s">
        <v>14</v>
      </c>
      <c r="U39" s="666">
        <f t="shared" si="13"/>
        <v>100</v>
      </c>
      <c r="V39" s="665" t="s">
        <v>14</v>
      </c>
      <c r="W39" s="666">
        <f t="shared" si="14"/>
        <v>100</v>
      </c>
      <c r="X39" s="1263"/>
      <c r="Y39" s="3402"/>
      <c r="Z39" s="1262">
        <f t="shared" si="15"/>
        <v>111</v>
      </c>
      <c r="AA39" s="1262">
        <f t="shared" si="3"/>
        <v>1</v>
      </c>
      <c r="AB39" s="1262">
        <f t="shared" si="4"/>
        <v>1</v>
      </c>
      <c r="AC39" s="1262">
        <f t="shared" si="5"/>
        <v>1</v>
      </c>
    </row>
    <row r="40" spans="1:29" ht="15.75"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03"/>
      <c r="Q40" s="1261">
        <f t="shared" si="11"/>
        <v>111</v>
      </c>
      <c r="R40" s="665" t="s">
        <v>14</v>
      </c>
      <c r="S40" s="666">
        <f t="shared" si="12"/>
        <v>100</v>
      </c>
      <c r="T40" s="665" t="s">
        <v>14</v>
      </c>
      <c r="U40" s="666">
        <f t="shared" si="13"/>
        <v>100</v>
      </c>
      <c r="V40" s="665" t="s">
        <v>14</v>
      </c>
      <c r="W40" s="666">
        <f t="shared" si="14"/>
        <v>100</v>
      </c>
      <c r="X40" s="1263"/>
      <c r="Y40" s="3403"/>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96" t="str">
        <f>A41</f>
        <v>成交单价（元/平方米）</v>
      </c>
      <c r="Q41" s="3396"/>
      <c r="R41" s="3391">
        <f>E41</f>
        <v>0</v>
      </c>
      <c r="S41" s="3391"/>
      <c r="T41" s="3391">
        <f>G41</f>
        <v>0</v>
      </c>
      <c r="U41" s="3391"/>
      <c r="V41" s="3391">
        <f>I41</f>
        <v>0</v>
      </c>
      <c r="W41" s="3391"/>
      <c r="X41" s="383"/>
      <c r="Y41" s="671"/>
      <c r="Z41" s="383"/>
      <c r="AA41" s="383"/>
      <c r="AB41" s="383"/>
      <c r="AC41" s="383"/>
    </row>
    <row r="42" spans="1:29" ht="15.75" thickBot="1">
      <c r="A42" s="421" t="s">
        <v>1793</v>
      </c>
      <c r="B42" s="422"/>
      <c r="C42" s="1080" t="e">
        <f>R43</f>
        <v>#DIV/0!</v>
      </c>
      <c r="D42" s="2138" t="s">
        <v>2138</v>
      </c>
      <c r="E42" s="1081" t="e">
        <f>R42</f>
        <v>#DIV/0!</v>
      </c>
      <c r="F42" s="2139"/>
      <c r="G42" s="1080" t="e">
        <f>T42</f>
        <v>#DIV/0!</v>
      </c>
      <c r="H42" s="2139"/>
      <c r="I42" s="1081" t="e">
        <f>V42</f>
        <v>#DIV/0!</v>
      </c>
      <c r="J42" s="2139"/>
      <c r="K42" s="2141">
        <f>F42+H42+J42</f>
        <v>0</v>
      </c>
      <c r="L42" s="871"/>
      <c r="M42" s="859"/>
      <c r="N42" s="859"/>
      <c r="O42" s="859"/>
      <c r="P42" s="3396" t="str">
        <f>A42</f>
        <v>比较价值（元/平方米）</v>
      </c>
      <c r="Q42" s="3396"/>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1"/>
      <c r="M43" s="859"/>
      <c r="N43" s="859"/>
      <c r="O43" s="859"/>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3"/>
      <c r="Y43" s="383"/>
      <c r="Z43" s="383"/>
      <c r="AA43" s="383"/>
      <c r="AB43" s="383"/>
      <c r="AC43" s="383"/>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4"/>
      <c r="M46" s="859"/>
      <c r="N46" s="859"/>
      <c r="O46" s="859"/>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4"/>
      <c r="M47" s="859"/>
      <c r="N47" s="859"/>
      <c r="O47" s="859"/>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4"/>
      <c r="M48" s="872"/>
      <c r="N48" s="872"/>
      <c r="O48" s="872"/>
    </row>
    <row r="49" spans="1:17" s="435"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6" t="s">
        <v>1798</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2025-4</v>
      </c>
      <c r="D52" s="1102">
        <f>EDATE(C52,-1)</f>
        <v>45717</v>
      </c>
      <c r="E52" s="1102">
        <f t="shared" ref="E52:O52" si="16">EDATE(D52,-1)</f>
        <v>45689</v>
      </c>
      <c r="F52" s="1102">
        <f t="shared" si="16"/>
        <v>45658</v>
      </c>
      <c r="G52" s="1102">
        <f t="shared" si="16"/>
        <v>45627</v>
      </c>
      <c r="H52" s="1102">
        <f t="shared" si="16"/>
        <v>45597</v>
      </c>
      <c r="I52" s="1102">
        <f t="shared" si="16"/>
        <v>45566</v>
      </c>
      <c r="J52" s="1102">
        <f t="shared" si="16"/>
        <v>45536</v>
      </c>
      <c r="K52" s="1102">
        <f t="shared" si="16"/>
        <v>45505</v>
      </c>
      <c r="L52" s="1102">
        <f t="shared" si="16"/>
        <v>45474</v>
      </c>
      <c r="M52" s="1102">
        <f t="shared" si="16"/>
        <v>45444</v>
      </c>
      <c r="N52" s="1102">
        <f t="shared" si="16"/>
        <v>45413</v>
      </c>
      <c r="O52" s="1102">
        <f t="shared" si="16"/>
        <v>45383</v>
      </c>
    </row>
    <row r="53" spans="1:17" s="101" customFormat="1" ht="15">
      <c r="A53" s="441"/>
      <c r="B53" s="442"/>
      <c r="C53" s="1100">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5"/>
      <c r="O54" s="2536"/>
      <c r="P54" s="437"/>
      <c r="Q54" s="437"/>
    </row>
    <row r="55" spans="1:17" s="101" customFormat="1" ht="15">
      <c r="A55" s="453" t="s">
        <v>1681</v>
      </c>
      <c r="B55" s="442"/>
      <c r="C55" s="454" t="s">
        <v>1776</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1719</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1736</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3329</v>
      </c>
      <c r="C1" s="1139" t="s">
        <v>1662</v>
      </c>
      <c r="D1" s="1140"/>
      <c r="E1" s="3128"/>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500"/>
      <c r="M3" s="2501" t="e">
        <f ca="1">IF(C2="——",IF(B37="元/平方米",ROUND(C39*D3/10000,0),ROUND(F3*C39/10000,0)),IF(B37="元/平方米",ROUND(C39*D3/10000,0),ROUND(F3*C39/10000,0))-D2)</f>
        <v>#DIV/0!</v>
      </c>
      <c r="N3" s="2501"/>
      <c r="O3" s="2501"/>
      <c r="P3" s="1084"/>
      <c r="Q3" s="339"/>
      <c r="R3" s="339"/>
      <c r="S3" s="339"/>
      <c r="T3" s="339"/>
      <c r="U3" s="339"/>
      <c r="V3" s="339"/>
      <c r="W3" s="339"/>
      <c r="X3" s="339"/>
      <c r="Y3" s="339"/>
      <c r="Z3" s="339"/>
      <c r="AA3" s="339"/>
      <c r="AB3" s="674"/>
      <c r="AC3" s="661"/>
    </row>
    <row r="4" spans="1:29" ht="15">
      <c r="A4" s="343" t="s">
        <v>1769</v>
      </c>
      <c r="B4" s="344"/>
      <c r="C4" s="3379" t="s">
        <v>1770</v>
      </c>
      <c r="D4" s="3380"/>
      <c r="E4" s="3381" t="s">
        <v>1771</v>
      </c>
      <c r="F4" s="3382"/>
      <c r="G4" s="3379" t="s">
        <v>1772</v>
      </c>
      <c r="H4" s="3380"/>
      <c r="I4" s="3379" t="s">
        <v>1773</v>
      </c>
      <c r="J4" s="3380"/>
      <c r="K4" s="535" t="s">
        <v>1774</v>
      </c>
      <c r="L4" s="2483"/>
      <c r="M4" s="2484"/>
      <c r="N4" s="2484"/>
      <c r="O4" s="2484"/>
      <c r="P4" s="3383" t="s">
        <v>1775</v>
      </c>
      <c r="Q4" s="3384"/>
      <c r="R4" s="3366" t="s">
        <v>1771</v>
      </c>
      <c r="S4" s="3367"/>
      <c r="T4" s="3366" t="s">
        <v>1772</v>
      </c>
      <c r="U4" s="3367"/>
      <c r="V4" s="3391" t="s">
        <v>1773</v>
      </c>
      <c r="W4" s="3391"/>
      <c r="X4" s="1263"/>
      <c r="Y4" s="3366" t="s">
        <v>1775</v>
      </c>
      <c r="Z4" s="3367"/>
      <c r="AA4" s="3361" t="s">
        <v>1771</v>
      </c>
      <c r="AB4" s="3362" t="s">
        <v>1772</v>
      </c>
      <c r="AC4" s="3361" t="s">
        <v>1773</v>
      </c>
    </row>
    <row r="5" spans="1:29" ht="15">
      <c r="A5" s="346"/>
      <c r="B5" s="347"/>
      <c r="C5" s="3372" t="s">
        <v>1673</v>
      </c>
      <c r="D5" s="3373"/>
      <c r="E5" s="3370" t="s">
        <v>1674</v>
      </c>
      <c r="F5" s="3371"/>
      <c r="G5" s="3372" t="s">
        <v>1675</v>
      </c>
      <c r="H5" s="3373"/>
      <c r="I5" s="3372" t="s">
        <v>1676</v>
      </c>
      <c r="J5" s="3373"/>
      <c r="K5" s="535"/>
      <c r="L5" s="2483"/>
      <c r="M5" s="2484"/>
      <c r="N5" s="2484"/>
      <c r="O5" s="2484"/>
      <c r="P5" s="3385"/>
      <c r="Q5" s="3386"/>
      <c r="R5" s="3368"/>
      <c r="S5" s="3369"/>
      <c r="T5" s="3368"/>
      <c r="U5" s="3369"/>
      <c r="V5" s="3391"/>
      <c r="W5" s="3391"/>
      <c r="X5" s="1263"/>
      <c r="Y5" s="3368"/>
      <c r="Z5" s="3369"/>
      <c r="AA5" s="3362"/>
      <c r="AB5" s="3362"/>
      <c r="AC5" s="3362"/>
    </row>
    <row r="6" spans="1:29" ht="15.75" thickBot="1">
      <c r="A6" s="348"/>
      <c r="B6" s="349"/>
      <c r="C6" s="3374" t="s">
        <v>1677</v>
      </c>
      <c r="D6" s="3375"/>
      <c r="E6" s="3376" t="s">
        <v>1677</v>
      </c>
      <c r="F6" s="3377"/>
      <c r="G6" s="3374" t="s">
        <v>1677</v>
      </c>
      <c r="H6" s="3375"/>
      <c r="I6" s="3374" t="s">
        <v>1677</v>
      </c>
      <c r="J6" s="3375"/>
      <c r="K6" s="535" t="s">
        <v>1678</v>
      </c>
      <c r="L6" s="2483"/>
      <c r="M6" s="2484"/>
      <c r="N6" s="2484"/>
      <c r="O6" s="2484"/>
      <c r="P6" s="3387"/>
      <c r="Q6" s="3388"/>
      <c r="R6" s="3368"/>
      <c r="S6" s="3369"/>
      <c r="T6" s="3389"/>
      <c r="U6" s="3390"/>
      <c r="V6" s="3391"/>
      <c r="W6" s="3391"/>
      <c r="X6" s="1263"/>
      <c r="Y6" s="3389"/>
      <c r="Z6" s="3390"/>
      <c r="AA6" s="3363"/>
      <c r="AB6" s="3363"/>
      <c r="AC6" s="3363"/>
    </row>
    <row r="7" spans="1:29" s="101" customFormat="1" ht="15.75" thickBot="1">
      <c r="A7" s="350" t="s">
        <v>1679</v>
      </c>
      <c r="B7" s="351"/>
      <c r="C7" s="352">
        <f>'数据-取费表'!B2</f>
        <v>45755</v>
      </c>
      <c r="D7" s="353">
        <v>100</v>
      </c>
      <c r="E7" s="354"/>
      <c r="F7" s="355">
        <f>SUMIF(48:48,YEAR(E7)&amp;"-"&amp;MONTH(E7),49:49)</f>
        <v>0</v>
      </c>
      <c r="G7" s="354"/>
      <c r="H7" s="353">
        <f>SUMIF(48:48,YEAR(G7)&amp;"-"&amp;MONTH(G7),49:49)</f>
        <v>0</v>
      </c>
      <c r="I7" s="354"/>
      <c r="J7" s="353">
        <f>SUMIF(48:48,YEAR(I7)&amp;"-"&amp;MONTH(I7),49:49)</f>
        <v>0</v>
      </c>
      <c r="K7" s="38"/>
      <c r="L7" s="2485"/>
      <c r="M7" s="2436"/>
      <c r="N7" s="2436"/>
      <c r="O7" s="2436"/>
      <c r="P7" s="3364" t="s">
        <v>1680</v>
      </c>
      <c r="Q7" s="3392"/>
      <c r="R7" s="662" t="s">
        <v>14</v>
      </c>
      <c r="S7" s="663">
        <f t="shared" ref="S7:S14" si="0">F7</f>
        <v>0</v>
      </c>
      <c r="T7" s="662" t="s">
        <v>14</v>
      </c>
      <c r="U7" s="663">
        <f t="shared" ref="U7:U14" si="1">H7</f>
        <v>0</v>
      </c>
      <c r="V7" s="662" t="s">
        <v>14</v>
      </c>
      <c r="W7" s="663">
        <f t="shared" ref="W7:W14" si="2">J7</f>
        <v>0</v>
      </c>
      <c r="X7" s="664"/>
      <c r="Y7" s="3364" t="s">
        <v>1680</v>
      </c>
      <c r="Z7" s="3365"/>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5"/>
      <c r="M8" s="2436"/>
      <c r="N8" s="2436"/>
      <c r="O8" s="2436"/>
      <c r="P8" s="3364" t="s">
        <v>1683</v>
      </c>
      <c r="Q8" s="3365"/>
      <c r="R8" s="662" t="s">
        <v>14</v>
      </c>
      <c r="S8" s="663">
        <f t="shared" si="0"/>
        <v>100</v>
      </c>
      <c r="T8" s="662" t="s">
        <v>14</v>
      </c>
      <c r="U8" s="663">
        <f t="shared" si="1"/>
        <v>100</v>
      </c>
      <c r="V8" s="662" t="s">
        <v>14</v>
      </c>
      <c r="W8" s="663">
        <f t="shared" si="2"/>
        <v>100</v>
      </c>
      <c r="X8" s="664"/>
      <c r="Y8" s="3364" t="s">
        <v>1683</v>
      </c>
      <c r="Z8" s="3365"/>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5"/>
      <c r="M9" s="2436"/>
      <c r="N9" s="2436"/>
      <c r="O9" s="2436"/>
      <c r="P9" s="3396" t="s">
        <v>1686</v>
      </c>
      <c r="Q9" s="528" t="str">
        <f t="shared" ref="Q9:Q14" si="6">B9</f>
        <v>用途</v>
      </c>
      <c r="R9" s="662" t="s">
        <v>14</v>
      </c>
      <c r="S9" s="663">
        <f t="shared" si="0"/>
        <v>100</v>
      </c>
      <c r="T9" s="662" t="s">
        <v>14</v>
      </c>
      <c r="U9" s="663">
        <f t="shared" si="1"/>
        <v>100</v>
      </c>
      <c r="V9" s="662" t="s">
        <v>14</v>
      </c>
      <c r="W9" s="663">
        <f t="shared" si="2"/>
        <v>100</v>
      </c>
      <c r="X9" s="664"/>
      <c r="Y9" s="3329" t="s">
        <v>1687</v>
      </c>
      <c r="Z9" s="50" t="str">
        <f t="shared" ref="Z9:Z14" si="7">Q9</f>
        <v>用途</v>
      </c>
      <c r="AA9" s="50">
        <f t="shared" si="3"/>
        <v>1</v>
      </c>
      <c r="AB9" s="50">
        <f t="shared" si="4"/>
        <v>1</v>
      </c>
      <c r="AC9" s="50">
        <f t="shared" si="5"/>
        <v>1</v>
      </c>
    </row>
    <row r="10" spans="1:29" s="364" customFormat="1" ht="27">
      <c r="A10" s="563"/>
      <c r="B10" s="564"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96"/>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565"/>
      <c r="B11" s="566">
        <v>111</v>
      </c>
      <c r="C11" s="369"/>
      <c r="D11" s="118">
        <v>100</v>
      </c>
      <c r="E11" s="369"/>
      <c r="F11" s="118">
        <f>SUMIF(57:57,E11,58:58)-SUMIF(57:57,C11,58:58)+100</f>
        <v>100</v>
      </c>
      <c r="G11" s="369"/>
      <c r="H11" s="118">
        <f>SUMIF(57:57,G11,58:58)-SUMIF(57:57,C11,58:58)+100</f>
        <v>100</v>
      </c>
      <c r="I11" s="369"/>
      <c r="J11" s="118">
        <f>SUMIF(57:57,I11,58:58)-SUMIF(57:57,C11,58:58)+100</f>
        <v>100</v>
      </c>
      <c r="K11" s="537"/>
      <c r="L11" s="2488"/>
      <c r="M11" s="2484"/>
      <c r="N11" s="2484"/>
      <c r="O11" s="2484"/>
      <c r="P11" s="3396"/>
      <c r="Q11" s="528">
        <f t="shared" si="6"/>
        <v>111</v>
      </c>
      <c r="R11" s="662" t="s">
        <v>14</v>
      </c>
      <c r="S11" s="663">
        <f t="shared" si="0"/>
        <v>100</v>
      </c>
      <c r="T11" s="662" t="s">
        <v>14</v>
      </c>
      <c r="U11" s="663">
        <f t="shared" si="1"/>
        <v>100</v>
      </c>
      <c r="V11" s="662" t="s">
        <v>14</v>
      </c>
      <c r="W11" s="663">
        <f t="shared" si="2"/>
        <v>100</v>
      </c>
      <c r="X11" s="664"/>
      <c r="Y11" s="3329"/>
      <c r="Z11" s="50">
        <f t="shared" si="7"/>
        <v>111</v>
      </c>
      <c r="AA11" s="50">
        <f t="shared" si="3"/>
        <v>1</v>
      </c>
      <c r="AB11" s="50">
        <f t="shared" si="4"/>
        <v>1</v>
      </c>
      <c r="AC11" s="50">
        <f t="shared" si="5"/>
        <v>1</v>
      </c>
    </row>
    <row r="12" spans="1:29" s="101" customFormat="1" ht="15">
      <c r="A12" s="567"/>
      <c r="B12" s="566">
        <v>111</v>
      </c>
      <c r="C12" s="369"/>
      <c r="D12" s="370">
        <v>100</v>
      </c>
      <c r="E12" s="369"/>
      <c r="F12" s="118">
        <f>SUMIF(59:59,E12,60:60)-SUMIF(59:59,C12,60:60)+100</f>
        <v>100</v>
      </c>
      <c r="G12" s="369"/>
      <c r="H12" s="118">
        <f>SUMIF(59:59,G12,60:60)-SUMIF(59:59,C12,60:60)+100</f>
        <v>100</v>
      </c>
      <c r="I12" s="369"/>
      <c r="J12" s="118">
        <f>SUMIF(59:59,I12,60:60)-SUMIF(59:59,C12,60:60)+100</f>
        <v>100</v>
      </c>
      <c r="K12" s="537"/>
      <c r="L12" s="2485"/>
      <c r="M12" s="2436"/>
      <c r="N12" s="2436"/>
      <c r="O12" s="2436"/>
      <c r="P12" s="339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75" thickBot="1">
      <c r="A13" s="568"/>
      <c r="B13" s="566">
        <v>111</v>
      </c>
      <c r="C13" s="371"/>
      <c r="D13" s="372">
        <v>100</v>
      </c>
      <c r="E13" s="369"/>
      <c r="F13" s="118">
        <f>SUMIF(61:61,E13,62:62)-SUMIF(61:61,C13,62:62)+100</f>
        <v>100</v>
      </c>
      <c r="G13" s="369"/>
      <c r="H13" s="372">
        <f>SUMIF(61:61,G13,62:62)-SUMIF(61:61,C13,62:62)+100</f>
        <v>100</v>
      </c>
      <c r="I13" s="369"/>
      <c r="J13" s="372">
        <f>SUMIF(61:61,I13,62:62)-SUMIF(61:61,C13,62:62)+100</f>
        <v>100</v>
      </c>
      <c r="K13" s="537"/>
      <c r="L13" s="2489"/>
      <c r="M13" s="2484"/>
      <c r="N13" s="2484"/>
      <c r="O13" s="2484"/>
      <c r="P13" s="339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14">
      <c r="A14" s="343" t="s">
        <v>1690</v>
      </c>
      <c r="B14" s="552" t="s">
        <v>1833</v>
      </c>
      <c r="C14" s="1816" t="str">
        <f>IF(B1="工业",估价对象房地状况!G4,估价对象房地状况!C6)</f>
        <v>周边有28路、57路、72路、98路、300路等多条公交线路，地铁7号线与10号线换乘站双井站，综合评价交通便捷度好。</v>
      </c>
      <c r="D14" s="378">
        <v>100</v>
      </c>
      <c r="E14" s="379"/>
      <c r="F14" s="380">
        <f>SUMIF(63:63,E15,64:64)-SUMIF(63:63,C15,64:64)+100</f>
        <v>100</v>
      </c>
      <c r="G14" s="381"/>
      <c r="H14" s="378">
        <f>SUMIF(63:63,G15,64:64)-SUMIF(63:63,C15,64:64)+100</f>
        <v>100</v>
      </c>
      <c r="I14" s="379"/>
      <c r="J14" s="378">
        <f>SUMIF(63:63,I15,64:64)-SUMIF(63:63,C15,64:64)+100</f>
        <v>100</v>
      </c>
      <c r="K14" s="538"/>
      <c r="L14" s="2489"/>
      <c r="M14" s="2484"/>
      <c r="N14" s="2484"/>
      <c r="O14" s="2484"/>
      <c r="P14" s="3397" t="s">
        <v>1691</v>
      </c>
      <c r="Q14" s="1261" t="str">
        <f t="shared" si="6"/>
        <v>交通便捷度</v>
      </c>
      <c r="R14" s="665" t="s">
        <v>14</v>
      </c>
      <c r="S14" s="666">
        <f t="shared" si="0"/>
        <v>100</v>
      </c>
      <c r="T14" s="665" t="s">
        <v>14</v>
      </c>
      <c r="U14" s="666">
        <f t="shared" si="1"/>
        <v>100</v>
      </c>
      <c r="V14" s="665" t="s">
        <v>14</v>
      </c>
      <c r="W14" s="666">
        <f t="shared" si="2"/>
        <v>100</v>
      </c>
      <c r="X14" s="1263"/>
      <c r="Y14" s="3397"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9"/>
      <c r="M15" s="2484"/>
      <c r="N15" s="2484"/>
      <c r="O15" s="2484"/>
      <c r="P15" s="3398"/>
      <c r="Q15" s="1261"/>
      <c r="R15" s="665"/>
      <c r="S15" s="666"/>
      <c r="T15" s="665"/>
      <c r="U15" s="666"/>
      <c r="V15" s="665"/>
      <c r="W15" s="666"/>
      <c r="X15" s="1263"/>
      <c r="Y15" s="3398"/>
      <c r="Z15" s="1262"/>
      <c r="AA15" s="1262">
        <v>1</v>
      </c>
      <c r="AB15" s="1262">
        <v>1</v>
      </c>
      <c r="AC15" s="1262">
        <v>1</v>
      </c>
    </row>
    <row r="16" spans="1:29" ht="313.5">
      <c r="A16" s="346"/>
      <c r="B16" s="554" t="s">
        <v>1812</v>
      </c>
      <c r="C16" s="1752" t="str">
        <f>IF(B1="工业",估价对象房地状况!G5,估价对象房地状况!C7)</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D16" s="392">
        <v>100</v>
      </c>
      <c r="E16" s="394"/>
      <c r="F16" s="395">
        <f>SUMIF(65:65,E17,66:66)-SUMIF(65:65,C17,66:66)+100</f>
        <v>100</v>
      </c>
      <c r="G16" s="396"/>
      <c r="H16" s="392">
        <f>SUMIF(65:65,G17,66:66)-SUMIF(65:65,C17,66:66)+100</f>
        <v>100</v>
      </c>
      <c r="I16" s="394"/>
      <c r="J16" s="392">
        <f>SUMIF(65:65,I17,66:66)-SUMIF(65:65,C17,66:66)+100</f>
        <v>100</v>
      </c>
      <c r="K16" s="538"/>
      <c r="L16" s="2489"/>
      <c r="M16" s="2484"/>
      <c r="N16" s="2484"/>
      <c r="O16" s="2484"/>
      <c r="P16" s="3398"/>
      <c r="Q16" s="1261" t="str">
        <f>B16</f>
        <v>公共配套设施</v>
      </c>
      <c r="R16" s="665" t="s">
        <v>14</v>
      </c>
      <c r="S16" s="666">
        <f>F16</f>
        <v>100</v>
      </c>
      <c r="T16" s="665" t="s">
        <v>14</v>
      </c>
      <c r="U16" s="666">
        <f>H16</f>
        <v>100</v>
      </c>
      <c r="V16" s="665" t="s">
        <v>14</v>
      </c>
      <c r="W16" s="666">
        <f>J16</f>
        <v>100</v>
      </c>
      <c r="X16" s="1263"/>
      <c r="Y16" s="3398"/>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9"/>
      <c r="M17" s="2484"/>
      <c r="N17" s="2484"/>
      <c r="O17" s="2484"/>
      <c r="P17" s="3398"/>
      <c r="Q17" s="1261"/>
      <c r="R17" s="665"/>
      <c r="S17" s="666"/>
      <c r="T17" s="665"/>
      <c r="U17" s="666"/>
      <c r="V17" s="665"/>
      <c r="W17" s="666"/>
      <c r="X17" s="1263"/>
      <c r="Y17" s="3398"/>
      <c r="Z17" s="1262"/>
      <c r="AA17" s="1262">
        <v>1</v>
      </c>
      <c r="AB17" s="1262">
        <v>1</v>
      </c>
      <c r="AC17" s="1262">
        <v>1</v>
      </c>
    </row>
    <row r="18" spans="1:29" ht="28.5">
      <c r="A18" s="346"/>
      <c r="B18" s="555" t="s">
        <v>1813</v>
      </c>
      <c r="C18" s="1752"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9"/>
      <c r="M18" s="2484"/>
      <c r="N18" s="2484"/>
      <c r="O18" s="2484"/>
      <c r="P18" s="3398"/>
      <c r="Q18" s="1261" t="str">
        <f>B18</f>
        <v>基础设施水平</v>
      </c>
      <c r="R18" s="665" t="s">
        <v>14</v>
      </c>
      <c r="S18" s="666">
        <f>F18</f>
        <v>100</v>
      </c>
      <c r="T18" s="665" t="s">
        <v>14</v>
      </c>
      <c r="U18" s="666">
        <f>H18</f>
        <v>100</v>
      </c>
      <c r="V18" s="665" t="s">
        <v>14</v>
      </c>
      <c r="W18" s="666">
        <f>J18</f>
        <v>100</v>
      </c>
      <c r="X18" s="1263"/>
      <c r="Y18" s="3398"/>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9"/>
      <c r="M19" s="2484"/>
      <c r="N19" s="2484"/>
      <c r="O19" s="2484"/>
      <c r="P19" s="3398"/>
      <c r="Q19" s="1261"/>
      <c r="R19" s="665"/>
      <c r="S19" s="666"/>
      <c r="T19" s="665"/>
      <c r="U19" s="666"/>
      <c r="V19" s="665"/>
      <c r="W19" s="666"/>
      <c r="X19" s="1263"/>
      <c r="Y19" s="3398"/>
      <c r="Z19" s="1262"/>
      <c r="AA19" s="1262">
        <v>1</v>
      </c>
      <c r="AB19" s="1262">
        <v>1</v>
      </c>
      <c r="AC19" s="1262">
        <v>1</v>
      </c>
    </row>
    <row r="20" spans="1:29" ht="128.25">
      <c r="A20" s="346"/>
      <c r="B20" s="554" t="s">
        <v>1834</v>
      </c>
      <c r="C20" s="1752" t="str">
        <f>IF(B1="工业",估价对象房地状况!G7,估价对象房地状况!C9)</f>
        <v>自然环境：CBD城市森林公园、通惠河水系等自然景观；
人文环境：北京今日美术馆等人文场所；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9"/>
      <c r="M20" s="2484"/>
      <c r="N20" s="2484"/>
      <c r="O20" s="2484"/>
      <c r="P20" s="3398"/>
      <c r="Q20" s="1261" t="str">
        <f>B20</f>
        <v>自然及人文环境</v>
      </c>
      <c r="R20" s="665" t="s">
        <v>14</v>
      </c>
      <c r="S20" s="666">
        <f>F20</f>
        <v>100</v>
      </c>
      <c r="T20" s="665" t="s">
        <v>14</v>
      </c>
      <c r="U20" s="666">
        <f>H20</f>
        <v>100</v>
      </c>
      <c r="V20" s="665" t="s">
        <v>14</v>
      </c>
      <c r="W20" s="666">
        <f>J20</f>
        <v>100</v>
      </c>
      <c r="X20" s="1263"/>
      <c r="Y20" s="3398"/>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9"/>
      <c r="M21" s="2484"/>
      <c r="N21" s="2484"/>
      <c r="O21" s="2484"/>
      <c r="P21" s="3398"/>
      <c r="Q21" s="1261"/>
      <c r="R21" s="665"/>
      <c r="S21" s="666"/>
      <c r="T21" s="665"/>
      <c r="U21" s="666"/>
      <c r="V21" s="665"/>
      <c r="W21" s="666"/>
      <c r="X21" s="1263"/>
      <c r="Y21" s="3398"/>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9"/>
      <c r="M22" s="2484"/>
      <c r="N22" s="2484"/>
      <c r="O22" s="2484"/>
      <c r="P22" s="3398"/>
      <c r="Q22" s="1261" t="str">
        <f>B22</f>
        <v>楼层</v>
      </c>
      <c r="R22" s="665" t="s">
        <v>14</v>
      </c>
      <c r="S22" s="666">
        <f>F22</f>
        <v>100</v>
      </c>
      <c r="T22" s="665" t="s">
        <v>14</v>
      </c>
      <c r="U22" s="666">
        <f>H22</f>
        <v>100</v>
      </c>
      <c r="V22" s="665" t="s">
        <v>14</v>
      </c>
      <c r="W22" s="666">
        <f>J22</f>
        <v>100</v>
      </c>
      <c r="X22" s="1263"/>
      <c r="Y22" s="3398"/>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9"/>
      <c r="M23" s="2484"/>
      <c r="N23" s="2484"/>
      <c r="O23" s="2484"/>
      <c r="P23" s="3398"/>
      <c r="Q23" s="1261">
        <f>B23</f>
        <v>111</v>
      </c>
      <c r="R23" s="665" t="s">
        <v>14</v>
      </c>
      <c r="S23" s="666">
        <f>F23</f>
        <v>100</v>
      </c>
      <c r="T23" s="665" t="s">
        <v>14</v>
      </c>
      <c r="U23" s="666">
        <f>H23</f>
        <v>100</v>
      </c>
      <c r="V23" s="665" t="s">
        <v>14</v>
      </c>
      <c r="W23" s="666">
        <f>J23</f>
        <v>100</v>
      </c>
      <c r="X23" s="1263"/>
      <c r="Y23" s="3398"/>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9"/>
      <c r="M24" s="2484"/>
      <c r="N24" s="2484"/>
      <c r="O24" s="2484"/>
      <c r="P24" s="3398"/>
      <c r="Q24" s="1261">
        <f t="shared" ref="Q24:Q36" si="11">B24</f>
        <v>111</v>
      </c>
      <c r="R24" s="665" t="s">
        <v>14</v>
      </c>
      <c r="S24" s="666">
        <f>F24</f>
        <v>100</v>
      </c>
      <c r="T24" s="665" t="s">
        <v>14</v>
      </c>
      <c r="U24" s="666">
        <f>H24</f>
        <v>100</v>
      </c>
      <c r="V24" s="665" t="s">
        <v>14</v>
      </c>
      <c r="W24" s="666">
        <f>J24</f>
        <v>100</v>
      </c>
      <c r="X24" s="1263"/>
      <c r="Y24" s="3398"/>
      <c r="Z24" s="1262">
        <f>Q24</f>
        <v>111</v>
      </c>
      <c r="AA24" s="1262">
        <f t="shared" si="3"/>
        <v>1</v>
      </c>
      <c r="AB24" s="1262">
        <f t="shared" si="4"/>
        <v>1</v>
      </c>
      <c r="AC24" s="1262">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5"/>
      <c r="M25" s="2436"/>
      <c r="N25" s="2436"/>
      <c r="O25" s="2436"/>
      <c r="P25" s="3398"/>
      <c r="Q25" s="528">
        <f t="shared" si="11"/>
        <v>111</v>
      </c>
      <c r="R25" s="662" t="s">
        <v>14</v>
      </c>
      <c r="S25" s="663">
        <f>F25</f>
        <v>100</v>
      </c>
      <c r="T25" s="662" t="s">
        <v>14</v>
      </c>
      <c r="U25" s="663">
        <f>H25</f>
        <v>100</v>
      </c>
      <c r="V25" s="662" t="s">
        <v>14</v>
      </c>
      <c r="W25" s="663">
        <f>J25</f>
        <v>100</v>
      </c>
      <c r="X25" s="664"/>
      <c r="Y25" s="3398"/>
      <c r="Z25" s="50">
        <f>Q25</f>
        <v>111</v>
      </c>
      <c r="AA25" s="1262">
        <f>D25/F25</f>
        <v>1</v>
      </c>
      <c r="AB25" s="1262">
        <f>D25/H25</f>
        <v>1</v>
      </c>
      <c r="AC25" s="1262">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9"/>
      <c r="M26" s="2484"/>
      <c r="N26" s="2484"/>
      <c r="O26" s="2484"/>
      <c r="P26" s="3442"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02" t="s">
        <v>1696</v>
      </c>
      <c r="Z26" s="1262" t="str">
        <f t="shared" ref="Z26:Z36" si="15">Q26</f>
        <v>配套类型</v>
      </c>
      <c r="AA26" s="1262" t="e">
        <f t="shared" si="3"/>
        <v>#DIV/0!</v>
      </c>
      <c r="AB26" s="1262" t="e">
        <f t="shared" si="4"/>
        <v>#DIV/0!</v>
      </c>
      <c r="AC26" s="1262" t="e">
        <f t="shared" si="5"/>
        <v>#DIV/0!</v>
      </c>
    </row>
    <row r="27" spans="1:29" s="406" customFormat="1" ht="15">
      <c r="A27" s="573"/>
      <c r="B27" s="118" t="s">
        <v>1837</v>
      </c>
      <c r="C27" s="574"/>
      <c r="D27" s="118">
        <v>100</v>
      </c>
      <c r="E27" s="574"/>
      <c r="F27" s="398">
        <f>SUMIF(81:81,E27,82:82)-SUMIF(81:81,C27,82:82)+100</f>
        <v>100</v>
      </c>
      <c r="G27" s="574"/>
      <c r="H27" s="372">
        <f>SUMIF(81:81,G27,82:82)-SUMIF(81:81,C27,82:82)+100</f>
        <v>100</v>
      </c>
      <c r="I27" s="574"/>
      <c r="J27" s="372">
        <f>SUMIF(81:81,I27,82:82)-SUMIF(81:81,C27,82:82)+100</f>
        <v>100</v>
      </c>
      <c r="K27" s="537"/>
      <c r="L27" s="2488"/>
      <c r="M27" s="2490"/>
      <c r="N27" s="2490"/>
      <c r="O27" s="2490"/>
      <c r="P27" s="3402"/>
      <c r="Q27" s="529" t="str">
        <f t="shared" si="11"/>
        <v>项目停车位配比</v>
      </c>
      <c r="R27" s="667" t="s">
        <v>14</v>
      </c>
      <c r="S27" s="668">
        <f t="shared" si="12"/>
        <v>100</v>
      </c>
      <c r="T27" s="667" t="s">
        <v>14</v>
      </c>
      <c r="U27" s="668">
        <f t="shared" si="13"/>
        <v>100</v>
      </c>
      <c r="V27" s="667" t="s">
        <v>14</v>
      </c>
      <c r="W27" s="668">
        <f t="shared" si="14"/>
        <v>100</v>
      </c>
      <c r="X27" s="669"/>
      <c r="Y27" s="3402"/>
      <c r="Z27" s="670" t="str">
        <f t="shared" si="15"/>
        <v>项目停车位配比</v>
      </c>
      <c r="AA27" s="1262">
        <f t="shared" si="3"/>
        <v>1</v>
      </c>
      <c r="AB27" s="1262">
        <f t="shared" si="4"/>
        <v>1</v>
      </c>
      <c r="AC27" s="1262">
        <f t="shared" si="5"/>
        <v>1</v>
      </c>
    </row>
    <row r="28" spans="1:29" ht="15">
      <c r="A28" s="575"/>
      <c r="B28" s="118" t="s">
        <v>1838</v>
      </c>
      <c r="C28" s="397"/>
      <c r="D28" s="372">
        <v>100</v>
      </c>
      <c r="E28" s="397"/>
      <c r="F28" s="398">
        <f>SUMIF(83:83,E28,84:84)-SUMIF(83:83,C28,84:84)+100</f>
        <v>100</v>
      </c>
      <c r="G28" s="397"/>
      <c r="H28" s="372">
        <f>SUMIF(83:83,G28,84:84)-SUMIF(83:83,C28,84:84)+100</f>
        <v>100</v>
      </c>
      <c r="I28" s="397"/>
      <c r="J28" s="372">
        <f>SUMIF(83:83,I28,84:84)-SUMIF(83:83,C28,84:84)+100</f>
        <v>100</v>
      </c>
      <c r="K28" s="536"/>
      <c r="L28" s="2489"/>
      <c r="M28" s="2484"/>
      <c r="N28" s="2484"/>
      <c r="O28" s="2484"/>
      <c r="P28" s="3402"/>
      <c r="Q28" s="1261" t="str">
        <f t="shared" si="11"/>
        <v>公共部分装修</v>
      </c>
      <c r="R28" s="665" t="s">
        <v>14</v>
      </c>
      <c r="S28" s="666">
        <f t="shared" si="12"/>
        <v>100</v>
      </c>
      <c r="T28" s="665" t="s">
        <v>14</v>
      </c>
      <c r="U28" s="666">
        <f t="shared" si="13"/>
        <v>100</v>
      </c>
      <c r="V28" s="665" t="s">
        <v>14</v>
      </c>
      <c r="W28" s="666">
        <f t="shared" si="14"/>
        <v>100</v>
      </c>
      <c r="X28" s="1263"/>
      <c r="Y28" s="3402"/>
      <c r="Z28" s="1262" t="str">
        <f t="shared" si="15"/>
        <v>公共部分装修</v>
      </c>
      <c r="AA28" s="1262">
        <f t="shared" si="3"/>
        <v>1</v>
      </c>
      <c r="AB28" s="1262">
        <f t="shared" si="4"/>
        <v>1</v>
      </c>
      <c r="AC28" s="1262">
        <f t="shared" si="5"/>
        <v>1</v>
      </c>
    </row>
    <row r="29" spans="1:29" ht="15">
      <c r="A29" s="575"/>
      <c r="B29" s="118"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9"/>
      <c r="M29" s="2484"/>
      <c r="N29" s="2484"/>
      <c r="O29" s="2484"/>
      <c r="P29" s="3402"/>
      <c r="Q29" s="1261" t="str">
        <f t="shared" si="11"/>
        <v>成新率</v>
      </c>
      <c r="R29" s="665" t="s">
        <v>14</v>
      </c>
      <c r="S29" s="666" t="e">
        <f t="shared" si="12"/>
        <v>#N/A</v>
      </c>
      <c r="T29" s="665" t="s">
        <v>14</v>
      </c>
      <c r="U29" s="666" t="e">
        <f t="shared" si="13"/>
        <v>#N/A</v>
      </c>
      <c r="V29" s="665" t="s">
        <v>14</v>
      </c>
      <c r="W29" s="666" t="e">
        <f t="shared" si="14"/>
        <v>#N/A</v>
      </c>
      <c r="X29" s="1263"/>
      <c r="Y29" s="3402"/>
      <c r="Z29" s="1262" t="str">
        <f t="shared" si="15"/>
        <v>成新率</v>
      </c>
      <c r="AA29" s="1262" t="e">
        <f t="shared" si="3"/>
        <v>#N/A</v>
      </c>
      <c r="AB29" s="1262" t="e">
        <f t="shared" si="4"/>
        <v>#N/A</v>
      </c>
      <c r="AC29" s="1262" t="e">
        <f t="shared" si="5"/>
        <v>#N/A</v>
      </c>
    </row>
    <row r="30" spans="1:29" ht="15">
      <c r="A30" s="575"/>
      <c r="B30" s="118" t="s">
        <v>1840</v>
      </c>
      <c r="C30" s="576"/>
      <c r="D30" s="372">
        <v>100</v>
      </c>
      <c r="E30" s="576"/>
      <c r="F30" s="398">
        <f>SUMIF(88:88,E30,89:89)-SUMIF(88:88,C30,89:89)+100</f>
        <v>100</v>
      </c>
      <c r="G30" s="576"/>
      <c r="H30" s="372">
        <f>SUMIF(88:88,E30,89:89)-SUMIF(88:88,C30,89:89)+100</f>
        <v>100</v>
      </c>
      <c r="I30" s="576"/>
      <c r="J30" s="372">
        <f>SUMIF(88:88,E30,89:89)-SUMIF(88:88,C30,89:89)+100</f>
        <v>100</v>
      </c>
      <c r="K30" s="536"/>
      <c r="L30" s="2489"/>
      <c r="M30" s="2484"/>
      <c r="N30" s="2484"/>
      <c r="O30" s="2484"/>
      <c r="P30" s="3402"/>
      <c r="Q30" s="1261" t="str">
        <f t="shared" si="11"/>
        <v>物业等级</v>
      </c>
      <c r="R30" s="665" t="s">
        <v>14</v>
      </c>
      <c r="S30" s="666">
        <f t="shared" si="12"/>
        <v>100</v>
      </c>
      <c r="T30" s="665" t="s">
        <v>14</v>
      </c>
      <c r="U30" s="666">
        <f t="shared" si="13"/>
        <v>100</v>
      </c>
      <c r="V30" s="665" t="s">
        <v>14</v>
      </c>
      <c r="W30" s="666">
        <f t="shared" si="14"/>
        <v>100</v>
      </c>
      <c r="X30" s="1263"/>
      <c r="Y30" s="3402"/>
      <c r="Z30" s="1262" t="str">
        <f t="shared" si="15"/>
        <v>物业等级</v>
      </c>
      <c r="AA30" s="1262">
        <f t="shared" si="3"/>
        <v>1</v>
      </c>
      <c r="AB30" s="1262">
        <f t="shared" si="4"/>
        <v>1</v>
      </c>
      <c r="AC30" s="1262">
        <f t="shared" si="5"/>
        <v>1</v>
      </c>
    </row>
    <row r="31" spans="1:29" s="101" customFormat="1" ht="15">
      <c r="A31" s="577"/>
      <c r="B31" s="118" t="s">
        <v>1841</v>
      </c>
      <c r="C31" s="405"/>
      <c r="D31" s="118">
        <v>100</v>
      </c>
      <c r="E31" s="405"/>
      <c r="F31" s="398" t="e">
        <f>LOOKUP(E31,91:91,92:92)-LOOKUP(C31,91:91,92:92)+100</f>
        <v>#N/A</v>
      </c>
      <c r="G31" s="405"/>
      <c r="H31" s="372" t="e">
        <f>LOOKUP(G31,91:91,92:92)-LOOKUP(C31,91:91,92:92)+100</f>
        <v>#N/A</v>
      </c>
      <c r="I31" s="405"/>
      <c r="J31" s="372" t="e">
        <f>LOOKUP(I31,91:91,92:92)-LOOKUP(C31,91:91,92:92)+100</f>
        <v>#N/A</v>
      </c>
      <c r="K31" s="536"/>
      <c r="L31" s="2485"/>
      <c r="M31" s="2436"/>
      <c r="N31" s="2436"/>
      <c r="O31" s="2436"/>
      <c r="P31" s="3402"/>
      <c r="Q31" s="528" t="str">
        <f t="shared" si="11"/>
        <v>停车位面积</v>
      </c>
      <c r="R31" s="662" t="s">
        <v>14</v>
      </c>
      <c r="S31" s="663" t="e">
        <f t="shared" si="12"/>
        <v>#N/A</v>
      </c>
      <c r="T31" s="662" t="s">
        <v>14</v>
      </c>
      <c r="U31" s="663" t="e">
        <f t="shared" si="13"/>
        <v>#N/A</v>
      </c>
      <c r="V31" s="662" t="s">
        <v>14</v>
      </c>
      <c r="W31" s="663" t="e">
        <f t="shared" si="14"/>
        <v>#N/A</v>
      </c>
      <c r="X31" s="664"/>
      <c r="Y31" s="3402"/>
      <c r="Z31" s="50" t="str">
        <f t="shared" si="15"/>
        <v>停车位面积</v>
      </c>
      <c r="AA31" s="50" t="e">
        <f t="shared" si="3"/>
        <v>#N/A</v>
      </c>
      <c r="AB31" s="50" t="e">
        <f t="shared" si="4"/>
        <v>#N/A</v>
      </c>
      <c r="AC31" s="50" t="e">
        <f t="shared" si="5"/>
        <v>#N/A</v>
      </c>
    </row>
    <row r="32" spans="1:29" ht="15">
      <c r="A32" s="575"/>
      <c r="B32" s="118" t="s">
        <v>1842</v>
      </c>
      <c r="C32" s="397"/>
      <c r="D32" s="372">
        <v>100</v>
      </c>
      <c r="E32" s="397"/>
      <c r="F32" s="398">
        <f>SUMIF(93:93,E32,94:94)-SUMIF(93:93,C32,94:94)+100</f>
        <v>100</v>
      </c>
      <c r="G32" s="397"/>
      <c r="H32" s="372">
        <f>SUMIF(93:93,G32,94:94)-SUMIF(93:93,C32,94:94)+100</f>
        <v>100</v>
      </c>
      <c r="I32" s="397"/>
      <c r="J32" s="372">
        <f>SUMIF(93:93,I32,94:94)-SUMIF(93:93,C32,94:94)+100</f>
        <v>100</v>
      </c>
      <c r="K32" s="536"/>
      <c r="L32" s="2489"/>
      <c r="M32" s="2484"/>
      <c r="N32" s="2484"/>
      <c r="O32" s="2484"/>
      <c r="P32" s="3402" t="s">
        <v>1696</v>
      </c>
      <c r="Q32" s="1261" t="str">
        <f t="shared" si="11"/>
        <v>车位类型</v>
      </c>
      <c r="R32" s="665" t="s">
        <v>14</v>
      </c>
      <c r="S32" s="666">
        <f t="shared" si="12"/>
        <v>100</v>
      </c>
      <c r="T32" s="665" t="s">
        <v>14</v>
      </c>
      <c r="U32" s="666">
        <f t="shared" si="13"/>
        <v>100</v>
      </c>
      <c r="V32" s="665" t="s">
        <v>14</v>
      </c>
      <c r="W32" s="666">
        <f t="shared" si="14"/>
        <v>100</v>
      </c>
      <c r="X32" s="1263"/>
      <c r="Y32" s="3402" t="s">
        <v>1696</v>
      </c>
      <c r="Z32" s="1262" t="str">
        <f t="shared" si="15"/>
        <v>车位类型</v>
      </c>
      <c r="AA32" s="1262">
        <f t="shared" si="3"/>
        <v>1</v>
      </c>
      <c r="AB32" s="1262">
        <f t="shared" si="4"/>
        <v>1</v>
      </c>
      <c r="AC32" s="1262">
        <f t="shared" si="5"/>
        <v>1</v>
      </c>
    </row>
    <row r="33" spans="1:29" ht="15">
      <c r="A33" s="575"/>
      <c r="B33" s="118" t="s">
        <v>1843</v>
      </c>
      <c r="C33" s="397"/>
      <c r="D33" s="372">
        <v>100</v>
      </c>
      <c r="E33" s="397"/>
      <c r="F33" s="398">
        <f>SUMIF(95:95,E33,96:96)-SUMIF(95:95,C33,96:96)+100</f>
        <v>100</v>
      </c>
      <c r="G33" s="397"/>
      <c r="H33" s="372">
        <f>SUMIF(95:95,G33,96:96)-SUMIF(95:95,C33,96:96)+100</f>
        <v>100</v>
      </c>
      <c r="I33" s="397"/>
      <c r="J33" s="372">
        <f>SUMIF(95:95,I33,96:96)-SUMIF(95:95,C33,96:96)+100</f>
        <v>100</v>
      </c>
      <c r="K33" s="536"/>
      <c r="L33" s="2489"/>
      <c r="M33" s="2484"/>
      <c r="N33" s="2484"/>
      <c r="O33" s="2484"/>
      <c r="P33" s="3402"/>
      <c r="Q33" s="1261" t="str">
        <f t="shared" si="11"/>
        <v>是否直接入户</v>
      </c>
      <c r="R33" s="665" t="s">
        <v>14</v>
      </c>
      <c r="S33" s="666">
        <f t="shared" si="12"/>
        <v>100</v>
      </c>
      <c r="T33" s="665" t="s">
        <v>14</v>
      </c>
      <c r="U33" s="666">
        <f t="shared" si="13"/>
        <v>100</v>
      </c>
      <c r="V33" s="665" t="s">
        <v>14</v>
      </c>
      <c r="W33" s="666">
        <f t="shared" si="14"/>
        <v>100</v>
      </c>
      <c r="X33" s="1263"/>
      <c r="Y33" s="3402"/>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9"/>
      <c r="M34" s="2484"/>
      <c r="N34" s="2484"/>
      <c r="O34" s="2484"/>
      <c r="P34" s="3402"/>
      <c r="Q34" s="1261">
        <f t="shared" si="11"/>
        <v>111</v>
      </c>
      <c r="R34" s="665" t="s">
        <v>14</v>
      </c>
      <c r="S34" s="666">
        <f t="shared" si="12"/>
        <v>100</v>
      </c>
      <c r="T34" s="665" t="s">
        <v>14</v>
      </c>
      <c r="U34" s="666">
        <f t="shared" si="13"/>
        <v>100</v>
      </c>
      <c r="V34" s="665" t="s">
        <v>14</v>
      </c>
      <c r="W34" s="666">
        <f t="shared" si="14"/>
        <v>100</v>
      </c>
      <c r="X34" s="1263"/>
      <c r="Y34" s="3402"/>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8"/>
      <c r="M35" s="2490"/>
      <c r="N35" s="2490"/>
      <c r="O35" s="2490"/>
      <c r="P35" s="3402"/>
      <c r="Q35" s="529">
        <f t="shared" si="11"/>
        <v>111</v>
      </c>
      <c r="R35" s="667" t="s">
        <v>14</v>
      </c>
      <c r="S35" s="668">
        <f t="shared" si="12"/>
        <v>100</v>
      </c>
      <c r="T35" s="667" t="s">
        <v>14</v>
      </c>
      <c r="U35" s="668">
        <f t="shared" si="13"/>
        <v>100</v>
      </c>
      <c r="V35" s="667" t="s">
        <v>14</v>
      </c>
      <c r="W35" s="668">
        <f t="shared" si="14"/>
        <v>100</v>
      </c>
      <c r="X35" s="669"/>
      <c r="Y35" s="3402"/>
      <c r="Z35" s="670">
        <f t="shared" si="15"/>
        <v>111</v>
      </c>
      <c r="AA35" s="1262">
        <f t="shared" si="3"/>
        <v>1</v>
      </c>
      <c r="AB35" s="1262">
        <f t="shared" si="4"/>
        <v>1</v>
      </c>
      <c r="AC35" s="1262">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9"/>
      <c r="M36" s="2484"/>
      <c r="N36" s="2484"/>
      <c r="O36" s="2484"/>
      <c r="P36" s="3402"/>
      <c r="Q36" s="1261">
        <f t="shared" si="11"/>
        <v>111</v>
      </c>
      <c r="R36" s="665" t="s">
        <v>14</v>
      </c>
      <c r="S36" s="666">
        <f t="shared" si="12"/>
        <v>100</v>
      </c>
      <c r="T36" s="665" t="s">
        <v>14</v>
      </c>
      <c r="U36" s="666">
        <f t="shared" si="13"/>
        <v>100</v>
      </c>
      <c r="V36" s="665" t="s">
        <v>14</v>
      </c>
      <c r="W36" s="666">
        <f t="shared" si="14"/>
        <v>100</v>
      </c>
      <c r="X36" s="1263"/>
      <c r="Y36" s="3402"/>
      <c r="Z36" s="1262">
        <f t="shared" si="15"/>
        <v>111</v>
      </c>
      <c r="AA36" s="1262">
        <f t="shared" si="3"/>
        <v>1</v>
      </c>
      <c r="AB36" s="1262">
        <f t="shared" si="4"/>
        <v>1</v>
      </c>
      <c r="AC36" s="1262">
        <f t="shared" si="5"/>
        <v>1</v>
      </c>
    </row>
    <row r="37" spans="1:29" ht="15">
      <c r="A37" s="414" t="s">
        <v>1844</v>
      </c>
      <c r="B37" s="1818" t="s">
        <v>3350</v>
      </c>
      <c r="C37" s="1079" t="s">
        <v>0</v>
      </c>
      <c r="D37" s="416"/>
      <c r="E37" s="417"/>
      <c r="F37" s="418"/>
      <c r="G37" s="419"/>
      <c r="H37" s="420"/>
      <c r="I37" s="417"/>
      <c r="J37" s="420"/>
      <c r="K37" s="543"/>
      <c r="L37" s="2491"/>
      <c r="M37" s="2484"/>
      <c r="N37" s="2484"/>
      <c r="O37" s="2484"/>
      <c r="P37" s="3396" t="str">
        <f>A37</f>
        <v>成交单价</v>
      </c>
      <c r="Q37" s="3396"/>
      <c r="R37" s="3391">
        <f>E37</f>
        <v>0</v>
      </c>
      <c r="S37" s="3391"/>
      <c r="T37" s="3391">
        <f>G37</f>
        <v>0</v>
      </c>
      <c r="U37" s="3391"/>
      <c r="V37" s="3391">
        <f>I37</f>
        <v>0</v>
      </c>
      <c r="W37" s="3391"/>
      <c r="X37" s="383"/>
      <c r="Y37" s="671"/>
      <c r="Z37" s="383"/>
      <c r="AA37" s="383"/>
      <c r="AB37" s="383"/>
      <c r="AC37" s="383"/>
    </row>
    <row r="38" spans="1:29" ht="15.75" thickBot="1">
      <c r="A38" s="421" t="s">
        <v>1845</v>
      </c>
      <c r="B38" s="422" t="str">
        <f>B37</f>
        <v>元/平方米</v>
      </c>
      <c r="C38" s="1080" t="e">
        <f>R39</f>
        <v>#DIV/0!</v>
      </c>
      <c r="D38" s="2138" t="s">
        <v>2138</v>
      </c>
      <c r="E38" s="1081" t="e">
        <f>R38</f>
        <v>#DIV/0!</v>
      </c>
      <c r="F38" s="2139"/>
      <c r="G38" s="1080" t="e">
        <f>T38</f>
        <v>#DIV/0!</v>
      </c>
      <c r="H38" s="2139"/>
      <c r="I38" s="1081" t="e">
        <f>V38</f>
        <v>#DIV/0!</v>
      </c>
      <c r="J38" s="2139"/>
      <c r="K38" s="2141">
        <f>F38+H38+J38</f>
        <v>0</v>
      </c>
      <c r="L38" s="2491"/>
      <c r="M38" s="2484"/>
      <c r="N38" s="2484"/>
      <c r="O38" s="2484"/>
      <c r="P38" s="3396" t="str">
        <f>A38</f>
        <v>比较价值（元/平方米）</v>
      </c>
      <c r="Q38" s="3396"/>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1"/>
      <c r="M39" s="2484"/>
      <c r="N39" s="2484"/>
      <c r="O39" s="2484"/>
      <c r="P39" s="3393" t="str">
        <f>A39</f>
        <v>估价对象XX用房的比较价值（楼面单价，元/平方米）</v>
      </c>
      <c r="Q39" s="3394"/>
      <c r="R39" s="3443" t="e">
        <f>IF(F1="售价",ROUND(IF(D38="简单平均",AVERAGE(R38:W38),R38*F38+T38*H38+V38*J38),0),ROUND(IF(D38="简单平均",AVERAGE(R38:V38),R38*F38+T38*H38+V38*J38),1))</f>
        <v>#DIV/0!</v>
      </c>
      <c r="S39" s="3443"/>
      <c r="T39" s="3443"/>
      <c r="U39" s="3443"/>
      <c r="V39" s="3443"/>
      <c r="W39" s="3443"/>
      <c r="X39" s="383"/>
      <c r="Y39" s="383"/>
      <c r="Z39" s="383"/>
      <c r="AA39" s="383"/>
      <c r="AB39" s="383"/>
      <c r="AC39" s="383"/>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1" t="str">
        <f>YEAR(C7)&amp;"-"&amp;MONTH(C7)</f>
        <v>2025-4</v>
      </c>
      <c r="D48" s="1102">
        <f>EDATE(C48,-1)</f>
        <v>45717</v>
      </c>
      <c r="E48" s="1102">
        <f t="shared" ref="E48:O48" si="16">EDATE(D48,-1)</f>
        <v>45689</v>
      </c>
      <c r="F48" s="1102">
        <f t="shared" si="16"/>
        <v>45658</v>
      </c>
      <c r="G48" s="1102">
        <f t="shared" si="16"/>
        <v>45627</v>
      </c>
      <c r="H48" s="1102">
        <f t="shared" si="16"/>
        <v>45597</v>
      </c>
      <c r="I48" s="1102">
        <f t="shared" si="16"/>
        <v>45566</v>
      </c>
      <c r="J48" s="1102">
        <f t="shared" si="16"/>
        <v>45536</v>
      </c>
      <c r="K48" s="1102">
        <f t="shared" si="16"/>
        <v>45505</v>
      </c>
      <c r="L48" s="1102">
        <f t="shared" si="16"/>
        <v>45474</v>
      </c>
      <c r="M48" s="1102">
        <f t="shared" si="16"/>
        <v>45444</v>
      </c>
      <c r="N48" s="1102">
        <f t="shared" si="16"/>
        <v>45413</v>
      </c>
      <c r="O48" s="1102">
        <f t="shared" si="16"/>
        <v>45383</v>
      </c>
      <c r="P48" s="2524"/>
      <c r="Q48" s="2507"/>
      <c r="R48" s="2507"/>
      <c r="S48" s="2507"/>
      <c r="T48" s="2507"/>
      <c r="U48" s="2507"/>
      <c r="V48" s="2507"/>
      <c r="W48" s="2507"/>
      <c r="X48" s="2507"/>
      <c r="Y48" s="2507"/>
      <c r="Z48" s="2507"/>
      <c r="AA48" s="2507"/>
      <c r="AB48" s="2507"/>
      <c r="AC48" s="2507"/>
    </row>
    <row r="49" spans="1:29" s="101" customFormat="1" ht="15">
      <c r="A49" s="441"/>
      <c r="B49" s="442"/>
      <c r="C49" s="1095">
        <v>100</v>
      </c>
      <c r="D49" s="444"/>
      <c r="E49" s="444"/>
      <c r="F49" s="444"/>
      <c r="G49" s="444"/>
      <c r="H49" s="444"/>
      <c r="I49" s="444"/>
      <c r="J49" s="444"/>
      <c r="K49" s="444"/>
      <c r="L49" s="444"/>
      <c r="M49" s="445"/>
      <c r="N49" s="444"/>
      <c r="O49" s="445"/>
      <c r="P49" s="2525"/>
      <c r="Q49" s="2436"/>
      <c r="R49" s="2436"/>
      <c r="S49" s="2436"/>
      <c r="T49" s="2436"/>
      <c r="U49" s="2436"/>
      <c r="V49" s="2436"/>
      <c r="W49" s="2436"/>
      <c r="X49" s="2436"/>
      <c r="Y49" s="2436"/>
      <c r="Z49" s="2436"/>
      <c r="AA49" s="2436"/>
      <c r="AB49" s="2436"/>
      <c r="AC49" s="2436"/>
    </row>
    <row r="50" spans="1:29" s="101" customFormat="1" ht="15.75" thickBot="1">
      <c r="A50" s="447" t="s">
        <v>1716</v>
      </c>
      <c r="B50" s="448"/>
      <c r="C50" s="449"/>
      <c r="D50" s="450"/>
      <c r="E50" s="450"/>
      <c r="F50" s="450"/>
      <c r="G50" s="450"/>
      <c r="H50" s="450"/>
      <c r="I50" s="450"/>
      <c r="J50" s="450"/>
      <c r="K50" s="450"/>
      <c r="L50" s="450"/>
      <c r="M50" s="451"/>
      <c r="N50" s="450"/>
      <c r="O50" s="451"/>
      <c r="P50" s="2525"/>
      <c r="Q50" s="2505"/>
      <c r="R50" s="2436"/>
      <c r="S50" s="2436"/>
      <c r="T50" s="2436"/>
      <c r="U50" s="2436"/>
      <c r="V50" s="2436"/>
      <c r="W50" s="2436"/>
      <c r="X50" s="2436"/>
      <c r="Y50" s="2436"/>
      <c r="Z50" s="2436"/>
      <c r="AA50" s="2436"/>
      <c r="AB50" s="2436"/>
      <c r="AC50" s="2436"/>
    </row>
    <row r="51" spans="1:29" s="101" customFormat="1" ht="15">
      <c r="A51" s="453" t="s">
        <v>1681</v>
      </c>
      <c r="B51" s="442"/>
      <c r="C51" s="454" t="s">
        <v>1776</v>
      </c>
      <c r="D51" s="31"/>
      <c r="E51" s="31"/>
      <c r="F51" s="31"/>
      <c r="G51" s="31"/>
      <c r="H51" s="31"/>
      <c r="I51" s="31"/>
      <c r="J51" s="31"/>
      <c r="K51" s="31"/>
      <c r="L51" s="455"/>
      <c r="M51" s="456"/>
      <c r="N51" s="2517"/>
      <c r="O51" s="2517"/>
      <c r="P51" s="2526"/>
      <c r="Q51" s="2505"/>
      <c r="R51" s="2436"/>
      <c r="S51" s="2436"/>
      <c r="T51" s="2436"/>
      <c r="U51" s="2436"/>
      <c r="V51" s="2436"/>
      <c r="W51" s="2436"/>
      <c r="X51" s="2436"/>
      <c r="Y51" s="2436"/>
      <c r="Z51" s="2436"/>
      <c r="AA51" s="2436"/>
      <c r="AB51" s="2436"/>
      <c r="AC51" s="2436"/>
    </row>
    <row r="52" spans="1:29" s="101" customFormat="1" ht="15.75" thickBot="1">
      <c r="A52" s="453"/>
      <c r="B52" s="442"/>
      <c r="C52" s="561">
        <v>100</v>
      </c>
      <c r="D52" s="444"/>
      <c r="E52" s="444"/>
      <c r="F52" s="444"/>
      <c r="G52" s="444"/>
      <c r="H52" s="444"/>
      <c r="I52" s="444"/>
      <c r="J52" s="444"/>
      <c r="K52" s="444"/>
      <c r="L52" s="444"/>
      <c r="M52" s="446"/>
      <c r="N52" s="2517"/>
      <c r="O52" s="2517"/>
      <c r="P52" s="2525"/>
      <c r="Q52" s="2505"/>
      <c r="R52" s="2436"/>
      <c r="S52" s="2436"/>
      <c r="T52" s="2436"/>
      <c r="U52" s="2436"/>
      <c r="V52" s="2436"/>
      <c r="W52" s="2436"/>
      <c r="X52" s="2436"/>
      <c r="Y52" s="2436"/>
      <c r="Z52" s="2436"/>
      <c r="AA52" s="2436"/>
      <c r="AB52" s="2436"/>
      <c r="AC52" s="2436"/>
    </row>
    <row r="53" spans="1:29">
      <c r="A53" s="377" t="s">
        <v>1719</v>
      </c>
      <c r="B53" s="458" t="s">
        <v>1685</v>
      </c>
      <c r="C53" s="459">
        <f>C9</f>
        <v>0</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5"/>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5"/>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5"/>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5"/>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5"/>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6"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6"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6"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6"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5"/>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5"/>
      <c r="B67" s="475" t="s">
        <v>1813</v>
      </c>
      <c r="C67" s="579" t="s">
        <v>1799</v>
      </c>
      <c r="D67" s="579" t="s">
        <v>1800</v>
      </c>
      <c r="E67" s="579" t="s">
        <v>1801</v>
      </c>
      <c r="F67" s="579" t="s">
        <v>1802</v>
      </c>
      <c r="G67" s="579" t="s">
        <v>1803</v>
      </c>
      <c r="H67" s="468"/>
      <c r="I67" s="468"/>
      <c r="J67" s="468"/>
      <c r="K67" s="468"/>
      <c r="L67" s="468"/>
      <c r="M67" s="1061"/>
      <c r="N67" s="2519"/>
      <c r="O67" s="2519"/>
      <c r="P67" s="2527"/>
      <c r="Q67" s="2505"/>
      <c r="R67" s="2484"/>
      <c r="S67" s="2484"/>
      <c r="T67" s="2484"/>
      <c r="U67" s="2484"/>
      <c r="V67" s="2484"/>
      <c r="W67" s="2484"/>
      <c r="X67" s="2484"/>
      <c r="Y67" s="2484"/>
      <c r="Z67" s="2484"/>
      <c r="AA67" s="2484"/>
      <c r="AB67" s="2484"/>
      <c r="AC67" s="2484"/>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9"/>
      <c r="O68" s="2519"/>
      <c r="P68" s="2527"/>
      <c r="Q68" s="2505"/>
      <c r="R68" s="2484"/>
      <c r="S68" s="2484"/>
      <c r="T68" s="2484"/>
      <c r="U68" s="2484"/>
      <c r="V68" s="2484"/>
      <c r="W68" s="2484"/>
      <c r="X68" s="2484"/>
      <c r="Y68" s="2484"/>
      <c r="Z68" s="2484"/>
      <c r="AA68" s="2484"/>
      <c r="AB68" s="2484"/>
      <c r="AC68" s="2484"/>
    </row>
    <row r="69" spans="1:29" ht="15.75" thickTop="1">
      <c r="A69" s="365"/>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5"/>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1" customFormat="1" ht="15.75" thickTop="1">
      <c r="A73" s="368"/>
      <c r="B73" s="467">
        <f>B23</f>
        <v>111</v>
      </c>
      <c r="C73" s="478"/>
      <c r="D73" s="478"/>
      <c r="E73" s="478"/>
      <c r="F73" s="478"/>
      <c r="G73" s="483"/>
      <c r="H73" s="483"/>
      <c r="I73" s="483"/>
      <c r="J73" s="483"/>
      <c r="K73" s="483"/>
      <c r="L73" s="508"/>
      <c r="M73" s="509"/>
      <c r="N73" s="2517"/>
      <c r="O73" s="2517"/>
      <c r="P73" s="2527"/>
      <c r="Q73" s="2505"/>
      <c r="R73" s="2436"/>
      <c r="S73" s="2436"/>
      <c r="T73" s="2436"/>
      <c r="U73" s="2436"/>
      <c r="V73" s="2436"/>
      <c r="W73" s="2436"/>
      <c r="X73" s="2436"/>
      <c r="Y73" s="2436"/>
      <c r="Z73" s="2436"/>
      <c r="AA73" s="2436"/>
      <c r="AB73" s="2436"/>
      <c r="AC73" s="2436"/>
    </row>
    <row r="74" spans="1:29" s="101" customFormat="1" ht="15.75" thickBot="1">
      <c r="A74" s="368"/>
      <c r="B74" s="472"/>
      <c r="C74" s="489"/>
      <c r="D74" s="465"/>
      <c r="E74" s="465"/>
      <c r="F74" s="465"/>
      <c r="G74" s="465"/>
      <c r="H74" s="465"/>
      <c r="I74" s="465"/>
      <c r="J74" s="465"/>
      <c r="K74" s="465"/>
      <c r="L74" s="465"/>
      <c r="M74" s="466"/>
      <c r="N74" s="2519"/>
      <c r="O74" s="2519"/>
      <c r="P74" s="2527"/>
      <c r="Q74" s="2505"/>
      <c r="R74" s="2436"/>
      <c r="S74" s="2436"/>
      <c r="T74" s="2436"/>
      <c r="U74" s="2436"/>
      <c r="V74" s="2436"/>
      <c r="W74" s="2436"/>
      <c r="X74" s="2436"/>
      <c r="Y74" s="2436"/>
      <c r="Z74" s="2436"/>
      <c r="AA74" s="2436"/>
      <c r="AB74" s="2436"/>
      <c r="AC74" s="2436"/>
    </row>
    <row r="75" spans="1:29" s="101" customFormat="1" ht="15.75" thickTop="1">
      <c r="A75" s="368"/>
      <c r="B75" s="467">
        <f>B24</f>
        <v>111</v>
      </c>
      <c r="C75" s="478"/>
      <c r="D75" s="478"/>
      <c r="E75" s="478"/>
      <c r="F75" s="478"/>
      <c r="G75" s="483"/>
      <c r="H75" s="483"/>
      <c r="I75" s="483"/>
      <c r="J75" s="483"/>
      <c r="K75" s="483"/>
      <c r="L75" s="483"/>
      <c r="M75" s="509"/>
      <c r="N75" s="2517"/>
      <c r="O75" s="2517"/>
      <c r="P75" s="2527"/>
      <c r="Q75" s="2505"/>
      <c r="R75" s="2436"/>
      <c r="S75" s="2436"/>
      <c r="T75" s="2436"/>
      <c r="U75" s="2436"/>
      <c r="V75" s="2436"/>
      <c r="W75" s="2436"/>
      <c r="X75" s="2436"/>
      <c r="Y75" s="2436"/>
      <c r="Z75" s="2436"/>
      <c r="AA75" s="2436"/>
      <c r="AB75" s="2436"/>
      <c r="AC75" s="2436"/>
    </row>
    <row r="76" spans="1:29" s="101" customFormat="1" ht="15.75" thickBot="1">
      <c r="A76" s="368"/>
      <c r="B76" s="472"/>
      <c r="C76" s="489"/>
      <c r="D76" s="465"/>
      <c r="E76" s="465"/>
      <c r="F76" s="465"/>
      <c r="G76" s="465"/>
      <c r="H76" s="465"/>
      <c r="I76" s="465"/>
      <c r="J76" s="465"/>
      <c r="K76" s="465"/>
      <c r="L76" s="465"/>
      <c r="M76" s="466"/>
      <c r="N76" s="2519"/>
      <c r="O76" s="2519"/>
      <c r="P76" s="2527"/>
      <c r="Q76" s="2505"/>
      <c r="R76" s="2436"/>
      <c r="S76" s="2436"/>
      <c r="T76" s="2436"/>
      <c r="U76" s="2436"/>
      <c r="V76" s="2436"/>
      <c r="W76" s="2436"/>
      <c r="X76" s="2436"/>
      <c r="Y76" s="2436"/>
      <c r="Z76" s="2436"/>
      <c r="AA76" s="2436"/>
      <c r="AB76" s="2436"/>
      <c r="AC76" s="2436"/>
    </row>
    <row r="77" spans="1:29" s="406"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6"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7" t="s">
        <v>1694</v>
      </c>
      <c r="B79" s="458" t="s">
        <v>1853</v>
      </c>
      <c r="C79" s="459" t="str">
        <f>C26</f>
        <v>车库</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5"/>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6"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7"/>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7"/>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7"/>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9"/>
      <c r="O89" s="2519"/>
      <c r="P89" s="2527"/>
      <c r="Q89" s="2505"/>
      <c r="R89" s="2484"/>
      <c r="S89" s="2484"/>
      <c r="T89" s="2484"/>
      <c r="U89" s="2484"/>
      <c r="V89" s="2484"/>
      <c r="W89" s="2484"/>
      <c r="X89" s="2484"/>
      <c r="Y89" s="2484"/>
      <c r="Z89" s="2484"/>
      <c r="AA89" s="2484"/>
      <c r="AB89" s="2484"/>
      <c r="AC89" s="2484"/>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6" customFormat="1">
      <c r="A91" s="404"/>
      <c r="B91" s="475"/>
      <c r="C91" s="6"/>
      <c r="D91" s="6"/>
      <c r="E91" s="6"/>
      <c r="F91" s="6"/>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6" customFormat="1" ht="15.75" thickBot="1">
      <c r="A92" s="482"/>
      <c r="B92" s="472"/>
      <c r="C92" s="489"/>
      <c r="D92" s="465"/>
      <c r="E92" s="465"/>
      <c r="F92" s="465"/>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7"/>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7"/>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7"/>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5"/>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6" customFormat="1" ht="15" thickTop="1">
      <c r="A99" s="404"/>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6"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7"/>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5"/>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3330</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500"/>
      <c r="M3" s="2501"/>
      <c r="N3" s="2501"/>
      <c r="O3" s="2501"/>
      <c r="P3" s="339"/>
      <c r="Q3" s="339"/>
      <c r="R3" s="339"/>
      <c r="S3" s="339"/>
      <c r="T3" s="339"/>
      <c r="U3" s="339"/>
      <c r="V3" s="339"/>
      <c r="W3" s="339"/>
      <c r="X3" s="339"/>
      <c r="Y3" s="339"/>
      <c r="Z3" s="339"/>
      <c r="AA3" s="339"/>
      <c r="AB3" s="674"/>
      <c r="AC3" s="661"/>
    </row>
    <row r="4" spans="1:29" ht="15">
      <c r="A4" s="343" t="s">
        <v>1769</v>
      </c>
      <c r="B4" s="344"/>
      <c r="C4" s="3379" t="s">
        <v>1770</v>
      </c>
      <c r="D4" s="3380"/>
      <c r="E4" s="3381" t="s">
        <v>1771</v>
      </c>
      <c r="F4" s="3382"/>
      <c r="G4" s="3379" t="s">
        <v>1772</v>
      </c>
      <c r="H4" s="3380"/>
      <c r="I4" s="3379" t="s">
        <v>1773</v>
      </c>
      <c r="J4" s="3380"/>
      <c r="K4" s="535" t="s">
        <v>1774</v>
      </c>
      <c r="L4" s="2483"/>
      <c r="M4" s="2484"/>
      <c r="N4" s="2484"/>
      <c r="O4" s="2484"/>
      <c r="P4" s="3383" t="s">
        <v>1775</v>
      </c>
      <c r="Q4" s="3384"/>
      <c r="R4" s="3366" t="s">
        <v>1771</v>
      </c>
      <c r="S4" s="3367"/>
      <c r="T4" s="3366" t="s">
        <v>1772</v>
      </c>
      <c r="U4" s="3367"/>
      <c r="V4" s="3391" t="s">
        <v>1773</v>
      </c>
      <c r="W4" s="3391"/>
      <c r="X4" s="1263"/>
      <c r="Y4" s="3366" t="s">
        <v>1775</v>
      </c>
      <c r="Z4" s="3367"/>
      <c r="AA4" s="3361" t="s">
        <v>1771</v>
      </c>
      <c r="AB4" s="3362" t="s">
        <v>1772</v>
      </c>
      <c r="AC4" s="3361" t="s">
        <v>1773</v>
      </c>
    </row>
    <row r="5" spans="1:29" ht="15">
      <c r="A5" s="346"/>
      <c r="B5" s="347"/>
      <c r="C5" s="3372" t="s">
        <v>1673</v>
      </c>
      <c r="D5" s="3373"/>
      <c r="E5" s="3370" t="s">
        <v>1674</v>
      </c>
      <c r="F5" s="3371"/>
      <c r="G5" s="3372" t="s">
        <v>1675</v>
      </c>
      <c r="H5" s="3373"/>
      <c r="I5" s="3372" t="s">
        <v>1676</v>
      </c>
      <c r="J5" s="3373"/>
      <c r="K5" s="535"/>
      <c r="L5" s="2483"/>
      <c r="M5" s="2484"/>
      <c r="N5" s="2484"/>
      <c r="O5" s="2484"/>
      <c r="P5" s="3385"/>
      <c r="Q5" s="3386"/>
      <c r="R5" s="3368"/>
      <c r="S5" s="3369"/>
      <c r="T5" s="3368"/>
      <c r="U5" s="3369"/>
      <c r="V5" s="3391"/>
      <c r="W5" s="3391"/>
      <c r="X5" s="1263"/>
      <c r="Y5" s="3368"/>
      <c r="Z5" s="3369"/>
      <c r="AA5" s="3362"/>
      <c r="AB5" s="3362"/>
      <c r="AC5" s="3362"/>
    </row>
    <row r="6" spans="1:29" ht="15.75" thickBot="1">
      <c r="A6" s="348"/>
      <c r="B6" s="349"/>
      <c r="C6" s="3374" t="s">
        <v>1677</v>
      </c>
      <c r="D6" s="3375"/>
      <c r="E6" s="3376" t="s">
        <v>1677</v>
      </c>
      <c r="F6" s="3377"/>
      <c r="G6" s="3374" t="s">
        <v>1677</v>
      </c>
      <c r="H6" s="3375"/>
      <c r="I6" s="3374" t="s">
        <v>1677</v>
      </c>
      <c r="J6" s="3375"/>
      <c r="K6" s="535" t="s">
        <v>1678</v>
      </c>
      <c r="L6" s="2483"/>
      <c r="M6" s="2484"/>
      <c r="N6" s="2484"/>
      <c r="O6" s="2484"/>
      <c r="P6" s="3387"/>
      <c r="Q6" s="3388"/>
      <c r="R6" s="3368"/>
      <c r="S6" s="3369"/>
      <c r="T6" s="3389"/>
      <c r="U6" s="3390"/>
      <c r="V6" s="3391"/>
      <c r="W6" s="3391"/>
      <c r="X6" s="1263"/>
      <c r="Y6" s="3389"/>
      <c r="Z6" s="3390"/>
      <c r="AA6" s="3363"/>
      <c r="AB6" s="3363"/>
      <c r="AC6" s="3363"/>
    </row>
    <row r="7" spans="1:29" s="101" customFormat="1" ht="15.75" thickBot="1">
      <c r="A7" s="350" t="s">
        <v>1679</v>
      </c>
      <c r="B7" s="351"/>
      <c r="C7" s="352">
        <f>'数据-取费表'!B2</f>
        <v>45755</v>
      </c>
      <c r="D7" s="353">
        <v>100</v>
      </c>
      <c r="E7" s="354"/>
      <c r="F7" s="355">
        <f>SUMIF(46:46,YEAR(E7)&amp;"-"&amp;MONTH(E7),47:47)</f>
        <v>0</v>
      </c>
      <c r="G7" s="1819"/>
      <c r="H7" s="353">
        <f>SUMIF(46:46,YEAR(G7)&amp;"-"&amp;MONTH(G7),47:47)</f>
        <v>0</v>
      </c>
      <c r="I7" s="354"/>
      <c r="J7" s="353">
        <f>SUMIF(46:46,YEAR(I7)&amp;"-"&amp;MONTH(I7),47:47)</f>
        <v>0</v>
      </c>
      <c r="K7" s="38"/>
      <c r="L7" s="2485"/>
      <c r="M7" s="2436"/>
      <c r="N7" s="2436"/>
      <c r="O7" s="2436"/>
      <c r="P7" s="3364" t="s">
        <v>1680</v>
      </c>
      <c r="Q7" s="3392"/>
      <c r="R7" s="662" t="s">
        <v>14</v>
      </c>
      <c r="S7" s="663">
        <f t="shared" ref="S7:S14" si="0">F7</f>
        <v>0</v>
      </c>
      <c r="T7" s="662" t="s">
        <v>14</v>
      </c>
      <c r="U7" s="663">
        <f t="shared" ref="U7:U14" si="1">H7</f>
        <v>0</v>
      </c>
      <c r="V7" s="662" t="s">
        <v>14</v>
      </c>
      <c r="W7" s="663">
        <f t="shared" ref="W7:W14" si="2">J7</f>
        <v>0</v>
      </c>
      <c r="X7" s="664"/>
      <c r="Y7" s="3364" t="s">
        <v>1680</v>
      </c>
      <c r="Z7" s="3365"/>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5"/>
      <c r="M8" s="2436"/>
      <c r="N8" s="2436"/>
      <c r="O8" s="2436"/>
      <c r="P8" s="3364" t="s">
        <v>1683</v>
      </c>
      <c r="Q8" s="3365"/>
      <c r="R8" s="662" t="s">
        <v>14</v>
      </c>
      <c r="S8" s="663">
        <f t="shared" si="0"/>
        <v>100</v>
      </c>
      <c r="T8" s="662" t="s">
        <v>14</v>
      </c>
      <c r="U8" s="663">
        <f t="shared" si="1"/>
        <v>100</v>
      </c>
      <c r="V8" s="662" t="s">
        <v>14</v>
      </c>
      <c r="W8" s="663">
        <f t="shared" si="2"/>
        <v>100</v>
      </c>
      <c r="X8" s="664"/>
      <c r="Y8" s="3364" t="s">
        <v>1683</v>
      </c>
      <c r="Z8" s="3365"/>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5"/>
      <c r="M9" s="2436"/>
      <c r="N9" s="2436"/>
      <c r="O9" s="2537"/>
      <c r="P9" s="3396" t="s">
        <v>1686</v>
      </c>
      <c r="Q9" s="528" t="str">
        <f t="shared" ref="Q9:Q14" si="6">B9</f>
        <v>用途</v>
      </c>
      <c r="R9" s="662" t="s">
        <v>14</v>
      </c>
      <c r="S9" s="663">
        <f t="shared" si="0"/>
        <v>100</v>
      </c>
      <c r="T9" s="662" t="s">
        <v>14</v>
      </c>
      <c r="U9" s="663">
        <f t="shared" si="1"/>
        <v>100</v>
      </c>
      <c r="V9" s="662" t="s">
        <v>14</v>
      </c>
      <c r="W9" s="663">
        <f t="shared" si="2"/>
        <v>100</v>
      </c>
      <c r="X9" s="664"/>
      <c r="Y9" s="3329" t="s">
        <v>1687</v>
      </c>
      <c r="Z9" s="50" t="str">
        <f t="shared" ref="Z9:Z14" si="7">Q9</f>
        <v>用途</v>
      </c>
      <c r="AA9" s="50">
        <f t="shared" si="3"/>
        <v>1</v>
      </c>
      <c r="AB9" s="50">
        <f t="shared" si="4"/>
        <v>1</v>
      </c>
      <c r="AC9" s="50">
        <f t="shared" si="5"/>
        <v>1</v>
      </c>
    </row>
    <row r="10" spans="1:29" s="364" customFormat="1" ht="27">
      <c r="A10" s="361"/>
      <c r="B10" s="362" t="s">
        <v>1688</v>
      </c>
      <c r="C10" s="3129"/>
      <c r="D10" s="118">
        <v>100</v>
      </c>
      <c r="E10" s="3129"/>
      <c r="F10" s="362">
        <f>SUMIF(53:53,E10,54:54)-SUMIF(53:53,C10,54:54)+100</f>
        <v>100</v>
      </c>
      <c r="G10" s="3129"/>
      <c r="H10" s="118">
        <f>SUMIF(53:53,G10,54:54)-SUMIF(53:53,C10,54:54)+100</f>
        <v>100</v>
      </c>
      <c r="I10" s="3129"/>
      <c r="J10" s="118">
        <f>SUMIF(53:53,I10,54:54)-SUMIF(53:53,C10,54:54)+100</f>
        <v>100</v>
      </c>
      <c r="K10" s="38"/>
      <c r="L10" s="2486"/>
      <c r="M10" s="2487"/>
      <c r="N10" s="2487"/>
      <c r="O10" s="2538"/>
      <c r="P10" s="3396"/>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365"/>
      <c r="B11" s="445">
        <v>111</v>
      </c>
      <c r="C11" s="369"/>
      <c r="D11" s="118">
        <v>100</v>
      </c>
      <c r="E11" s="405"/>
      <c r="F11" s="362">
        <f>SUMIF(55:55,E11,56:56)-SUMIF(55:55,C11,56:56)+100</f>
        <v>100</v>
      </c>
      <c r="G11" s="405"/>
      <c r="H11" s="118">
        <f>SUMIF(55:55,G11,56:56)-SUMIF(55:55,C11,56:56)+100</f>
        <v>100</v>
      </c>
      <c r="I11" s="405"/>
      <c r="J11" s="118">
        <f>SUMIF(55:55,I11,56:56)-SUMIF(55:55,C11,56:56)+100</f>
        <v>100</v>
      </c>
      <c r="K11" s="537"/>
      <c r="L11" s="2488"/>
      <c r="M11" s="2484"/>
      <c r="N11" s="2484"/>
      <c r="O11" s="2539"/>
      <c r="P11" s="3396"/>
      <c r="Q11" s="528">
        <f t="shared" si="6"/>
        <v>111</v>
      </c>
      <c r="R11" s="662" t="s">
        <v>14</v>
      </c>
      <c r="S11" s="663">
        <f t="shared" si="0"/>
        <v>100</v>
      </c>
      <c r="T11" s="662" t="s">
        <v>14</v>
      </c>
      <c r="U11" s="663">
        <f t="shared" si="1"/>
        <v>100</v>
      </c>
      <c r="V11" s="662" t="s">
        <v>14</v>
      </c>
      <c r="W11" s="663">
        <f t="shared" si="2"/>
        <v>100</v>
      </c>
      <c r="X11" s="664"/>
      <c r="Y11" s="3329"/>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8">
        <f>SUMIF(57:57,G12,58:58)-SUMIF(57:57,C12,58:58)+100</f>
        <v>100</v>
      </c>
      <c r="I12" s="405"/>
      <c r="J12" s="118">
        <f>SUMIF(57:57,I12,58:58)-SUMIF(57:57,C12,58:58)+100</f>
        <v>100</v>
      </c>
      <c r="K12" s="537"/>
      <c r="L12" s="2485"/>
      <c r="M12" s="2436"/>
      <c r="N12" s="2436"/>
      <c r="O12" s="2537"/>
      <c r="P12" s="339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9"/>
      <c r="M13" s="2484"/>
      <c r="N13" s="2484"/>
      <c r="O13" s="2539"/>
      <c r="P13" s="339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14">
      <c r="A14" s="377" t="s">
        <v>1690</v>
      </c>
      <c r="B14" s="58" t="s">
        <v>1833</v>
      </c>
      <c r="C14" s="1816" t="str">
        <f>IF(B1="工业",估价对象房地状况!G4,估价对象房地状况!C6)</f>
        <v>周边有28路、57路、72路、98路、300路等多条公交线路，地铁7号线与10号线换乘站双井站，综合评价交通便捷度好。</v>
      </c>
      <c r="D14" s="378">
        <v>100</v>
      </c>
      <c r="E14" s="379"/>
      <c r="F14" s="380">
        <f>SUMIF(61:61,E15,62:62)-SUMIF(61:61,C15,62:62)+100</f>
        <v>100</v>
      </c>
      <c r="G14" s="381"/>
      <c r="H14" s="378">
        <f>SUMIF(61:61,G15,62:62)-SUMIF(61:61,C15,62:62)+100</f>
        <v>100</v>
      </c>
      <c r="I14" s="379"/>
      <c r="J14" s="378">
        <f>SUMIF(61:61,I15,62:62)-SUMIF(61:61,C15,62:62)+100</f>
        <v>100</v>
      </c>
      <c r="K14" s="538"/>
      <c r="L14" s="2489"/>
      <c r="M14" s="2484"/>
      <c r="N14" s="2484"/>
      <c r="O14" s="2539"/>
      <c r="P14" s="3397" t="s">
        <v>1691</v>
      </c>
      <c r="Q14" s="1261" t="str">
        <f t="shared" si="6"/>
        <v>交通便捷度</v>
      </c>
      <c r="R14" s="665" t="s">
        <v>14</v>
      </c>
      <c r="S14" s="666">
        <f t="shared" si="0"/>
        <v>100</v>
      </c>
      <c r="T14" s="665" t="s">
        <v>14</v>
      </c>
      <c r="U14" s="666">
        <f t="shared" si="1"/>
        <v>100</v>
      </c>
      <c r="V14" s="665" t="s">
        <v>14</v>
      </c>
      <c r="W14" s="666">
        <f t="shared" si="2"/>
        <v>100</v>
      </c>
      <c r="X14" s="1263"/>
      <c r="Y14" s="3397"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9"/>
      <c r="M15" s="2484"/>
      <c r="N15" s="2484"/>
      <c r="O15" s="2539"/>
      <c r="P15" s="3398"/>
      <c r="Q15" s="1261"/>
      <c r="R15" s="665"/>
      <c r="S15" s="666"/>
      <c r="T15" s="665"/>
      <c r="U15" s="666"/>
      <c r="V15" s="665"/>
      <c r="W15" s="666"/>
      <c r="X15" s="1263"/>
      <c r="Y15" s="3398"/>
      <c r="Z15" s="1262"/>
      <c r="AA15" s="1262">
        <v>1</v>
      </c>
      <c r="AB15" s="1262">
        <v>1</v>
      </c>
      <c r="AC15" s="1262">
        <v>1</v>
      </c>
    </row>
    <row r="16" spans="1:29" ht="313.5">
      <c r="A16" s="365"/>
      <c r="B16" s="388" t="s">
        <v>1812</v>
      </c>
      <c r="C16" s="1752" t="str">
        <f>IF(B1="工业",估价对象房地状况!G5,估价对象房地状况!C7)</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D16" s="392">
        <v>100</v>
      </c>
      <c r="E16" s="394"/>
      <c r="F16" s="395">
        <f>SUMIF(63:63,E17,64:64)-SUMIF(63:63,C17,64:64)+100</f>
        <v>100</v>
      </c>
      <c r="G16" s="396"/>
      <c r="H16" s="392">
        <f>SUMIF(63:63,G17,64:64)-SUMIF(63:63,C17,64:64)+100</f>
        <v>100</v>
      </c>
      <c r="I16" s="394"/>
      <c r="J16" s="392">
        <f>SUMIF(63:63,I17,64:64)-SUMIF(63:63,C17,64:64)+100</f>
        <v>100</v>
      </c>
      <c r="K16" s="538"/>
      <c r="L16" s="2489"/>
      <c r="M16" s="2484"/>
      <c r="N16" s="2484"/>
      <c r="O16" s="2539"/>
      <c r="P16" s="3398"/>
      <c r="Q16" s="1261" t="str">
        <f>B16</f>
        <v>公共配套设施</v>
      </c>
      <c r="R16" s="665" t="s">
        <v>14</v>
      </c>
      <c r="S16" s="666">
        <f>F16</f>
        <v>100</v>
      </c>
      <c r="T16" s="665" t="s">
        <v>14</v>
      </c>
      <c r="U16" s="666">
        <f>H16</f>
        <v>100</v>
      </c>
      <c r="V16" s="665" t="s">
        <v>14</v>
      </c>
      <c r="W16" s="666">
        <f>J16</f>
        <v>100</v>
      </c>
      <c r="X16" s="1263"/>
      <c r="Y16" s="3398"/>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9"/>
      <c r="M17" s="2484"/>
      <c r="N17" s="2484"/>
      <c r="O17" s="2539"/>
      <c r="P17" s="3398"/>
      <c r="Q17" s="1261"/>
      <c r="R17" s="665"/>
      <c r="S17" s="666"/>
      <c r="T17" s="665"/>
      <c r="U17" s="666"/>
      <c r="V17" s="665"/>
      <c r="W17" s="666"/>
      <c r="X17" s="1263"/>
      <c r="Y17" s="3398"/>
      <c r="Z17" s="1262"/>
      <c r="AA17" s="1262">
        <v>1</v>
      </c>
      <c r="AB17" s="1262">
        <v>1</v>
      </c>
      <c r="AC17" s="1262">
        <v>1</v>
      </c>
    </row>
    <row r="18" spans="1:29" ht="28.5">
      <c r="A18" s="365"/>
      <c r="B18" s="584" t="s">
        <v>1813</v>
      </c>
      <c r="C18" s="1752"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9"/>
      <c r="M18" s="2484"/>
      <c r="N18" s="2484"/>
      <c r="O18" s="2539"/>
      <c r="P18" s="3398"/>
      <c r="Q18" s="1261" t="str">
        <f>B18</f>
        <v>基础设施水平</v>
      </c>
      <c r="R18" s="665" t="s">
        <v>14</v>
      </c>
      <c r="S18" s="666">
        <f>F18</f>
        <v>100</v>
      </c>
      <c r="T18" s="665" t="s">
        <v>14</v>
      </c>
      <c r="U18" s="666">
        <f>H18</f>
        <v>100</v>
      </c>
      <c r="V18" s="665" t="s">
        <v>14</v>
      </c>
      <c r="W18" s="666">
        <f>J18</f>
        <v>100</v>
      </c>
      <c r="X18" s="1263"/>
      <c r="Y18" s="3398"/>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9"/>
      <c r="M19" s="2484"/>
      <c r="N19" s="2484"/>
      <c r="O19" s="2539"/>
      <c r="P19" s="3398"/>
      <c r="Q19" s="1261"/>
      <c r="R19" s="665"/>
      <c r="S19" s="666"/>
      <c r="T19" s="665"/>
      <c r="U19" s="666"/>
      <c r="V19" s="665"/>
      <c r="W19" s="666"/>
      <c r="X19" s="1263"/>
      <c r="Y19" s="3398"/>
      <c r="Z19" s="1262"/>
      <c r="AA19" s="1262">
        <v>1</v>
      </c>
      <c r="AB19" s="1262">
        <v>1</v>
      </c>
      <c r="AC19" s="1262">
        <v>1</v>
      </c>
    </row>
    <row r="20" spans="1:29" ht="128.25">
      <c r="A20" s="365"/>
      <c r="B20" s="388" t="s">
        <v>1834</v>
      </c>
      <c r="C20" s="1752" t="str">
        <f>IF(B1="工业",估价对象房地状况!G7,估价对象房地状况!C9)</f>
        <v>自然环境：CBD城市森林公园、通惠河水系等自然景观；
人文环境：北京今日美术馆等人文场所；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9"/>
      <c r="M20" s="2484"/>
      <c r="N20" s="2484"/>
      <c r="O20" s="2539"/>
      <c r="P20" s="3398"/>
      <c r="Q20" s="1261" t="str">
        <f>B20</f>
        <v>自然及人文环境</v>
      </c>
      <c r="R20" s="665" t="s">
        <v>14</v>
      </c>
      <c r="S20" s="666">
        <f>F20</f>
        <v>100</v>
      </c>
      <c r="T20" s="665" t="s">
        <v>14</v>
      </c>
      <c r="U20" s="666">
        <f>H20</f>
        <v>100</v>
      </c>
      <c r="V20" s="665" t="s">
        <v>14</v>
      </c>
      <c r="W20" s="666">
        <f>J20</f>
        <v>100</v>
      </c>
      <c r="X20" s="1263"/>
      <c r="Y20" s="3398"/>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9"/>
      <c r="M21" s="2484"/>
      <c r="N21" s="2484"/>
      <c r="O21" s="2539"/>
      <c r="P21" s="3398"/>
      <c r="Q21" s="1261"/>
      <c r="R21" s="665"/>
      <c r="S21" s="666"/>
      <c r="T21" s="665"/>
      <c r="U21" s="666"/>
      <c r="V21" s="665"/>
      <c r="W21" s="666"/>
      <c r="X21" s="1263"/>
      <c r="Y21" s="3398"/>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9"/>
      <c r="M22" s="2484"/>
      <c r="N22" s="2484"/>
      <c r="O22" s="2539"/>
      <c r="P22" s="3398"/>
      <c r="Q22" s="1261" t="str">
        <f>B22</f>
        <v>楼层</v>
      </c>
      <c r="R22" s="665" t="s">
        <v>14</v>
      </c>
      <c r="S22" s="666">
        <f>F22</f>
        <v>100</v>
      </c>
      <c r="T22" s="665" t="s">
        <v>14</v>
      </c>
      <c r="U22" s="666">
        <f>H22</f>
        <v>100</v>
      </c>
      <c r="V22" s="665" t="s">
        <v>14</v>
      </c>
      <c r="W22" s="666">
        <f>J22</f>
        <v>100</v>
      </c>
      <c r="X22" s="1263"/>
      <c r="Y22" s="3398"/>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9"/>
      <c r="M23" s="2484"/>
      <c r="N23" s="2484"/>
      <c r="O23" s="2539"/>
      <c r="P23" s="3398"/>
      <c r="Q23" s="1261">
        <f>B23</f>
        <v>111</v>
      </c>
      <c r="R23" s="665" t="s">
        <v>14</v>
      </c>
      <c r="S23" s="666">
        <f>F23</f>
        <v>100</v>
      </c>
      <c r="T23" s="665" t="s">
        <v>14</v>
      </c>
      <c r="U23" s="666">
        <f>H23</f>
        <v>100</v>
      </c>
      <c r="V23" s="665" t="s">
        <v>14</v>
      </c>
      <c r="W23" s="666">
        <f>J23</f>
        <v>100</v>
      </c>
      <c r="X23" s="1263"/>
      <c r="Y23" s="3398"/>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9"/>
      <c r="M24" s="2484"/>
      <c r="N24" s="2484"/>
      <c r="O24" s="2539"/>
      <c r="P24" s="3398"/>
      <c r="Q24" s="1261">
        <f t="shared" ref="Q24:Q34" si="11">B24</f>
        <v>111</v>
      </c>
      <c r="R24" s="665" t="s">
        <v>14</v>
      </c>
      <c r="S24" s="666">
        <f>F24</f>
        <v>100</v>
      </c>
      <c r="T24" s="665" t="s">
        <v>14</v>
      </c>
      <c r="U24" s="666">
        <f>H24</f>
        <v>100</v>
      </c>
      <c r="V24" s="665" t="s">
        <v>14</v>
      </c>
      <c r="W24" s="666">
        <f>J24</f>
        <v>100</v>
      </c>
      <c r="X24" s="1263"/>
      <c r="Y24" s="3398"/>
      <c r="Z24" s="1262">
        <f>Q24</f>
        <v>111</v>
      </c>
      <c r="AA24" s="1262">
        <f t="shared" si="3"/>
        <v>1</v>
      </c>
      <c r="AB24" s="1262">
        <f t="shared" si="4"/>
        <v>1</v>
      </c>
      <c r="AC24" s="1262">
        <f t="shared" si="5"/>
        <v>1</v>
      </c>
    </row>
    <row r="25" spans="1:29" s="101"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5"/>
      <c r="M25" s="2436"/>
      <c r="N25" s="2436"/>
      <c r="O25" s="2537"/>
      <c r="P25" s="3398"/>
      <c r="Q25" s="528">
        <f t="shared" si="11"/>
        <v>111</v>
      </c>
      <c r="R25" s="662" t="s">
        <v>14</v>
      </c>
      <c r="S25" s="663">
        <f>F25</f>
        <v>100</v>
      </c>
      <c r="T25" s="662" t="s">
        <v>14</v>
      </c>
      <c r="U25" s="663">
        <f>H25</f>
        <v>100</v>
      </c>
      <c r="V25" s="662" t="s">
        <v>14</v>
      </c>
      <c r="W25" s="663">
        <f>J25</f>
        <v>100</v>
      </c>
      <c r="X25" s="664"/>
      <c r="Y25" s="3398"/>
      <c r="Z25" s="50">
        <f>Q25</f>
        <v>111</v>
      </c>
      <c r="AA25" s="1262">
        <f>D25/F25</f>
        <v>1</v>
      </c>
      <c r="AB25" s="1262">
        <f>D25/H25</f>
        <v>1</v>
      </c>
      <c r="AC25" s="1262">
        <f>D25/J25</f>
        <v>1</v>
      </c>
    </row>
    <row r="26" spans="1:29" ht="28.5">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9"/>
      <c r="M26" s="2484"/>
      <c r="N26" s="2484"/>
      <c r="O26" s="2539"/>
      <c r="P26" s="3442"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02"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8">
        <v>100</v>
      </c>
      <c r="E27" s="410"/>
      <c r="F27" s="398" t="e">
        <f>LOOKUP(E27,80:80,81:81)-LOOKUP(C27,80:80,81:81)+100</f>
        <v>#N/A</v>
      </c>
      <c r="G27" s="411"/>
      <c r="H27" s="372" t="e">
        <f>LOOKUP(G27,80:80,81:81)-LOOKUP(C27,80:80,81:81)+100</f>
        <v>#N/A</v>
      </c>
      <c r="I27" s="411"/>
      <c r="J27" s="372" t="e">
        <f>LOOKUP(I27,80:80,81:81)-LOOKUP(C27,80:80,81:81)+100</f>
        <v>#N/A</v>
      </c>
      <c r="K27" s="536"/>
      <c r="L27" s="2488"/>
      <c r="M27" s="2490"/>
      <c r="N27" s="2490"/>
      <c r="O27" s="2540"/>
      <c r="P27" s="3402"/>
      <c r="Q27" s="529" t="str">
        <f t="shared" si="11"/>
        <v>成新率</v>
      </c>
      <c r="R27" s="667" t="s">
        <v>14</v>
      </c>
      <c r="S27" s="668" t="e">
        <f t="shared" si="12"/>
        <v>#N/A</v>
      </c>
      <c r="T27" s="667" t="s">
        <v>14</v>
      </c>
      <c r="U27" s="668" t="e">
        <f t="shared" si="13"/>
        <v>#N/A</v>
      </c>
      <c r="V27" s="667" t="s">
        <v>14</v>
      </c>
      <c r="W27" s="668" t="e">
        <f t="shared" si="14"/>
        <v>#N/A</v>
      </c>
      <c r="X27" s="669"/>
      <c r="Y27" s="3402"/>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9"/>
      <c r="M28" s="2484"/>
      <c r="N28" s="2484"/>
      <c r="O28" s="2539"/>
      <c r="P28" s="3402"/>
      <c r="Q28" s="1261" t="str">
        <f t="shared" si="11"/>
        <v>物业等级</v>
      </c>
      <c r="R28" s="665" t="s">
        <v>14</v>
      </c>
      <c r="S28" s="666">
        <f t="shared" si="12"/>
        <v>100</v>
      </c>
      <c r="T28" s="665" t="s">
        <v>14</v>
      </c>
      <c r="U28" s="666">
        <f t="shared" si="13"/>
        <v>100</v>
      </c>
      <c r="V28" s="665" t="s">
        <v>14</v>
      </c>
      <c r="W28" s="666">
        <f t="shared" si="14"/>
        <v>100</v>
      </c>
      <c r="X28" s="1263"/>
      <c r="Y28" s="3402"/>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9"/>
      <c r="M29" s="2484"/>
      <c r="N29" s="2484"/>
      <c r="O29" s="2539"/>
      <c r="P29" s="3402"/>
      <c r="Q29" s="1261" t="str">
        <f t="shared" si="11"/>
        <v>有无电梯</v>
      </c>
      <c r="R29" s="665" t="s">
        <v>14</v>
      </c>
      <c r="S29" s="666">
        <f t="shared" si="12"/>
        <v>100</v>
      </c>
      <c r="T29" s="665" t="s">
        <v>14</v>
      </c>
      <c r="U29" s="666">
        <f t="shared" si="13"/>
        <v>100</v>
      </c>
      <c r="V29" s="665" t="s">
        <v>14</v>
      </c>
      <c r="W29" s="666">
        <f t="shared" si="14"/>
        <v>100</v>
      </c>
      <c r="X29" s="1263"/>
      <c r="Y29" s="3402"/>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9"/>
      <c r="M30" s="2484"/>
      <c r="N30" s="2484"/>
      <c r="O30" s="2539"/>
      <c r="P30" s="3402"/>
      <c r="Q30" s="1261" t="str">
        <f t="shared" si="11"/>
        <v>建筑面积</v>
      </c>
      <c r="R30" s="665" t="s">
        <v>14</v>
      </c>
      <c r="S30" s="666" t="e">
        <f t="shared" si="12"/>
        <v>#N/A</v>
      </c>
      <c r="T30" s="665" t="s">
        <v>14</v>
      </c>
      <c r="U30" s="666" t="e">
        <f t="shared" si="13"/>
        <v>#N/A</v>
      </c>
      <c r="V30" s="665" t="s">
        <v>14</v>
      </c>
      <c r="W30" s="666" t="e">
        <f t="shared" si="14"/>
        <v>#N/A</v>
      </c>
      <c r="X30" s="1263"/>
      <c r="Y30" s="3402"/>
      <c r="Z30" s="1262" t="str">
        <f t="shared" si="15"/>
        <v>建筑面积</v>
      </c>
      <c r="AA30" s="1262" t="e">
        <f t="shared" si="3"/>
        <v>#N/A</v>
      </c>
      <c r="AB30" s="1262" t="e">
        <f t="shared" si="4"/>
        <v>#N/A</v>
      </c>
      <c r="AC30" s="1262" t="e">
        <f t="shared" si="5"/>
        <v>#N/A</v>
      </c>
    </row>
    <row r="31" spans="1:29" s="101" customFormat="1" ht="15">
      <c r="A31" s="408"/>
      <c r="B31" s="362" t="s">
        <v>1862</v>
      </c>
      <c r="C31" s="576"/>
      <c r="D31" s="118">
        <v>100</v>
      </c>
      <c r="E31" s="576"/>
      <c r="F31" s="398">
        <f>SUMIF(89:89,E31,90:90)-SUMIF(89:89,C31,90:90)+100</f>
        <v>100</v>
      </c>
      <c r="G31" s="576"/>
      <c r="H31" s="372">
        <f>SUMIF(89:89,G31,90:90)-SUMIF(89:89,C31,90:90)+100</f>
        <v>100</v>
      </c>
      <c r="I31" s="576"/>
      <c r="J31" s="372">
        <f>SUMIF(89:89,I31,90:90)-SUMIF(89:89,C31,90:90)+100</f>
        <v>100</v>
      </c>
      <c r="K31" s="536"/>
      <c r="L31" s="2485"/>
      <c r="M31" s="2436"/>
      <c r="N31" s="2436"/>
      <c r="O31" s="2537"/>
      <c r="P31" s="3402"/>
      <c r="Q31" s="528" t="str">
        <f t="shared" si="11"/>
        <v>是否封闭</v>
      </c>
      <c r="R31" s="662" t="s">
        <v>14</v>
      </c>
      <c r="S31" s="663">
        <f t="shared" si="12"/>
        <v>100</v>
      </c>
      <c r="T31" s="662" t="s">
        <v>14</v>
      </c>
      <c r="U31" s="663">
        <f t="shared" si="13"/>
        <v>100</v>
      </c>
      <c r="V31" s="662" t="s">
        <v>14</v>
      </c>
      <c r="W31" s="663">
        <f t="shared" si="14"/>
        <v>100</v>
      </c>
      <c r="X31" s="664"/>
      <c r="Y31" s="3402"/>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9"/>
      <c r="M32" s="2484"/>
      <c r="N32" s="2484"/>
      <c r="O32" s="2539"/>
      <c r="P32" s="3402" t="s">
        <v>1696</v>
      </c>
      <c r="Q32" s="1261">
        <f t="shared" si="11"/>
        <v>111</v>
      </c>
      <c r="R32" s="665" t="s">
        <v>14</v>
      </c>
      <c r="S32" s="666">
        <f t="shared" si="12"/>
        <v>100</v>
      </c>
      <c r="T32" s="665" t="s">
        <v>14</v>
      </c>
      <c r="U32" s="666">
        <f t="shared" si="13"/>
        <v>100</v>
      </c>
      <c r="V32" s="665" t="s">
        <v>14</v>
      </c>
      <c r="W32" s="666">
        <f t="shared" si="14"/>
        <v>100</v>
      </c>
      <c r="X32" s="1263"/>
      <c r="Y32" s="3402"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9"/>
      <c r="M33" s="2484"/>
      <c r="N33" s="2484"/>
      <c r="O33" s="2539"/>
      <c r="P33" s="3402"/>
      <c r="Q33" s="1261">
        <f t="shared" si="11"/>
        <v>111</v>
      </c>
      <c r="R33" s="665" t="s">
        <v>14</v>
      </c>
      <c r="S33" s="666">
        <f t="shared" si="12"/>
        <v>100</v>
      </c>
      <c r="T33" s="665" t="s">
        <v>14</v>
      </c>
      <c r="U33" s="666">
        <f t="shared" si="13"/>
        <v>100</v>
      </c>
      <c r="V33" s="665" t="s">
        <v>14</v>
      </c>
      <c r="W33" s="666">
        <f t="shared" si="14"/>
        <v>100</v>
      </c>
      <c r="X33" s="1263"/>
      <c r="Y33" s="3402"/>
      <c r="Z33" s="1262">
        <f t="shared" si="15"/>
        <v>111</v>
      </c>
      <c r="AA33" s="1262">
        <f t="shared" si="3"/>
        <v>1</v>
      </c>
      <c r="AB33" s="1262">
        <f t="shared" si="4"/>
        <v>1</v>
      </c>
      <c r="AC33" s="1262">
        <f t="shared" si="5"/>
        <v>1</v>
      </c>
    </row>
    <row r="34" spans="1:30" ht="15.75" thickBot="1">
      <c r="A34" s="413"/>
      <c r="B34" s="1747">
        <v>111</v>
      </c>
      <c r="C34" s="374"/>
      <c r="D34" s="375">
        <v>100</v>
      </c>
      <c r="E34" s="1820"/>
      <c r="F34" s="376">
        <f>SUMIF(95:95,E34,96:96)-SUMIF(95:95,C34,96:96)+100</f>
        <v>100</v>
      </c>
      <c r="G34" s="1820"/>
      <c r="H34" s="375">
        <f>SUMIF(95:95,G34,96:96)-SUMIF(95:95,C34,96:96)+100</f>
        <v>100</v>
      </c>
      <c r="I34" s="1820"/>
      <c r="J34" s="375">
        <f>SUMIF(95:95,I34,96:96)-SUMIF(95:95,C34,96:96)+100</f>
        <v>100</v>
      </c>
      <c r="K34" s="537"/>
      <c r="L34" s="2489"/>
      <c r="M34" s="2484"/>
      <c r="N34" s="2484"/>
      <c r="O34" s="2539"/>
      <c r="P34" s="3402"/>
      <c r="Q34" s="1261">
        <f t="shared" si="11"/>
        <v>111</v>
      </c>
      <c r="R34" s="665" t="s">
        <v>14</v>
      </c>
      <c r="S34" s="666">
        <f t="shared" si="12"/>
        <v>100</v>
      </c>
      <c r="T34" s="665" t="s">
        <v>14</v>
      </c>
      <c r="U34" s="666">
        <f t="shared" si="13"/>
        <v>100</v>
      </c>
      <c r="V34" s="665" t="s">
        <v>14</v>
      </c>
      <c r="W34" s="666">
        <f t="shared" si="14"/>
        <v>100</v>
      </c>
      <c r="X34" s="1263"/>
      <c r="Y34" s="3402"/>
      <c r="Z34" s="1262">
        <f t="shared" si="15"/>
        <v>111</v>
      </c>
      <c r="AA34" s="1262">
        <f t="shared" si="3"/>
        <v>1</v>
      </c>
      <c r="AB34" s="1262">
        <f t="shared" si="4"/>
        <v>1</v>
      </c>
      <c r="AC34" s="1262">
        <f t="shared" si="5"/>
        <v>1</v>
      </c>
    </row>
    <row r="35" spans="1:30" ht="15">
      <c r="A35" s="414" t="s">
        <v>1708</v>
      </c>
      <c r="B35" s="415"/>
      <c r="C35" s="1079" t="s">
        <v>0</v>
      </c>
      <c r="D35" s="416"/>
      <c r="E35" s="417"/>
      <c r="F35" s="418"/>
      <c r="G35" s="419"/>
      <c r="H35" s="420"/>
      <c r="I35" s="417"/>
      <c r="J35" s="420"/>
      <c r="K35" s="672"/>
      <c r="L35" s="2491"/>
      <c r="M35" s="2484"/>
      <c r="N35" s="2484"/>
      <c r="O35" s="2484"/>
      <c r="P35" s="3396" t="str">
        <f>A35</f>
        <v>成交单价（元/平方米）</v>
      </c>
      <c r="Q35" s="3396"/>
      <c r="R35" s="3391">
        <f>E35</f>
        <v>0</v>
      </c>
      <c r="S35" s="3391"/>
      <c r="T35" s="3391">
        <f>G35</f>
        <v>0</v>
      </c>
      <c r="U35" s="3391"/>
      <c r="V35" s="3391">
        <f>I35</f>
        <v>0</v>
      </c>
      <c r="W35" s="3391"/>
      <c r="X35" s="383"/>
      <c r="Y35" s="671"/>
      <c r="Z35" s="383"/>
      <c r="AA35" s="383"/>
      <c r="AB35" s="383"/>
      <c r="AC35" s="383"/>
    </row>
    <row r="36" spans="1:30" ht="15.75" thickBot="1">
      <c r="A36" s="421" t="s">
        <v>1793</v>
      </c>
      <c r="B36" s="422"/>
      <c r="C36" s="1080" t="e">
        <f>R37</f>
        <v>#DIV/0!</v>
      </c>
      <c r="D36" s="2138" t="s">
        <v>2138</v>
      </c>
      <c r="E36" s="1081" t="e">
        <f>R36</f>
        <v>#DIV/0!</v>
      </c>
      <c r="F36" s="2139"/>
      <c r="G36" s="1080" t="e">
        <f>T36</f>
        <v>#DIV/0!</v>
      </c>
      <c r="H36" s="2139"/>
      <c r="I36" s="1081" t="e">
        <f>V36</f>
        <v>#DIV/0!</v>
      </c>
      <c r="J36" s="2139"/>
      <c r="K36" s="2141">
        <f>F36+H36+J36</f>
        <v>0</v>
      </c>
      <c r="L36" s="2491"/>
      <c r="M36" s="2484"/>
      <c r="N36" s="2484"/>
      <c r="O36" s="2484"/>
      <c r="P36" s="3396" t="str">
        <f>A36</f>
        <v>比较价值（元/平方米）</v>
      </c>
      <c r="Q36" s="3396"/>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91"/>
      <c r="M37" s="2484"/>
      <c r="N37" s="2484"/>
      <c r="O37" s="2484"/>
      <c r="P37" s="3393" t="str">
        <f>A37</f>
        <v>估价对象XX用房的比较价值（楼面单价，元/平方米）</v>
      </c>
      <c r="Q37" s="3394"/>
      <c r="R37" s="3443" t="e">
        <f>IF(F1="售价",ROUND(IF(D36="简单平均",AVERAGE(R36:W36),R36*F36+T36*H36+V36*J36),0),ROUND(IF(D36="简单平均",AVERAGE(R36:V36),R36*F36+T36*H36+V36*J36),1))</f>
        <v>#DIV/0!</v>
      </c>
      <c r="S37" s="3443"/>
      <c r="T37" s="3443"/>
      <c r="U37" s="3443"/>
      <c r="V37" s="3443"/>
      <c r="W37" s="3443"/>
      <c r="X37" s="383"/>
      <c r="Y37" s="383"/>
      <c r="Z37" s="383"/>
      <c r="AA37" s="383"/>
      <c r="AB37" s="383"/>
      <c r="AC37" s="383"/>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6" t="s">
        <v>1798</v>
      </c>
      <c r="B45" s="383"/>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1" t="str">
        <f>YEAR(C7)&amp;"-"&amp;MONTH(C7)</f>
        <v>2025-4</v>
      </c>
      <c r="D46" s="1102">
        <f>EDATE(C46,-1)</f>
        <v>45717</v>
      </c>
      <c r="E46" s="1102">
        <f t="shared" ref="E46:O46" si="16">EDATE(D46,-1)</f>
        <v>45689</v>
      </c>
      <c r="F46" s="1102">
        <f t="shared" si="16"/>
        <v>45658</v>
      </c>
      <c r="G46" s="1102">
        <f t="shared" si="16"/>
        <v>45627</v>
      </c>
      <c r="H46" s="1102">
        <f t="shared" si="16"/>
        <v>45597</v>
      </c>
      <c r="I46" s="1102">
        <f t="shared" si="16"/>
        <v>45566</v>
      </c>
      <c r="J46" s="1102">
        <f t="shared" si="16"/>
        <v>45536</v>
      </c>
      <c r="K46" s="1102">
        <f t="shared" si="16"/>
        <v>45505</v>
      </c>
      <c r="L46" s="1102">
        <f t="shared" si="16"/>
        <v>45474</v>
      </c>
      <c r="M46" s="1102">
        <f t="shared" si="16"/>
        <v>45444</v>
      </c>
      <c r="N46" s="1102">
        <f t="shared" si="16"/>
        <v>45413</v>
      </c>
      <c r="O46" s="1102">
        <f t="shared" si="16"/>
        <v>45383</v>
      </c>
      <c r="P46" s="2507"/>
      <c r="Q46" s="2507"/>
      <c r="R46" s="2507"/>
      <c r="S46" s="2507"/>
      <c r="T46" s="2507"/>
      <c r="U46" s="2507"/>
      <c r="V46" s="2507"/>
      <c r="W46" s="2507"/>
      <c r="X46" s="2507"/>
      <c r="Y46" s="2507"/>
      <c r="Z46" s="2507"/>
      <c r="AA46" s="2507"/>
      <c r="AB46" s="2507"/>
      <c r="AC46" s="2507"/>
      <c r="AD46" s="2507"/>
    </row>
    <row r="47" spans="1:30" s="101" customFormat="1" ht="15">
      <c r="A47" s="441"/>
      <c r="B47" s="442"/>
      <c r="C47" s="1100">
        <v>100</v>
      </c>
      <c r="D47" s="444"/>
      <c r="E47" s="444"/>
      <c r="F47" s="444"/>
      <c r="G47" s="444"/>
      <c r="H47" s="444"/>
      <c r="I47" s="444"/>
      <c r="J47" s="444"/>
      <c r="K47" s="444"/>
      <c r="L47" s="444"/>
      <c r="M47" s="445"/>
      <c r="N47" s="444"/>
      <c r="O47" s="446"/>
      <c r="P47" s="2505"/>
      <c r="Q47" s="2436"/>
      <c r="R47" s="2436"/>
      <c r="S47" s="2436"/>
      <c r="T47" s="2436"/>
      <c r="U47" s="2436"/>
      <c r="V47" s="2436"/>
      <c r="W47" s="2436"/>
      <c r="X47" s="2436"/>
      <c r="Y47" s="2436"/>
      <c r="Z47" s="2436"/>
      <c r="AA47" s="2436"/>
      <c r="AB47" s="2436"/>
      <c r="AC47" s="2436"/>
      <c r="AD47" s="2436"/>
    </row>
    <row r="48" spans="1:30" s="101" customFormat="1" ht="15.75" thickBot="1">
      <c r="A48" s="447" t="s">
        <v>1716</v>
      </c>
      <c r="B48" s="448"/>
      <c r="C48" s="449"/>
      <c r="D48" s="450"/>
      <c r="E48" s="450"/>
      <c r="F48" s="450"/>
      <c r="G48" s="450"/>
      <c r="H48" s="450"/>
      <c r="I48" s="450"/>
      <c r="J48" s="450"/>
      <c r="K48" s="450"/>
      <c r="L48" s="450"/>
      <c r="M48" s="451"/>
      <c r="N48" s="450"/>
      <c r="O48" s="452"/>
      <c r="P48" s="2505"/>
      <c r="Q48" s="2505"/>
      <c r="R48" s="2436"/>
      <c r="S48" s="2436"/>
      <c r="T48" s="2436"/>
      <c r="U48" s="2436"/>
      <c r="V48" s="2436"/>
      <c r="W48" s="2436"/>
      <c r="X48" s="2436"/>
      <c r="Y48" s="2436"/>
      <c r="Z48" s="2436"/>
      <c r="AA48" s="2436"/>
      <c r="AB48" s="2436"/>
      <c r="AC48" s="2436"/>
      <c r="AD48" s="2436"/>
    </row>
    <row r="49" spans="1:30" s="101" customFormat="1" ht="15">
      <c r="A49" s="453" t="s">
        <v>1681</v>
      </c>
      <c r="B49" s="442"/>
      <c r="C49" s="454" t="s">
        <v>1776</v>
      </c>
      <c r="D49" s="31"/>
      <c r="E49" s="31"/>
      <c r="F49" s="31"/>
      <c r="G49" s="31"/>
      <c r="H49" s="31"/>
      <c r="I49" s="31"/>
      <c r="J49" s="31"/>
      <c r="K49" s="31"/>
      <c r="L49" s="455"/>
      <c r="M49" s="456"/>
      <c r="N49" s="2517"/>
      <c r="O49" s="2517"/>
      <c r="P49" s="2541"/>
      <c r="Q49" s="2505"/>
      <c r="R49" s="2436"/>
      <c r="S49" s="2436"/>
      <c r="T49" s="2436"/>
      <c r="U49" s="2436"/>
      <c r="V49" s="2436"/>
      <c r="W49" s="2436"/>
      <c r="X49" s="2436"/>
      <c r="Y49" s="2436"/>
      <c r="Z49" s="2436"/>
      <c r="AA49" s="2436"/>
      <c r="AB49" s="2436"/>
      <c r="AC49" s="2436"/>
      <c r="AD49" s="2436"/>
    </row>
    <row r="50" spans="1:30" s="101" customFormat="1" ht="15.75" thickBot="1">
      <c r="A50" s="453"/>
      <c r="B50" s="442"/>
      <c r="C50" s="561">
        <v>100</v>
      </c>
      <c r="D50" s="444"/>
      <c r="E50" s="444"/>
      <c r="F50" s="444"/>
      <c r="G50" s="444"/>
      <c r="H50" s="444"/>
      <c r="I50" s="444"/>
      <c r="J50" s="444"/>
      <c r="K50" s="444"/>
      <c r="L50" s="444"/>
      <c r="M50" s="446"/>
      <c r="N50" s="2517"/>
      <c r="O50" s="2517"/>
      <c r="P50" s="2505"/>
      <c r="Q50" s="2505"/>
      <c r="R50" s="2436"/>
      <c r="S50" s="2436"/>
      <c r="T50" s="2436"/>
      <c r="U50" s="2436"/>
      <c r="V50" s="2436"/>
      <c r="W50" s="2436"/>
      <c r="X50" s="2436"/>
      <c r="Y50" s="2436"/>
      <c r="Z50" s="2436"/>
      <c r="AA50" s="2436"/>
      <c r="AB50" s="2436"/>
      <c r="AC50" s="2436"/>
      <c r="AD50" s="2436"/>
    </row>
    <row r="51" spans="1:30">
      <c r="A51" s="377" t="s">
        <v>1719</v>
      </c>
      <c r="B51" s="458" t="s">
        <v>1685</v>
      </c>
      <c r="C51" s="459">
        <f>C9</f>
        <v>0</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5"/>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5"/>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5"/>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5"/>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5"/>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6"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6"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6"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6"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5"/>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5"/>
      <c r="B65" s="475" t="s">
        <v>1813</v>
      </c>
      <c r="C65" s="579" t="s">
        <v>1799</v>
      </c>
      <c r="D65" s="579" t="s">
        <v>1800</v>
      </c>
      <c r="E65" s="579" t="s">
        <v>1801</v>
      </c>
      <c r="F65" s="579" t="s">
        <v>1802</v>
      </c>
      <c r="G65" s="579" t="s">
        <v>1803</v>
      </c>
      <c r="H65" s="468"/>
      <c r="I65" s="468"/>
      <c r="J65" s="468"/>
      <c r="K65" s="468"/>
      <c r="L65" s="468"/>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9"/>
      <c r="O66" s="2519"/>
      <c r="P66" s="2517"/>
      <c r="Q66" s="2505"/>
      <c r="R66" s="2484"/>
      <c r="S66" s="2484"/>
      <c r="T66" s="2484"/>
      <c r="U66" s="2484"/>
      <c r="V66" s="2484"/>
      <c r="W66" s="2484"/>
      <c r="X66" s="2484"/>
      <c r="Y66" s="2484"/>
      <c r="Z66" s="2484"/>
      <c r="AA66" s="2484"/>
      <c r="AB66" s="2484"/>
      <c r="AC66" s="2484"/>
      <c r="AD66" s="2484"/>
    </row>
    <row r="67" spans="1:30" ht="15.75" thickTop="1">
      <c r="A67" s="365"/>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5"/>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5"/>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1" customFormat="1" ht="15.75" thickTop="1">
      <c r="A71" s="368"/>
      <c r="B71" s="467">
        <f>B23</f>
        <v>111</v>
      </c>
      <c r="C71" s="478"/>
      <c r="D71" s="478"/>
      <c r="E71" s="478"/>
      <c r="F71" s="478"/>
      <c r="G71" s="483"/>
      <c r="H71" s="483"/>
      <c r="I71" s="483"/>
      <c r="J71" s="483"/>
      <c r="K71" s="483"/>
      <c r="L71" s="508"/>
      <c r="M71" s="509"/>
      <c r="N71" s="2517"/>
      <c r="O71" s="2517"/>
      <c r="P71" s="2517"/>
      <c r="Q71" s="2505"/>
      <c r="R71" s="2436"/>
      <c r="S71" s="2436"/>
      <c r="T71" s="2436"/>
      <c r="U71" s="2436"/>
      <c r="V71" s="2436"/>
      <c r="W71" s="2436"/>
      <c r="X71" s="2436"/>
      <c r="Y71" s="2436"/>
      <c r="Z71" s="2436"/>
      <c r="AA71" s="2436"/>
      <c r="AB71" s="2436"/>
      <c r="AC71" s="2436"/>
      <c r="AD71" s="2436"/>
    </row>
    <row r="72" spans="1:30" s="101" customFormat="1" ht="15.75" thickBot="1">
      <c r="A72" s="368"/>
      <c r="B72" s="472"/>
      <c r="C72" s="489"/>
      <c r="D72" s="465"/>
      <c r="E72" s="465"/>
      <c r="F72" s="465"/>
      <c r="G72" s="465"/>
      <c r="H72" s="465"/>
      <c r="I72" s="465"/>
      <c r="J72" s="465"/>
      <c r="K72" s="465"/>
      <c r="L72" s="465"/>
      <c r="M72" s="466"/>
      <c r="N72" s="2519"/>
      <c r="O72" s="2519"/>
      <c r="P72" s="2517"/>
      <c r="Q72" s="2505"/>
      <c r="R72" s="2436"/>
      <c r="S72" s="2436"/>
      <c r="T72" s="2436"/>
      <c r="U72" s="2436"/>
      <c r="V72" s="2436"/>
      <c r="W72" s="2436"/>
      <c r="X72" s="2436"/>
      <c r="Y72" s="2436"/>
      <c r="Z72" s="2436"/>
      <c r="AA72" s="2436"/>
      <c r="AB72" s="2436"/>
      <c r="AC72" s="2436"/>
      <c r="AD72" s="2436"/>
    </row>
    <row r="73" spans="1:30" s="101" customFormat="1" ht="15.75" thickTop="1">
      <c r="A73" s="368"/>
      <c r="B73" s="467">
        <f>B24</f>
        <v>111</v>
      </c>
      <c r="C73" s="478"/>
      <c r="D73" s="478"/>
      <c r="E73" s="478"/>
      <c r="F73" s="478"/>
      <c r="G73" s="483"/>
      <c r="H73" s="483"/>
      <c r="I73" s="483"/>
      <c r="J73" s="483"/>
      <c r="K73" s="483"/>
      <c r="L73" s="483"/>
      <c r="M73" s="509"/>
      <c r="N73" s="2517"/>
      <c r="O73" s="2517"/>
      <c r="P73" s="2517"/>
      <c r="Q73" s="2505"/>
      <c r="R73" s="2436"/>
      <c r="S73" s="2436"/>
      <c r="T73" s="2436"/>
      <c r="U73" s="2436"/>
      <c r="V73" s="2436"/>
      <c r="W73" s="2436"/>
      <c r="X73" s="2436"/>
      <c r="Y73" s="2436"/>
      <c r="Z73" s="2436"/>
      <c r="AA73" s="2436"/>
      <c r="AB73" s="2436"/>
      <c r="AC73" s="2436"/>
      <c r="AD73" s="2436"/>
    </row>
    <row r="74" spans="1:30" s="101" customFormat="1" ht="15.75" thickBot="1">
      <c r="A74" s="368"/>
      <c r="B74" s="472"/>
      <c r="C74" s="489"/>
      <c r="D74" s="465"/>
      <c r="E74" s="465"/>
      <c r="F74" s="465"/>
      <c r="G74" s="465"/>
      <c r="H74" s="465"/>
      <c r="I74" s="465"/>
      <c r="J74" s="465"/>
      <c r="K74" s="465"/>
      <c r="L74" s="465"/>
      <c r="M74" s="466"/>
      <c r="N74" s="2519"/>
      <c r="O74" s="2519"/>
      <c r="P74" s="2517"/>
      <c r="Q74" s="2505"/>
      <c r="R74" s="2436"/>
      <c r="S74" s="2436"/>
      <c r="T74" s="2436"/>
      <c r="U74" s="2436"/>
      <c r="V74" s="2436"/>
      <c r="W74" s="2436"/>
      <c r="X74" s="2436"/>
      <c r="Y74" s="2436"/>
      <c r="Z74" s="2436"/>
      <c r="AA74" s="2436"/>
      <c r="AB74" s="2436"/>
      <c r="AC74" s="2436"/>
      <c r="AD74" s="2436"/>
    </row>
    <row r="75" spans="1:30" s="406"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6"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7"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5"/>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7"/>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7"/>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7"/>
      <c r="B87" s="475"/>
      <c r="C87" s="6"/>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5"/>
      <c r="B88" s="472"/>
      <c r="C88" s="489"/>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6" customFormat="1" ht="15" thickTop="1">
      <c r="A89" s="404"/>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6"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7"/>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5"/>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7"/>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5"/>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7"/>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5"/>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500"/>
      <c r="M3" s="2501"/>
      <c r="N3" s="2501"/>
      <c r="O3" s="2501"/>
      <c r="P3" s="339"/>
      <c r="Q3" s="339"/>
      <c r="R3" s="339"/>
      <c r="S3" s="339"/>
      <c r="T3" s="339"/>
      <c r="U3" s="339"/>
      <c r="V3" s="339"/>
      <c r="W3" s="339"/>
      <c r="X3" s="339"/>
      <c r="Y3" s="339"/>
      <c r="Z3" s="339"/>
      <c r="AA3" s="339"/>
      <c r="AB3" s="674"/>
      <c r="AC3" s="661"/>
    </row>
    <row r="4" spans="1:29" ht="15">
      <c r="A4" s="343" t="s">
        <v>1769</v>
      </c>
      <c r="B4" s="344"/>
      <c r="C4" s="3379" t="s">
        <v>1770</v>
      </c>
      <c r="D4" s="3380"/>
      <c r="E4" s="3381" t="s">
        <v>1771</v>
      </c>
      <c r="F4" s="3382"/>
      <c r="G4" s="3379" t="s">
        <v>1772</v>
      </c>
      <c r="H4" s="3380"/>
      <c r="I4" s="3379" t="s">
        <v>1773</v>
      </c>
      <c r="J4" s="3380"/>
      <c r="K4" s="535" t="s">
        <v>1774</v>
      </c>
      <c r="L4" s="2483"/>
      <c r="M4" s="2484"/>
      <c r="N4" s="2484"/>
      <c r="O4" s="2484"/>
      <c r="P4" s="3383" t="s">
        <v>1775</v>
      </c>
      <c r="Q4" s="3384"/>
      <c r="R4" s="3366" t="s">
        <v>1771</v>
      </c>
      <c r="S4" s="3367"/>
      <c r="T4" s="3366" t="s">
        <v>1772</v>
      </c>
      <c r="U4" s="3367"/>
      <c r="V4" s="3391" t="s">
        <v>1773</v>
      </c>
      <c r="W4" s="3391"/>
      <c r="X4" s="1263"/>
      <c r="Y4" s="3366" t="s">
        <v>1775</v>
      </c>
      <c r="Z4" s="3367"/>
      <c r="AA4" s="3361" t="s">
        <v>1771</v>
      </c>
      <c r="AB4" s="3362" t="s">
        <v>1772</v>
      </c>
      <c r="AC4" s="3361" t="s">
        <v>1773</v>
      </c>
    </row>
    <row r="5" spans="1:29" ht="15">
      <c r="A5" s="346"/>
      <c r="B5" s="347"/>
      <c r="C5" s="3372" t="s">
        <v>1673</v>
      </c>
      <c r="D5" s="3373"/>
      <c r="E5" s="3370" t="s">
        <v>1674</v>
      </c>
      <c r="F5" s="3371"/>
      <c r="G5" s="3372" t="s">
        <v>1675</v>
      </c>
      <c r="H5" s="3373"/>
      <c r="I5" s="3372" t="s">
        <v>1676</v>
      </c>
      <c r="J5" s="3373"/>
      <c r="K5" s="535"/>
      <c r="L5" s="2483"/>
      <c r="M5" s="2484"/>
      <c r="N5" s="2484"/>
      <c r="O5" s="2484"/>
      <c r="P5" s="3385"/>
      <c r="Q5" s="3386"/>
      <c r="R5" s="3368"/>
      <c r="S5" s="3369"/>
      <c r="T5" s="3368"/>
      <c r="U5" s="3369"/>
      <c r="V5" s="3391"/>
      <c r="W5" s="3391"/>
      <c r="X5" s="1263"/>
      <c r="Y5" s="3368"/>
      <c r="Z5" s="3369"/>
      <c r="AA5" s="3362"/>
      <c r="AB5" s="3362"/>
      <c r="AC5" s="3362"/>
    </row>
    <row r="6" spans="1:29" ht="15.75" thickBot="1">
      <c r="A6" s="348"/>
      <c r="B6" s="349"/>
      <c r="C6" s="3374" t="s">
        <v>1677</v>
      </c>
      <c r="D6" s="3375"/>
      <c r="E6" s="3376" t="s">
        <v>1677</v>
      </c>
      <c r="F6" s="3377"/>
      <c r="G6" s="3374" t="s">
        <v>1677</v>
      </c>
      <c r="H6" s="3375"/>
      <c r="I6" s="3374" t="s">
        <v>1677</v>
      </c>
      <c r="J6" s="3375"/>
      <c r="K6" s="535" t="s">
        <v>1678</v>
      </c>
      <c r="L6" s="2483"/>
      <c r="M6" s="2484"/>
      <c r="N6" s="2484"/>
      <c r="O6" s="2484"/>
      <c r="P6" s="3387"/>
      <c r="Q6" s="3388"/>
      <c r="R6" s="3368"/>
      <c r="S6" s="3369"/>
      <c r="T6" s="3389"/>
      <c r="U6" s="3390"/>
      <c r="V6" s="3391"/>
      <c r="W6" s="3391"/>
      <c r="X6" s="1263"/>
      <c r="Y6" s="3389"/>
      <c r="Z6" s="3390"/>
      <c r="AA6" s="3363"/>
      <c r="AB6" s="3363"/>
      <c r="AC6" s="3363"/>
    </row>
    <row r="7" spans="1:29" s="101" customFormat="1" ht="15.75" thickBot="1">
      <c r="A7" s="350" t="s">
        <v>1679</v>
      </c>
      <c r="B7" s="351"/>
      <c r="C7" s="352">
        <f>'数据-取费表'!B2</f>
        <v>45755</v>
      </c>
      <c r="D7" s="353">
        <v>100</v>
      </c>
      <c r="E7" s="354"/>
      <c r="F7" s="355">
        <f>SUMIF(69:69,YEAR(E7)&amp;"-"&amp;INT((MONTH(E7)+2)/3),70:70)</f>
        <v>0</v>
      </c>
      <c r="G7" s="1819"/>
      <c r="H7" s="353">
        <f>SUMIF(69:69,YEAR(G7)&amp;"-"&amp;INT((MONTH(G7)+2)/3),70:70)</f>
        <v>0</v>
      </c>
      <c r="I7" s="1819"/>
      <c r="J7" s="353">
        <f>SUMIF(69:69,YEAR(I7)&amp;"-"&amp;INT((MONTH(I7)+2)/3),70:70)</f>
        <v>0</v>
      </c>
      <c r="K7" s="38"/>
      <c r="L7" s="2485"/>
      <c r="M7" s="2436"/>
      <c r="N7" s="2436"/>
      <c r="O7" s="2436"/>
      <c r="P7" s="3364" t="s">
        <v>1680</v>
      </c>
      <c r="Q7" s="3392"/>
      <c r="R7" s="662" t="s">
        <v>14</v>
      </c>
      <c r="S7" s="663">
        <f t="shared" ref="S7:S15" si="0">F7</f>
        <v>0</v>
      </c>
      <c r="T7" s="662" t="s">
        <v>14</v>
      </c>
      <c r="U7" s="663">
        <f t="shared" ref="U7:U15" si="1">H7</f>
        <v>0</v>
      </c>
      <c r="V7" s="662" t="s">
        <v>14</v>
      </c>
      <c r="W7" s="663">
        <f t="shared" ref="W7:W15" si="2">J7</f>
        <v>0</v>
      </c>
      <c r="X7" s="664"/>
      <c r="Y7" s="3364" t="s">
        <v>1680</v>
      </c>
      <c r="Z7" s="3365"/>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5"/>
      <c r="M8" s="2436"/>
      <c r="N8" s="2436"/>
      <c r="O8" s="2436"/>
      <c r="P8" s="3364" t="s">
        <v>1683</v>
      </c>
      <c r="Q8" s="3365"/>
      <c r="R8" s="662" t="s">
        <v>14</v>
      </c>
      <c r="S8" s="663">
        <f t="shared" si="0"/>
        <v>0</v>
      </c>
      <c r="T8" s="662" t="s">
        <v>14</v>
      </c>
      <c r="U8" s="663">
        <f t="shared" si="1"/>
        <v>0</v>
      </c>
      <c r="V8" s="662" t="s">
        <v>14</v>
      </c>
      <c r="W8" s="663">
        <f t="shared" si="2"/>
        <v>0</v>
      </c>
      <c r="X8" s="664"/>
      <c r="Y8" s="3364" t="s">
        <v>1683</v>
      </c>
      <c r="Z8" s="3365"/>
      <c r="AA8" s="50" t="e">
        <f t="shared" ref="AA8:AA45" si="3">D8/F8</f>
        <v>#DIV/0!</v>
      </c>
      <c r="AB8" s="50" t="e">
        <f t="shared" ref="AB8:AB45" si="4">D8/H8</f>
        <v>#DIV/0!</v>
      </c>
      <c r="AC8" s="50" t="e">
        <f t="shared" ref="AC8:AC45" si="5">D8/J8</f>
        <v>#DIV/0!</v>
      </c>
    </row>
    <row r="9" spans="1:29" s="101" customFormat="1">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5"/>
      <c r="M9" s="2436"/>
      <c r="N9" s="2436"/>
      <c r="O9" s="2537"/>
      <c r="P9" s="3396"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69"/>
      <c r="D10" s="118">
        <v>100</v>
      </c>
      <c r="E10" s="401"/>
      <c r="F10" s="118">
        <f>ROUND(100/'数据-取费表'!G16,0)</f>
        <v>116</v>
      </c>
      <c r="G10" s="400"/>
      <c r="H10" s="118">
        <f>ROUND(100/'数据-取费表'!G16,0)</f>
        <v>116</v>
      </c>
      <c r="I10" s="400"/>
      <c r="J10" s="118">
        <f>ROUND(100/'数据-取费表'!G16,0)</f>
        <v>116</v>
      </c>
      <c r="K10" s="590"/>
      <c r="L10" s="2486"/>
      <c r="M10" s="2487"/>
      <c r="N10" s="2487"/>
      <c r="O10" s="2538"/>
      <c r="P10" s="3396"/>
      <c r="Q10" s="528" t="str">
        <f t="shared" si="6"/>
        <v>土地使用年限（年）</v>
      </c>
      <c r="R10" s="662" t="s">
        <v>14</v>
      </c>
      <c r="S10" s="663">
        <f t="shared" si="0"/>
        <v>116</v>
      </c>
      <c r="T10" s="662" t="s">
        <v>14</v>
      </c>
      <c r="U10" s="663">
        <f t="shared" si="1"/>
        <v>116</v>
      </c>
      <c r="V10" s="662" t="s">
        <v>14</v>
      </c>
      <c r="W10" s="663">
        <f t="shared" si="2"/>
        <v>116</v>
      </c>
      <c r="X10" s="664"/>
      <c r="Y10" s="3329"/>
      <c r="Z10" s="50" t="str">
        <f t="shared" si="7"/>
        <v>土地使用年限（年）</v>
      </c>
      <c r="AA10" s="50">
        <f t="shared" si="3"/>
        <v>0.86206896551724133</v>
      </c>
      <c r="AB10" s="50">
        <f t="shared" si="4"/>
        <v>0.86206896551724133</v>
      </c>
      <c r="AC10" s="50">
        <f t="shared" si="5"/>
        <v>0.86206896551724133</v>
      </c>
    </row>
    <row r="11" spans="1:29" ht="15">
      <c r="A11" s="365"/>
      <c r="B11" s="362" t="s">
        <v>1689</v>
      </c>
      <c r="C11" s="366"/>
      <c r="D11" s="118">
        <v>100</v>
      </c>
      <c r="E11" s="366"/>
      <c r="F11" s="118" t="e">
        <f>LOOKUP(E11,79:79,80:80)-LOOKUP(C11,79:79,80:80)+100</f>
        <v>#N/A</v>
      </c>
      <c r="G11" s="367"/>
      <c r="H11" s="118" t="e">
        <f>LOOKUP(G11,79:79,80:80)-LOOKUP(C11,79:79,80:80)+100</f>
        <v>#N/A</v>
      </c>
      <c r="I11" s="366"/>
      <c r="J11" s="118" t="e">
        <f>LOOKUP(I11,79:79,80:80)-LOOKUP(C11,79:79,80:80)+100</f>
        <v>#N/A</v>
      </c>
      <c r="K11" s="591"/>
      <c r="L11" s="2488"/>
      <c r="M11" s="2484"/>
      <c r="N11" s="2484"/>
      <c r="O11" s="2539"/>
      <c r="P11" s="3396"/>
      <c r="Q11" s="528" t="str">
        <f t="shared" si="6"/>
        <v>容积率</v>
      </c>
      <c r="R11" s="662" t="s">
        <v>14</v>
      </c>
      <c r="S11" s="663" t="e">
        <f t="shared" si="0"/>
        <v>#N/A</v>
      </c>
      <c r="T11" s="662" t="s">
        <v>14</v>
      </c>
      <c r="U11" s="663" t="e">
        <f t="shared" si="1"/>
        <v>#N/A</v>
      </c>
      <c r="V11" s="662" t="s">
        <v>14</v>
      </c>
      <c r="W11" s="663" t="e">
        <f t="shared" si="2"/>
        <v>#N/A</v>
      </c>
      <c r="X11" s="664"/>
      <c r="Y11" s="3329"/>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8">
        <f>SUMIF(81:81,E12,82:82)-SUMIF(81:81,C12,82:82)+100</f>
        <v>100</v>
      </c>
      <c r="G12" s="400"/>
      <c r="H12" s="118">
        <f>SUMIF(81:81,G12,82:82)-SUMIF(81:81,C12,82:82)+100</f>
        <v>100</v>
      </c>
      <c r="I12" s="401"/>
      <c r="J12" s="118">
        <f>SUMIF(81:81,I12,82:82)-SUMIF(81:81,C12,82:82)+100</f>
        <v>100</v>
      </c>
      <c r="K12" s="590"/>
      <c r="L12" s="2485"/>
      <c r="M12" s="2436"/>
      <c r="N12" s="2436"/>
      <c r="O12" s="2537"/>
      <c r="P12" s="3396"/>
      <c r="Q12" s="528" t="str">
        <f t="shared" si="6"/>
        <v>配建</v>
      </c>
      <c r="R12" s="662" t="s">
        <v>14</v>
      </c>
      <c r="S12" s="663">
        <f t="shared" si="0"/>
        <v>100</v>
      </c>
      <c r="T12" s="662" t="s">
        <v>14</v>
      </c>
      <c r="U12" s="663">
        <f t="shared" si="1"/>
        <v>100</v>
      </c>
      <c r="V12" s="662" t="s">
        <v>14</v>
      </c>
      <c r="W12" s="663">
        <f t="shared" si="2"/>
        <v>100</v>
      </c>
      <c r="X12" s="664"/>
      <c r="Y12" s="3329"/>
      <c r="Z12" s="50" t="str">
        <f t="shared" si="7"/>
        <v>配建</v>
      </c>
      <c r="AA12" s="50">
        <f>D12/F12</f>
        <v>1</v>
      </c>
      <c r="AB12" s="50">
        <f>D12/H12</f>
        <v>1</v>
      </c>
      <c r="AC12" s="50">
        <f>D12/J12</f>
        <v>1</v>
      </c>
    </row>
    <row r="13" spans="1:29" ht="15">
      <c r="A13" s="365"/>
      <c r="B13" s="445">
        <v>111</v>
      </c>
      <c r="C13" s="371"/>
      <c r="D13" s="372">
        <v>100</v>
      </c>
      <c r="E13" s="478"/>
      <c r="F13" s="118">
        <f>SUMIF(83:83,E13,84:84)-SUMIF(83:83,C13,84:84)+100</f>
        <v>100</v>
      </c>
      <c r="G13" s="592"/>
      <c r="H13" s="372">
        <f>SUMIF(83:83,G13,84:84)-SUMIF(83:83,C13,84:84)+100</f>
        <v>100</v>
      </c>
      <c r="I13" s="592"/>
      <c r="J13" s="372">
        <f>SUMIF(83:83,I13,84:84)-SUMIF(83:83,C13,84:84)+100</f>
        <v>100</v>
      </c>
      <c r="K13" s="590"/>
      <c r="L13" s="2489"/>
      <c r="M13" s="2484"/>
      <c r="N13" s="2484"/>
      <c r="O13" s="2539"/>
      <c r="P13" s="3396"/>
      <c r="Q13" s="528">
        <f t="shared" si="6"/>
        <v>111</v>
      </c>
      <c r="R13" s="662" t="s">
        <v>14</v>
      </c>
      <c r="S13" s="663">
        <f t="shared" si="0"/>
        <v>100</v>
      </c>
      <c r="T13" s="662" t="s">
        <v>14</v>
      </c>
      <c r="U13" s="663">
        <f t="shared" si="1"/>
        <v>100</v>
      </c>
      <c r="V13" s="662" t="s">
        <v>14</v>
      </c>
      <c r="W13" s="663">
        <f t="shared" si="2"/>
        <v>100</v>
      </c>
      <c r="X13" s="664"/>
      <c r="Y13" s="3329"/>
      <c r="Z13" s="50">
        <f t="shared" si="7"/>
        <v>111</v>
      </c>
      <c r="AA13" s="50">
        <f>D13/F13</f>
        <v>1</v>
      </c>
      <c r="AB13" s="50">
        <f>D13/H13</f>
        <v>1</v>
      </c>
      <c r="AC13" s="50">
        <f>D13/J13</f>
        <v>1</v>
      </c>
    </row>
    <row r="14" spans="1:29" ht="15.75"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9"/>
      <c r="M14" s="2484"/>
      <c r="N14" s="2484"/>
      <c r="O14" s="2539"/>
      <c r="P14" s="3396"/>
      <c r="Q14" s="528">
        <f t="shared" si="6"/>
        <v>111</v>
      </c>
      <c r="R14" s="662" t="s">
        <v>14</v>
      </c>
      <c r="S14" s="663">
        <f t="shared" si="0"/>
        <v>100</v>
      </c>
      <c r="T14" s="662" t="s">
        <v>14</v>
      </c>
      <c r="U14" s="663">
        <f t="shared" si="1"/>
        <v>100</v>
      </c>
      <c r="V14" s="662" t="s">
        <v>14</v>
      </c>
      <c r="W14" s="663">
        <f t="shared" si="2"/>
        <v>100</v>
      </c>
      <c r="X14" s="664"/>
      <c r="Y14" s="3329"/>
      <c r="Z14" s="50">
        <f t="shared" si="7"/>
        <v>111</v>
      </c>
      <c r="AA14" s="50">
        <f>D14/F14</f>
        <v>1</v>
      </c>
      <c r="AB14" s="50">
        <f>D14/H14</f>
        <v>1</v>
      </c>
      <c r="AC14" s="50">
        <f>D14/J14</f>
        <v>1</v>
      </c>
    </row>
    <row r="15" spans="1:29" ht="99.75">
      <c r="A15" s="377" t="s">
        <v>1690</v>
      </c>
      <c r="B15" s="58" t="s">
        <v>1257</v>
      </c>
      <c r="C15" s="1748" t="str">
        <f>估价对象房地状况!C15</f>
        <v>周边有合生国际家园、优士阁、双花园南里、广渠家园、百环家园等住宅小区，居住社区成熟度好。</v>
      </c>
      <c r="D15" s="378">
        <v>100</v>
      </c>
      <c r="E15" s="379"/>
      <c r="F15" s="378">
        <f>SUMIF(87:87,E16,88:88)-SUMIF(87:87,C16,88:88)+100</f>
        <v>100</v>
      </c>
      <c r="G15" s="379"/>
      <c r="H15" s="378">
        <f>SUMIF(87:87,G16,88:88)-SUMIF(87:87,C16,88:88)+100</f>
        <v>100</v>
      </c>
      <c r="I15" s="381"/>
      <c r="J15" s="378">
        <f>SUMIF(87:87,I16,88:88)-SUMIF(87:87,C16,88:88)+100</f>
        <v>100</v>
      </c>
      <c r="K15" s="591"/>
      <c r="L15" s="2489"/>
      <c r="M15" s="2484"/>
      <c r="N15" s="2484"/>
      <c r="O15" s="2539"/>
      <c r="P15" s="3397" t="s">
        <v>1691</v>
      </c>
      <c r="Q15" s="1261" t="str">
        <f t="shared" si="6"/>
        <v>居住社区成熟度</v>
      </c>
      <c r="R15" s="665" t="s">
        <v>14</v>
      </c>
      <c r="S15" s="666">
        <f t="shared" si="0"/>
        <v>100</v>
      </c>
      <c r="T15" s="665" t="s">
        <v>14</v>
      </c>
      <c r="U15" s="666">
        <f t="shared" si="1"/>
        <v>100</v>
      </c>
      <c r="V15" s="665" t="s">
        <v>14</v>
      </c>
      <c r="W15" s="666">
        <f t="shared" si="2"/>
        <v>100</v>
      </c>
      <c r="X15" s="1263"/>
      <c r="Y15" s="3397"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9"/>
      <c r="M16" s="2484"/>
      <c r="N16" s="2484"/>
      <c r="O16" s="2539"/>
      <c r="P16" s="3398"/>
      <c r="Q16" s="1261"/>
      <c r="R16" s="665"/>
      <c r="S16" s="666"/>
      <c r="T16" s="665"/>
      <c r="U16" s="666"/>
      <c r="V16" s="665"/>
      <c r="W16" s="666"/>
      <c r="X16" s="1263"/>
      <c r="Y16" s="3398"/>
      <c r="Z16" s="1262"/>
      <c r="AA16" s="1262">
        <v>1</v>
      </c>
      <c r="AB16" s="1262">
        <v>1</v>
      </c>
      <c r="AC16" s="1262">
        <v>1</v>
      </c>
    </row>
    <row r="17" spans="1:29" ht="71.25">
      <c r="A17" s="365"/>
      <c r="B17" s="388" t="s">
        <v>1777</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9"/>
      <c r="M17" s="2484"/>
      <c r="N17" s="2484"/>
      <c r="O17" s="2539"/>
      <c r="P17" s="3398"/>
      <c r="Q17" s="1261" t="str">
        <f>B17</f>
        <v>商业繁华度</v>
      </c>
      <c r="R17" s="665" t="s">
        <v>14</v>
      </c>
      <c r="S17" s="666">
        <f>F17</f>
        <v>100</v>
      </c>
      <c r="T17" s="665" t="s">
        <v>14</v>
      </c>
      <c r="U17" s="666">
        <f>H17</f>
        <v>100</v>
      </c>
      <c r="V17" s="665" t="s">
        <v>14</v>
      </c>
      <c r="W17" s="666">
        <f>J17</f>
        <v>100</v>
      </c>
      <c r="X17" s="1263"/>
      <c r="Y17" s="3398"/>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9"/>
      <c r="M18" s="2484"/>
      <c r="N18" s="2484"/>
      <c r="O18" s="2539"/>
      <c r="P18" s="3398"/>
      <c r="Q18" s="1261"/>
      <c r="R18" s="665"/>
      <c r="S18" s="666"/>
      <c r="T18" s="665"/>
      <c r="U18" s="666"/>
      <c r="V18" s="665"/>
      <c r="W18" s="666"/>
      <c r="X18" s="1263"/>
      <c r="Y18" s="3398"/>
      <c r="Z18" s="1262"/>
      <c r="AA18" s="1262">
        <v>1</v>
      </c>
      <c r="AB18" s="1262">
        <v>1</v>
      </c>
      <c r="AC18" s="1262">
        <v>1</v>
      </c>
    </row>
    <row r="19" spans="1:29" ht="71.25">
      <c r="A19" s="365"/>
      <c r="B19" s="388" t="s">
        <v>1811</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9"/>
      <c r="M19" s="2484"/>
      <c r="N19" s="2484"/>
      <c r="O19" s="2539"/>
      <c r="P19" s="3398"/>
      <c r="Q19" s="1261" t="str">
        <f>B19</f>
        <v>办公集聚程度</v>
      </c>
      <c r="R19" s="665" t="s">
        <v>14</v>
      </c>
      <c r="S19" s="666">
        <f>F19</f>
        <v>100</v>
      </c>
      <c r="T19" s="665" t="s">
        <v>14</v>
      </c>
      <c r="U19" s="666">
        <f>H19</f>
        <v>100</v>
      </c>
      <c r="V19" s="665" t="s">
        <v>14</v>
      </c>
      <c r="W19" s="666">
        <f>J19</f>
        <v>100</v>
      </c>
      <c r="X19" s="1263"/>
      <c r="Y19" s="3398"/>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9"/>
      <c r="M20" s="2484"/>
      <c r="N20" s="2484"/>
      <c r="O20" s="2539"/>
      <c r="P20" s="3398"/>
      <c r="Q20" s="1261"/>
      <c r="R20" s="665"/>
      <c r="S20" s="666"/>
      <c r="T20" s="665"/>
      <c r="U20" s="666"/>
      <c r="V20" s="665"/>
      <c r="W20" s="666"/>
      <c r="X20" s="1263"/>
      <c r="Y20" s="3398"/>
      <c r="Z20" s="1262"/>
      <c r="AA20" s="1262">
        <v>1</v>
      </c>
      <c r="AB20" s="1262">
        <v>1</v>
      </c>
      <c r="AC20" s="1262">
        <v>1</v>
      </c>
    </row>
    <row r="21" spans="1:29" ht="114">
      <c r="A21" s="365"/>
      <c r="B21" s="388" t="s">
        <v>1833</v>
      </c>
      <c r="C21" s="1752" t="str">
        <f>估价对象房地状况!C18</f>
        <v>周边有28路、57路、72路、98路、300路等多条公交线路，地铁7号线与10号线换乘站双井站，综合评价交通便捷度好。</v>
      </c>
      <c r="D21" s="387">
        <v>100</v>
      </c>
      <c r="E21" s="389"/>
      <c r="F21" s="392">
        <f>SUMIF(93:93,E22,94:94)-SUMIF(93:93,C22,94:94)+100</f>
        <v>100</v>
      </c>
      <c r="G21" s="389"/>
      <c r="H21" s="387">
        <f>SUMIF(93:93,G22,94:94)-SUMIF(93:93,C22,94:94)+100</f>
        <v>100</v>
      </c>
      <c r="I21" s="391"/>
      <c r="J21" s="387">
        <f>SUMIF(93:93,I22,94:94)-SUMIF(93:93,C22,94:94)+100</f>
        <v>100</v>
      </c>
      <c r="K21" s="591"/>
      <c r="L21" s="2489"/>
      <c r="M21" s="2484"/>
      <c r="N21" s="2484"/>
      <c r="O21" s="2539"/>
      <c r="P21" s="3398"/>
      <c r="Q21" s="1261" t="str">
        <f>B21</f>
        <v>交通便捷度</v>
      </c>
      <c r="R21" s="665" t="s">
        <v>14</v>
      </c>
      <c r="S21" s="666">
        <f>F21</f>
        <v>100</v>
      </c>
      <c r="T21" s="665" t="s">
        <v>14</v>
      </c>
      <c r="U21" s="666">
        <f>H21</f>
        <v>100</v>
      </c>
      <c r="V21" s="665" t="s">
        <v>14</v>
      </c>
      <c r="W21" s="666">
        <f>J21</f>
        <v>100</v>
      </c>
      <c r="X21" s="1263"/>
      <c r="Y21" s="3398"/>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9"/>
      <c r="M22" s="2484"/>
      <c r="N22" s="2484"/>
      <c r="O22" s="2539"/>
      <c r="P22" s="3398"/>
      <c r="Q22" s="1261"/>
      <c r="R22" s="665"/>
      <c r="S22" s="666"/>
      <c r="T22" s="665"/>
      <c r="U22" s="666"/>
      <c r="V22" s="665"/>
      <c r="W22" s="666"/>
      <c r="X22" s="1263"/>
      <c r="Y22" s="3398"/>
      <c r="Z22" s="1262"/>
      <c r="AA22" s="1262">
        <v>1</v>
      </c>
      <c r="AB22" s="1262">
        <v>1</v>
      </c>
      <c r="AC22" s="1262">
        <v>1</v>
      </c>
    </row>
    <row r="23" spans="1:29" ht="15">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9"/>
      <c r="M23" s="2484"/>
      <c r="N23" s="2484"/>
      <c r="O23" s="2539"/>
      <c r="P23" s="3398"/>
      <c r="Q23" s="1261" t="str">
        <f t="shared" ref="Q23:Q37" si="8">B23</f>
        <v>区域土地利用方向</v>
      </c>
      <c r="R23" s="665" t="s">
        <v>14</v>
      </c>
      <c r="S23" s="666">
        <f>F23</f>
        <v>100</v>
      </c>
      <c r="T23" s="665" t="s">
        <v>14</v>
      </c>
      <c r="U23" s="666">
        <f>H23</f>
        <v>100</v>
      </c>
      <c r="V23" s="665" t="s">
        <v>14</v>
      </c>
      <c r="W23" s="666">
        <f>J23</f>
        <v>100</v>
      </c>
      <c r="X23" s="1263"/>
      <c r="Y23" s="3398"/>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9"/>
      <c r="M24" s="2484"/>
      <c r="N24" s="2484"/>
      <c r="O24" s="2539"/>
      <c r="P24" s="3398"/>
      <c r="Q24" s="1261"/>
      <c r="R24" s="665"/>
      <c r="S24" s="666"/>
      <c r="T24" s="665"/>
      <c r="U24" s="666"/>
      <c r="V24" s="665"/>
      <c r="W24" s="666"/>
      <c r="X24" s="1263"/>
      <c r="Y24" s="3398"/>
      <c r="Z24" s="1262"/>
      <c r="AA24" s="1262"/>
      <c r="AB24" s="1262"/>
      <c r="AC24" s="1262"/>
    </row>
    <row r="25" spans="1:29" ht="128.25">
      <c r="A25" s="346"/>
      <c r="B25" s="584" t="s">
        <v>1872</v>
      </c>
      <c r="C25" s="1803" t="str">
        <f>估价对象房地状况!C20</f>
        <v>自然环境：CBD城市森林公园、通惠河水系等自然景观；
人文环境：北京今日美术馆等人文场所；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9"/>
      <c r="M25" s="2484"/>
      <c r="N25" s="2484"/>
      <c r="O25" s="2539"/>
      <c r="P25" s="3398"/>
      <c r="Q25" s="1261" t="str">
        <f t="shared" si="8"/>
        <v>自然及人文环境状况</v>
      </c>
      <c r="R25" s="665" t="s">
        <v>14</v>
      </c>
      <c r="S25" s="666">
        <f>F25</f>
        <v>100</v>
      </c>
      <c r="T25" s="665" t="s">
        <v>14</v>
      </c>
      <c r="U25" s="666">
        <f>H25</f>
        <v>100</v>
      </c>
      <c r="V25" s="665" t="s">
        <v>14</v>
      </c>
      <c r="W25" s="666">
        <f>J25</f>
        <v>100</v>
      </c>
      <c r="X25" s="1263"/>
      <c r="Y25" s="3398"/>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9"/>
      <c r="M26" s="2484"/>
      <c r="N26" s="2484"/>
      <c r="O26" s="2539"/>
      <c r="P26" s="3398"/>
      <c r="Q26" s="1261"/>
      <c r="R26" s="665"/>
      <c r="S26" s="666"/>
      <c r="T26" s="665"/>
      <c r="U26" s="666"/>
      <c r="V26" s="665"/>
      <c r="W26" s="666"/>
      <c r="X26" s="1263"/>
      <c r="Y26" s="3398"/>
      <c r="Z26" s="1262"/>
      <c r="AA26" s="1262">
        <v>1</v>
      </c>
      <c r="AB26" s="1262">
        <v>1</v>
      </c>
      <c r="AC26" s="1262">
        <v>1</v>
      </c>
    </row>
    <row r="27" spans="1:29" s="101" customFormat="1" ht="313.5">
      <c r="A27" s="441"/>
      <c r="B27" s="584" t="s">
        <v>1778</v>
      </c>
      <c r="C27" s="1752" t="str">
        <f>估价对象房地状况!C21</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D27" s="387">
        <v>100</v>
      </c>
      <c r="E27" s="389"/>
      <c r="F27" s="387">
        <f>SUMIF(99:99,E28,100:100)-SUMIF(99:99,C28,100:100)+100</f>
        <v>100</v>
      </c>
      <c r="G27" s="389"/>
      <c r="H27" s="387">
        <f>SUMIF(99:99,G28,100:100)-SUMIF(99:99,C28,100:100)+100</f>
        <v>100</v>
      </c>
      <c r="I27" s="391"/>
      <c r="J27" s="387">
        <f>SUMIF(99:99,I28,100:100)-SUMIF(99:99,C28,100:100)+100</f>
        <v>100</v>
      </c>
      <c r="K27" s="591"/>
      <c r="L27" s="2485"/>
      <c r="M27" s="2436"/>
      <c r="N27" s="2436"/>
      <c r="O27" s="2537"/>
      <c r="P27" s="3398"/>
      <c r="Q27" s="528" t="str">
        <f t="shared" si="8"/>
        <v>公共配套设施</v>
      </c>
      <c r="R27" s="662" t="s">
        <v>14</v>
      </c>
      <c r="S27" s="663">
        <f>F27</f>
        <v>100</v>
      </c>
      <c r="T27" s="662" t="s">
        <v>14</v>
      </c>
      <c r="U27" s="663">
        <f>H27</f>
        <v>100</v>
      </c>
      <c r="V27" s="662" t="s">
        <v>14</v>
      </c>
      <c r="W27" s="663">
        <f>J27</f>
        <v>100</v>
      </c>
      <c r="X27" s="664"/>
      <c r="Y27" s="3398"/>
      <c r="Z27" s="50" t="str">
        <f>Q27</f>
        <v>公共配套设施</v>
      </c>
      <c r="AA27" s="1262">
        <f>D27/F27</f>
        <v>1</v>
      </c>
      <c r="AB27" s="1262">
        <f>D27/H27</f>
        <v>1</v>
      </c>
      <c r="AC27" s="1262">
        <f>D27/J27</f>
        <v>1</v>
      </c>
    </row>
    <row r="28" spans="1:29" s="101" customFormat="1" ht="15">
      <c r="A28" s="441"/>
      <c r="B28" s="393"/>
      <c r="C28" s="1823"/>
      <c r="D28" s="385"/>
      <c r="E28" s="1756"/>
      <c r="F28" s="385"/>
      <c r="G28" s="1756"/>
      <c r="H28" s="385"/>
      <c r="I28" s="384"/>
      <c r="J28" s="385"/>
      <c r="K28" s="590"/>
      <c r="L28" s="2485"/>
      <c r="M28" s="2436"/>
      <c r="N28" s="2436"/>
      <c r="O28" s="2537"/>
      <c r="P28" s="3398"/>
      <c r="Q28" s="528"/>
      <c r="R28" s="662"/>
      <c r="S28" s="663"/>
      <c r="T28" s="662"/>
      <c r="U28" s="663"/>
      <c r="V28" s="662"/>
      <c r="W28" s="663"/>
      <c r="X28" s="664"/>
      <c r="Y28" s="3398"/>
      <c r="Z28" s="50"/>
      <c r="AA28" s="1262">
        <v>1</v>
      </c>
      <c r="AB28" s="1262">
        <v>1</v>
      </c>
      <c r="AC28" s="1262">
        <v>1</v>
      </c>
    </row>
    <row r="29" spans="1:29" s="101" customFormat="1" ht="28.5">
      <c r="A29" s="441"/>
      <c r="B29" s="584" t="s">
        <v>1779</v>
      </c>
      <c r="C29" s="1752"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5"/>
      <c r="M29" s="2436"/>
      <c r="N29" s="2436"/>
      <c r="O29" s="2537"/>
      <c r="P29" s="3398"/>
      <c r="Q29" s="528" t="str">
        <f t="shared" ref="Q29" si="9">B29</f>
        <v>基础设施水平</v>
      </c>
      <c r="R29" s="662" t="s">
        <v>14</v>
      </c>
      <c r="S29" s="663">
        <f>F29</f>
        <v>100</v>
      </c>
      <c r="T29" s="662" t="s">
        <v>14</v>
      </c>
      <c r="U29" s="663">
        <f>H29</f>
        <v>100</v>
      </c>
      <c r="V29" s="662" t="s">
        <v>14</v>
      </c>
      <c r="W29" s="663">
        <f>J29</f>
        <v>100</v>
      </c>
      <c r="X29" s="664"/>
      <c r="Y29" s="3398"/>
      <c r="Z29" s="50" t="str">
        <f>Q29</f>
        <v>基础设施水平</v>
      </c>
      <c r="AA29" s="1262">
        <f>D29/F29</f>
        <v>1</v>
      </c>
      <c r="AB29" s="1262">
        <f>D29/H29</f>
        <v>1</v>
      </c>
      <c r="AC29" s="1262">
        <f>D29/J29</f>
        <v>1</v>
      </c>
    </row>
    <row r="30" spans="1:29" s="101" customFormat="1" ht="15">
      <c r="A30" s="441"/>
      <c r="B30" s="393"/>
      <c r="C30" s="1823"/>
      <c r="D30" s="385"/>
      <c r="E30" s="1824"/>
      <c r="F30" s="385"/>
      <c r="G30" s="1824"/>
      <c r="H30" s="385"/>
      <c r="I30" s="1824"/>
      <c r="J30" s="385"/>
      <c r="K30" s="590"/>
      <c r="L30" s="2485"/>
      <c r="M30" s="2436"/>
      <c r="N30" s="2436"/>
      <c r="O30" s="2537"/>
      <c r="P30" s="3398"/>
      <c r="Q30" s="528"/>
      <c r="R30" s="662"/>
      <c r="S30" s="663"/>
      <c r="T30" s="662"/>
      <c r="U30" s="663"/>
      <c r="V30" s="662"/>
      <c r="W30" s="663"/>
      <c r="X30" s="664"/>
      <c r="Y30" s="3398"/>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9"/>
      <c r="M31" s="2484"/>
      <c r="N31" s="2484"/>
      <c r="O31" s="2539"/>
      <c r="P31" s="3398"/>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98"/>
      <c r="Z31" s="1262" t="str">
        <f t="shared" ref="Z31:Z45" si="13">Q31</f>
        <v>临街状况</v>
      </c>
      <c r="AA31" s="1262">
        <f t="shared" si="3"/>
        <v>1</v>
      </c>
      <c r="AB31" s="1262">
        <f t="shared" si="4"/>
        <v>1</v>
      </c>
      <c r="AC31" s="1262">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9"/>
      <c r="M32" s="2484"/>
      <c r="N32" s="2484"/>
      <c r="O32" s="2539"/>
      <c r="P32" s="3398"/>
      <c r="Q32" s="1261" t="str">
        <f t="shared" si="8"/>
        <v>毗邻道路的类型与等级</v>
      </c>
      <c r="R32" s="665" t="s">
        <v>14</v>
      </c>
      <c r="S32" s="666">
        <f t="shared" si="10"/>
        <v>100</v>
      </c>
      <c r="T32" s="665" t="s">
        <v>14</v>
      </c>
      <c r="U32" s="666">
        <f t="shared" si="11"/>
        <v>100</v>
      </c>
      <c r="V32" s="665" t="s">
        <v>14</v>
      </c>
      <c r="W32" s="666">
        <f t="shared" si="12"/>
        <v>100</v>
      </c>
      <c r="X32" s="1263"/>
      <c r="Y32" s="3398"/>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9"/>
      <c r="M33" s="2484"/>
      <c r="N33" s="2484"/>
      <c r="O33" s="2539"/>
      <c r="P33" s="3398"/>
      <c r="Q33" s="1261"/>
      <c r="R33" s="665"/>
      <c r="S33" s="666"/>
      <c r="T33" s="665"/>
      <c r="U33" s="666"/>
      <c r="V33" s="665"/>
      <c r="W33" s="666"/>
      <c r="X33" s="1263"/>
      <c r="Y33" s="3398"/>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9"/>
      <c r="M34" s="2484"/>
      <c r="N34" s="2484"/>
      <c r="O34" s="2539"/>
      <c r="P34" s="3398"/>
      <c r="Q34" s="1261" t="str">
        <f t="shared" si="8"/>
        <v>土地级别</v>
      </c>
      <c r="R34" s="665" t="s">
        <v>14</v>
      </c>
      <c r="S34" s="666">
        <f t="shared" si="10"/>
        <v>100</v>
      </c>
      <c r="T34" s="665" t="s">
        <v>14</v>
      </c>
      <c r="U34" s="666">
        <f t="shared" si="11"/>
        <v>100</v>
      </c>
      <c r="V34" s="665" t="s">
        <v>14</v>
      </c>
      <c r="W34" s="666">
        <f t="shared" si="12"/>
        <v>100</v>
      </c>
      <c r="X34" s="1263"/>
      <c r="Y34" s="3398"/>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9"/>
      <c r="M35" s="2484"/>
      <c r="N35" s="2484"/>
      <c r="O35" s="2539"/>
      <c r="P35" s="3398"/>
      <c r="Q35" s="1261">
        <f t="shared" si="8"/>
        <v>111</v>
      </c>
      <c r="R35" s="665" t="s">
        <v>14</v>
      </c>
      <c r="S35" s="666">
        <f t="shared" si="10"/>
        <v>100</v>
      </c>
      <c r="T35" s="665" t="s">
        <v>14</v>
      </c>
      <c r="U35" s="666">
        <f t="shared" si="11"/>
        <v>100</v>
      </c>
      <c r="V35" s="665" t="s">
        <v>14</v>
      </c>
      <c r="W35" s="666">
        <f t="shared" si="12"/>
        <v>100</v>
      </c>
      <c r="X35" s="1263"/>
      <c r="Y35" s="3398"/>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9"/>
      <c r="M36" s="2484"/>
      <c r="N36" s="2484"/>
      <c r="O36" s="2539"/>
      <c r="P36" s="3442" t="s">
        <v>1696</v>
      </c>
      <c r="Q36" s="1261">
        <f t="shared" si="8"/>
        <v>111</v>
      </c>
      <c r="R36" s="665" t="s">
        <v>14</v>
      </c>
      <c r="S36" s="666">
        <f t="shared" si="10"/>
        <v>100</v>
      </c>
      <c r="T36" s="665" t="s">
        <v>14</v>
      </c>
      <c r="U36" s="666">
        <f t="shared" si="11"/>
        <v>100</v>
      </c>
      <c r="V36" s="665" t="s">
        <v>14</v>
      </c>
      <c r="W36" s="666">
        <f t="shared" si="12"/>
        <v>100</v>
      </c>
      <c r="X36" s="1263"/>
      <c r="Y36" s="3402" t="s">
        <v>1696</v>
      </c>
      <c r="Z36" s="1262">
        <f t="shared" si="13"/>
        <v>111</v>
      </c>
      <c r="AA36" s="1262">
        <f t="shared" si="3"/>
        <v>1</v>
      </c>
      <c r="AB36" s="1262">
        <f t="shared" si="4"/>
        <v>1</v>
      </c>
      <c r="AC36" s="1262">
        <f t="shared" si="5"/>
        <v>1</v>
      </c>
    </row>
    <row r="37" spans="1:29" s="406" customFormat="1" ht="15.75" thickBot="1">
      <c r="A37" s="594"/>
      <c r="B37" s="1066">
        <v>111</v>
      </c>
      <c r="C37" s="596"/>
      <c r="D37" s="119">
        <v>100</v>
      </c>
      <c r="E37" s="619"/>
      <c r="F37" s="375">
        <f>SUMIF(113:113,E37,114:114)-SUMIF(113:113,C37,114:114)+100</f>
        <v>100</v>
      </c>
      <c r="G37" s="619"/>
      <c r="H37" s="375">
        <f>SUMIF(113:113,G37,114:114)-SUMIF(113:113,C37,114:114)+100</f>
        <v>100</v>
      </c>
      <c r="I37" s="596"/>
      <c r="J37" s="375">
        <f>SUMIF(113:113,I37,114:114)-SUMIF(113:113,C37,114:114)+100</f>
        <v>100</v>
      </c>
      <c r="K37" s="537"/>
      <c r="L37" s="2488"/>
      <c r="M37" s="2490"/>
      <c r="N37" s="2490"/>
      <c r="O37" s="2540"/>
      <c r="P37" s="3402"/>
      <c r="Q37" s="1261">
        <f t="shared" si="8"/>
        <v>111</v>
      </c>
      <c r="R37" s="667" t="s">
        <v>14</v>
      </c>
      <c r="S37" s="668">
        <f t="shared" si="10"/>
        <v>100</v>
      </c>
      <c r="T37" s="667" t="s">
        <v>14</v>
      </c>
      <c r="U37" s="668">
        <f t="shared" si="11"/>
        <v>100</v>
      </c>
      <c r="V37" s="667" t="s">
        <v>14</v>
      </c>
      <c r="W37" s="668">
        <f t="shared" si="12"/>
        <v>100</v>
      </c>
      <c r="X37" s="669"/>
      <c r="Y37" s="3402"/>
      <c r="Z37" s="670">
        <f t="shared" si="13"/>
        <v>111</v>
      </c>
      <c r="AA37" s="1262">
        <f t="shared" si="3"/>
        <v>1</v>
      </c>
      <c r="AB37" s="1262">
        <f t="shared" si="4"/>
        <v>1</v>
      </c>
      <c r="AC37" s="1262">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9"/>
      <c r="M38" s="2484"/>
      <c r="N38" s="2484"/>
      <c r="O38" s="2539"/>
      <c r="P38" s="3402"/>
      <c r="Q38" s="1261" t="str">
        <f>B38</f>
        <v>宗地面积</v>
      </c>
      <c r="R38" s="665" t="s">
        <v>14</v>
      </c>
      <c r="S38" s="666" t="e">
        <f t="shared" si="10"/>
        <v>#N/A</v>
      </c>
      <c r="T38" s="665" t="s">
        <v>14</v>
      </c>
      <c r="U38" s="666" t="e">
        <f t="shared" si="11"/>
        <v>#N/A</v>
      </c>
      <c r="V38" s="665" t="s">
        <v>14</v>
      </c>
      <c r="W38" s="666" t="e">
        <f t="shared" si="12"/>
        <v>#N/A</v>
      </c>
      <c r="X38" s="1263"/>
      <c r="Y38" s="3402"/>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9"/>
      <c r="M39" s="2484"/>
      <c r="N39" s="2484"/>
      <c r="O39" s="2539"/>
      <c r="P39" s="3402"/>
      <c r="Q39" s="1261" t="str">
        <f t="shared" ref="Q39:Q45" si="14">B39</f>
        <v>宗地形状</v>
      </c>
      <c r="R39" s="665" t="s">
        <v>14</v>
      </c>
      <c r="S39" s="666">
        <f t="shared" si="10"/>
        <v>100</v>
      </c>
      <c r="T39" s="665" t="s">
        <v>14</v>
      </c>
      <c r="U39" s="666">
        <f t="shared" si="11"/>
        <v>100</v>
      </c>
      <c r="V39" s="665" t="s">
        <v>14</v>
      </c>
      <c r="W39" s="666">
        <f t="shared" si="12"/>
        <v>100</v>
      </c>
      <c r="X39" s="1263"/>
      <c r="Y39" s="3402"/>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9"/>
      <c r="M40" s="2484"/>
      <c r="N40" s="2484"/>
      <c r="O40" s="2539"/>
      <c r="P40" s="3402"/>
      <c r="Q40" s="1261" t="str">
        <f t="shared" si="14"/>
        <v>临街宽度及深度</v>
      </c>
      <c r="R40" s="665" t="s">
        <v>14</v>
      </c>
      <c r="S40" s="666">
        <f t="shared" si="10"/>
        <v>100</v>
      </c>
      <c r="T40" s="665" t="s">
        <v>14</v>
      </c>
      <c r="U40" s="666">
        <f t="shared" si="11"/>
        <v>100</v>
      </c>
      <c r="V40" s="665" t="s">
        <v>14</v>
      </c>
      <c r="W40" s="666">
        <f t="shared" si="12"/>
        <v>100</v>
      </c>
      <c r="X40" s="1263"/>
      <c r="Y40" s="3402"/>
      <c r="Z40" s="1262" t="str">
        <f t="shared" si="13"/>
        <v>临街宽度及深度</v>
      </c>
      <c r="AA40" s="1262">
        <f t="shared" si="3"/>
        <v>1</v>
      </c>
      <c r="AB40" s="1262">
        <f t="shared" si="4"/>
        <v>1</v>
      </c>
      <c r="AC40" s="1262">
        <f t="shared" si="5"/>
        <v>1</v>
      </c>
    </row>
    <row r="41" spans="1:29" s="101" customFormat="1" ht="15">
      <c r="A41" s="408"/>
      <c r="B41" s="362" t="s">
        <v>1877</v>
      </c>
      <c r="C41" s="1825"/>
      <c r="D41" s="118">
        <v>100</v>
      </c>
      <c r="E41" s="1825"/>
      <c r="F41" s="372">
        <f>SUMIF(122:122,E41,123:123)-SUMIF(122:122,C41,123:123)+100</f>
        <v>100</v>
      </c>
      <c r="G41" s="1825"/>
      <c r="H41" s="372">
        <f>SUMIF(122:122,G41,123:123)-SUMIF(122:122,C41,123:123)+100</f>
        <v>100</v>
      </c>
      <c r="I41" s="1825"/>
      <c r="J41" s="372">
        <f>SUMIF(122:122,I41,123:123)-SUMIF(122:122,C41,123:123)+100</f>
        <v>100</v>
      </c>
      <c r="K41" s="536"/>
      <c r="L41" s="2485"/>
      <c r="M41" s="2436"/>
      <c r="N41" s="2436"/>
      <c r="O41" s="2537"/>
      <c r="P41" s="3402"/>
      <c r="Q41" s="1261" t="str">
        <f t="shared" si="14"/>
        <v>宗地开发程度</v>
      </c>
      <c r="R41" s="662" t="s">
        <v>14</v>
      </c>
      <c r="S41" s="663">
        <f t="shared" si="10"/>
        <v>100</v>
      </c>
      <c r="T41" s="662" t="s">
        <v>14</v>
      </c>
      <c r="U41" s="663">
        <f t="shared" si="11"/>
        <v>100</v>
      </c>
      <c r="V41" s="662" t="s">
        <v>14</v>
      </c>
      <c r="W41" s="663">
        <f t="shared" si="12"/>
        <v>100</v>
      </c>
      <c r="X41" s="664"/>
      <c r="Y41" s="3402"/>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9"/>
      <c r="M42" s="2484"/>
      <c r="N42" s="2484"/>
      <c r="O42" s="2539"/>
      <c r="P42" s="3402" t="s">
        <v>1696</v>
      </c>
      <c r="Q42" s="1261" t="str">
        <f t="shared" si="14"/>
        <v>工程地质条件</v>
      </c>
      <c r="R42" s="665" t="s">
        <v>14</v>
      </c>
      <c r="S42" s="666">
        <f t="shared" si="10"/>
        <v>100</v>
      </c>
      <c r="T42" s="665" t="s">
        <v>14</v>
      </c>
      <c r="U42" s="666">
        <f t="shared" si="11"/>
        <v>100</v>
      </c>
      <c r="V42" s="665" t="s">
        <v>14</v>
      </c>
      <c r="W42" s="666">
        <f t="shared" si="12"/>
        <v>100</v>
      </c>
      <c r="X42" s="1263"/>
      <c r="Y42" s="3402"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9"/>
      <c r="M43" s="2484"/>
      <c r="N43" s="2484"/>
      <c r="O43" s="2539"/>
      <c r="P43" s="3402"/>
      <c r="Q43" s="1261">
        <f t="shared" si="14"/>
        <v>111</v>
      </c>
      <c r="R43" s="665" t="s">
        <v>14</v>
      </c>
      <c r="S43" s="666">
        <f t="shared" si="10"/>
        <v>100</v>
      </c>
      <c r="T43" s="665" t="s">
        <v>14</v>
      </c>
      <c r="U43" s="666">
        <f t="shared" si="11"/>
        <v>100</v>
      </c>
      <c r="V43" s="665" t="s">
        <v>14</v>
      </c>
      <c r="W43" s="666">
        <f t="shared" si="12"/>
        <v>100</v>
      </c>
      <c r="X43" s="1263"/>
      <c r="Y43" s="3402"/>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9"/>
      <c r="M44" s="2484"/>
      <c r="N44" s="2484"/>
      <c r="O44" s="2539"/>
      <c r="P44" s="3402"/>
      <c r="Q44" s="1261">
        <f t="shared" si="14"/>
        <v>111</v>
      </c>
      <c r="R44" s="665" t="s">
        <v>14</v>
      </c>
      <c r="S44" s="666">
        <f t="shared" si="10"/>
        <v>100</v>
      </c>
      <c r="T44" s="665" t="s">
        <v>14</v>
      </c>
      <c r="U44" s="666">
        <f t="shared" si="11"/>
        <v>100</v>
      </c>
      <c r="V44" s="665" t="s">
        <v>14</v>
      </c>
      <c r="W44" s="666">
        <f t="shared" si="12"/>
        <v>100</v>
      </c>
      <c r="X44" s="1263"/>
      <c r="Y44" s="3402"/>
      <c r="Z44" s="1262">
        <f t="shared" si="13"/>
        <v>111</v>
      </c>
      <c r="AA44" s="1262">
        <f t="shared" si="3"/>
        <v>1</v>
      </c>
      <c r="AB44" s="1262">
        <f t="shared" si="4"/>
        <v>1</v>
      </c>
      <c r="AC44" s="1262">
        <f t="shared" si="5"/>
        <v>1</v>
      </c>
    </row>
    <row r="45" spans="1:29" s="406" customFormat="1" ht="15.75"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8"/>
      <c r="M45" s="2490"/>
      <c r="N45" s="2490"/>
      <c r="O45" s="2540"/>
      <c r="P45" s="3402"/>
      <c r="Q45" s="1261">
        <f t="shared" si="14"/>
        <v>111</v>
      </c>
      <c r="R45" s="667" t="s">
        <v>14</v>
      </c>
      <c r="S45" s="668">
        <f t="shared" si="10"/>
        <v>100</v>
      </c>
      <c r="T45" s="667" t="s">
        <v>14</v>
      </c>
      <c r="U45" s="668">
        <f t="shared" si="11"/>
        <v>100</v>
      </c>
      <c r="V45" s="667" t="s">
        <v>14</v>
      </c>
      <c r="W45" s="668">
        <f t="shared" si="12"/>
        <v>100</v>
      </c>
      <c r="X45" s="669"/>
      <c r="Y45" s="3402"/>
      <c r="Z45" s="670">
        <f t="shared" si="13"/>
        <v>111</v>
      </c>
      <c r="AA45" s="1262">
        <f t="shared" si="3"/>
        <v>1</v>
      </c>
      <c r="AB45" s="1262">
        <f t="shared" si="4"/>
        <v>1</v>
      </c>
      <c r="AC45" s="1262">
        <f t="shared" si="5"/>
        <v>1</v>
      </c>
    </row>
    <row r="46" spans="1:29" ht="15">
      <c r="A46" s="414" t="s">
        <v>1844</v>
      </c>
      <c r="B46" s="1827" t="s">
        <v>1879</v>
      </c>
      <c r="C46" s="600" t="s">
        <v>0</v>
      </c>
      <c r="D46" s="416"/>
      <c r="E46" s="417"/>
      <c r="F46" s="418"/>
      <c r="G46" s="419"/>
      <c r="H46" s="420"/>
      <c r="I46" s="417"/>
      <c r="J46" s="420"/>
      <c r="K46" s="672"/>
      <c r="L46" s="2491"/>
      <c r="M46" s="2484"/>
      <c r="N46" s="2484"/>
      <c r="O46" s="2484"/>
      <c r="P46" s="3396" t="str">
        <f>A46</f>
        <v>成交单价</v>
      </c>
      <c r="Q46" s="3396"/>
      <c r="R46" s="3391">
        <f>E46</f>
        <v>0</v>
      </c>
      <c r="S46" s="3391"/>
      <c r="T46" s="3391">
        <f>G46</f>
        <v>0</v>
      </c>
      <c r="U46" s="3391"/>
      <c r="V46" s="3391">
        <f>I46</f>
        <v>0</v>
      </c>
      <c r="W46" s="3391"/>
      <c r="X46" s="383"/>
      <c r="Y46" s="671"/>
      <c r="Z46" s="383"/>
      <c r="AA46" s="383"/>
      <c r="AB46" s="383"/>
      <c r="AC46" s="383"/>
    </row>
    <row r="47" spans="1:29" ht="15.75" thickBot="1">
      <c r="A47" s="421" t="s">
        <v>1793</v>
      </c>
      <c r="B47" s="601"/>
      <c r="C47" s="424" t="e">
        <f>R48</f>
        <v>#DIV/0!</v>
      </c>
      <c r="D47" s="2138" t="s">
        <v>2138</v>
      </c>
      <c r="E47" s="424" t="e">
        <f>R47</f>
        <v>#DIV/0!</v>
      </c>
      <c r="F47" s="2139"/>
      <c r="G47" s="423" t="e">
        <f>T47</f>
        <v>#DIV/0!</v>
      </c>
      <c r="H47" s="2139"/>
      <c r="I47" s="424" t="e">
        <f>V47</f>
        <v>#DIV/0!</v>
      </c>
      <c r="J47" s="2139"/>
      <c r="K47" s="2141">
        <f>F47+H47+J47</f>
        <v>0</v>
      </c>
      <c r="L47" s="2491"/>
      <c r="M47" s="2484"/>
      <c r="N47" s="2484"/>
      <c r="O47" s="2484"/>
      <c r="P47" s="3396" t="str">
        <f>A47</f>
        <v>比较价值（元/平方米）</v>
      </c>
      <c r="Q47" s="3396"/>
      <c r="R47" s="3444" t="e">
        <f>ROUND(PRODUCT(R46,AA7:AA45),0)</f>
        <v>#DIV/0!</v>
      </c>
      <c r="S47" s="3444"/>
      <c r="T47" s="3444" t="e">
        <f>ROUND(PRODUCT(T46,AB7:AB45),0)</f>
        <v>#DIV/0!</v>
      </c>
      <c r="U47" s="3444"/>
      <c r="V47" s="3444" t="e">
        <f>ROUND(PRODUCT(V46,AC7:AC45),0)</f>
        <v>#DIV/0!</v>
      </c>
      <c r="W47" s="3444"/>
      <c r="X47" s="383"/>
      <c r="Y47" s="383"/>
      <c r="Z47" s="383"/>
      <c r="AA47" s="383"/>
      <c r="AB47" s="383"/>
      <c r="AC47" s="383"/>
    </row>
    <row r="48" spans="1:29" ht="15.75" thickBot="1">
      <c r="A48" s="425" t="s">
        <v>1880</v>
      </c>
      <c r="B48" s="426"/>
      <c r="C48" s="427" t="e">
        <f>R48</f>
        <v>#DIV/0!</v>
      </c>
      <c r="D48" s="427"/>
      <c r="E48" s="427"/>
      <c r="F48" s="427"/>
      <c r="G48" s="427"/>
      <c r="H48" s="427"/>
      <c r="I48" s="427"/>
      <c r="J48" s="427"/>
      <c r="K48" s="673"/>
      <c r="L48" s="2491"/>
      <c r="M48" s="2484"/>
      <c r="N48" s="2484"/>
      <c r="O48" s="2484"/>
      <c r="P48" s="3393" t="str">
        <f>A48</f>
        <v>估价对象XX用房的比较价值（楼面单价，元/平方米）</v>
      </c>
      <c r="Q48" s="3394"/>
      <c r="R48" s="3445" t="e">
        <f>ROUND(IF(D47="简单平均",AVERAGE(R47:W47),R47*F47+T47*H47+V47*J47),0)</f>
        <v>#DIV/0!</v>
      </c>
      <c r="S48" s="3445"/>
      <c r="T48" s="3445"/>
      <c r="U48" s="3445"/>
      <c r="V48" s="3445"/>
      <c r="W48" s="3445"/>
      <c r="X48" s="383"/>
      <c r="Y48" s="383"/>
      <c r="Z48" s="383"/>
      <c r="AA48" s="383"/>
      <c r="AB48" s="383"/>
      <c r="AC48" s="383"/>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3.5" customHeight="1">
      <c r="A53" s="2494"/>
      <c r="B53" s="2494"/>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2" t="s">
        <v>1881</v>
      </c>
      <c r="B55" s="603" t="s">
        <v>1882</v>
      </c>
      <c r="C55" s="1828" t="s">
        <v>1883</v>
      </c>
      <c r="D55" s="1829" t="s">
        <v>1884</v>
      </c>
      <c r="E55" s="604" t="s">
        <v>1885</v>
      </c>
      <c r="F55" s="835" t="s">
        <v>1886</v>
      </c>
      <c r="G55" s="3379" t="s">
        <v>1887</v>
      </c>
      <c r="H55" s="3446"/>
      <c r="I55" s="125" t="s">
        <v>1888</v>
      </c>
      <c r="J55" s="1830">
        <f>项目基本情况!F35</f>
        <v>0</v>
      </c>
      <c r="K55" s="1831" t="s">
        <v>1889</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1890</v>
      </c>
      <c r="B56" s="607" t="e">
        <f>C48</f>
        <v>#DIV/0!</v>
      </c>
      <c r="C56" s="608">
        <v>1</v>
      </c>
      <c r="D56" s="888">
        <v>1</v>
      </c>
      <c r="E56" s="608">
        <f>'数据-汇总表'!E8+'数据-汇总表'!E9</f>
        <v>143.31</v>
      </c>
      <c r="F56" s="831" t="e">
        <f t="shared" ref="F56:F64" si="15">ROUND(B56*E56/10000,0)</f>
        <v>#DIV/0!</v>
      </c>
      <c r="G56" s="3378"/>
      <c r="H56" s="3396"/>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1891</v>
      </c>
      <c r="B57" s="208" t="e">
        <f>ROUND($C$48*C57*D57,0)</f>
        <v>#DIV/0!</v>
      </c>
      <c r="C57" s="161">
        <f t="shared" ref="C57:C64" si="16">IF($C$55="北京市系数",I57,J57)</f>
        <v>0</v>
      </c>
      <c r="D57" s="889">
        <v>0.25</v>
      </c>
      <c r="E57" s="612"/>
      <c r="F57" s="831" t="e">
        <f t="shared" si="15"/>
        <v>#DIV/0!</v>
      </c>
      <c r="G57" s="2747" t="s">
        <v>1892</v>
      </c>
      <c r="H57" s="832">
        <f>项目基本情况!B37</f>
        <v>0</v>
      </c>
      <c r="I57" s="836">
        <f>SUMIF(修正!A57:A68,H57,修正!B57:B68)</f>
        <v>0</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1893</v>
      </c>
      <c r="B58" s="208" t="e">
        <f t="shared" ref="B58:B64" si="17">ROUND($C$48*C58*D58,0)</f>
        <v>#DIV/0!</v>
      </c>
      <c r="C58" s="161">
        <f t="shared" si="16"/>
        <v>0</v>
      </c>
      <c r="D58" s="889">
        <v>0.25</v>
      </c>
      <c r="E58" s="612"/>
      <c r="F58" s="831" t="e">
        <f t="shared" si="15"/>
        <v>#DIV/0!</v>
      </c>
      <c r="G58" s="2748"/>
      <c r="H58" s="832">
        <f>项目基本情况!B37</f>
        <v>0</v>
      </c>
      <c r="I58" s="836">
        <f>SUMIF(修正!A57:A68,H58,修正!C57:C68)</f>
        <v>0</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1894</v>
      </c>
      <c r="B59" s="208" t="e">
        <f t="shared" si="17"/>
        <v>#DIV/0!</v>
      </c>
      <c r="C59" s="161">
        <f t="shared" si="16"/>
        <v>0</v>
      </c>
      <c r="D59" s="889">
        <v>0.25</v>
      </c>
      <c r="E59" s="612"/>
      <c r="F59" s="831" t="e">
        <f t="shared" si="15"/>
        <v>#DIV/0!</v>
      </c>
      <c r="G59" s="2748"/>
      <c r="H59" s="832">
        <f>项目基本情况!B37</f>
        <v>0</v>
      </c>
      <c r="I59" s="836">
        <f>SUMIF(修正!A57:A68,H59,修正!D57:D68)</f>
        <v>0</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1895</v>
      </c>
      <c r="B60" s="208" t="e">
        <f t="shared" si="17"/>
        <v>#DIV/0!</v>
      </c>
      <c r="C60" s="161">
        <f t="shared" si="16"/>
        <v>0</v>
      </c>
      <c r="D60" s="889">
        <v>0.25</v>
      </c>
      <c r="E60" s="207">
        <f>'数据-汇总表'!E11</f>
        <v>0</v>
      </c>
      <c r="F60" s="831" t="e">
        <f t="shared" si="15"/>
        <v>#DIV/0!</v>
      </c>
      <c r="G60" s="1832" t="s">
        <v>1896</v>
      </c>
      <c r="H60" s="832">
        <f>项目基本情况!C37</f>
        <v>0</v>
      </c>
      <c r="I60" s="836">
        <f>SUMIF(修正!A57:A68,H60,修正!E57:E68)</f>
        <v>0</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1901</v>
      </c>
      <c r="B63" s="208" t="e">
        <f t="shared" si="17"/>
        <v>#DIV/0!</v>
      </c>
      <c r="C63" s="161">
        <f t="shared" si="16"/>
        <v>0</v>
      </c>
      <c r="D63" s="889">
        <v>0.25</v>
      </c>
      <c r="E63" s="207">
        <f>'数据-汇总表'!E14</f>
        <v>0</v>
      </c>
      <c r="F63" s="831" t="e">
        <f t="shared" si="15"/>
        <v>#DIV/0!</v>
      </c>
      <c r="G63" s="1832" t="s">
        <v>1892</v>
      </c>
      <c r="H63" s="832">
        <f>项目基本情况!B37</f>
        <v>0</v>
      </c>
      <c r="I63" s="836">
        <f>SUMIF(修正!A57:A68,H63,修正!G57:G68)</f>
        <v>0</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1902</v>
      </c>
      <c r="B64" s="208" t="e">
        <f t="shared" si="17"/>
        <v>#DIV/0!</v>
      </c>
      <c r="C64" s="161">
        <f t="shared" si="16"/>
        <v>0</v>
      </c>
      <c r="D64" s="889">
        <v>0.25</v>
      </c>
      <c r="E64" s="207">
        <f>'数据-汇总表'!E15</f>
        <v>0</v>
      </c>
      <c r="F64" s="831" t="e">
        <f t="shared" si="15"/>
        <v>#DIV/0!</v>
      </c>
      <c r="G64" s="1833" t="s">
        <v>1896</v>
      </c>
      <c r="H64" s="842">
        <f>项目基本情况!C37</f>
        <v>0</v>
      </c>
      <c r="I64" s="838">
        <f>SUMIF(修正!A57:A68,H64,修正!G57:G68)</f>
        <v>0</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1903</v>
      </c>
      <c r="B65" s="614" t="s">
        <v>22</v>
      </c>
      <c r="C65" s="614" t="s">
        <v>23</v>
      </c>
      <c r="D65" s="614" t="s">
        <v>392</v>
      </c>
      <c r="E65" s="614">
        <f>IF(B46="楼面地价",SUM(E56:E64),'数据-汇总表'!D3)</f>
        <v>143.31</v>
      </c>
      <c r="F65" s="615" t="e">
        <f>IF(B46="楼面地价",SUM(F56:F64),ROUND(C48*E65/10000,0))</f>
        <v>#DIV/0!</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3"/>
      <c r="B66" s="654"/>
      <c r="C66" s="655"/>
      <c r="D66" s="383"/>
      <c r="E66" s="383"/>
      <c r="F66" s="383"/>
      <c r="G66" s="383"/>
      <c r="H66" s="383"/>
      <c r="I66" s="383"/>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3"/>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4"/>
      <c r="Q67" s="2484"/>
      <c r="R67" s="2484"/>
      <c r="S67" s="2484"/>
      <c r="T67" s="2484"/>
      <c r="U67" s="2484"/>
      <c r="V67" s="2484"/>
      <c r="W67" s="2484"/>
      <c r="X67" s="2484"/>
      <c r="Y67" s="2484"/>
      <c r="Z67" s="2484"/>
      <c r="AA67" s="2484"/>
      <c r="AB67" s="2484"/>
      <c r="AC67" s="2484"/>
    </row>
    <row r="68" spans="1:29" ht="21.75" thickBot="1">
      <c r="A68" s="656" t="s">
        <v>1798</v>
      </c>
      <c r="B68" s="383"/>
      <c r="C68" s="657"/>
      <c r="D68" s="657"/>
      <c r="E68" s="657"/>
      <c r="F68" s="658"/>
      <c r="G68" s="658"/>
      <c r="H68" s="657"/>
      <c r="I68" s="657"/>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0" customFormat="1" ht="15">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7"/>
      <c r="Q69" s="2507"/>
      <c r="R69" s="2507"/>
      <c r="S69" s="2507"/>
      <c r="T69" s="2507"/>
      <c r="U69" s="2507"/>
      <c r="V69" s="2507"/>
      <c r="W69" s="2507"/>
      <c r="X69" s="2507"/>
      <c r="Y69" s="2507"/>
      <c r="Z69" s="2507"/>
      <c r="AA69" s="2507"/>
      <c r="AB69" s="2507"/>
      <c r="AC69" s="2507"/>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1" customFormat="1" ht="15.75" thickBot="1">
      <c r="A71" s="447" t="s">
        <v>1716</v>
      </c>
      <c r="B71" s="448"/>
      <c r="C71" s="449"/>
      <c r="D71" s="450"/>
      <c r="E71" s="450"/>
      <c r="F71" s="450"/>
      <c r="G71" s="450"/>
      <c r="H71" s="450"/>
      <c r="I71" s="450"/>
      <c r="J71" s="450"/>
      <c r="K71" s="450"/>
      <c r="L71" s="450"/>
      <c r="M71" s="451"/>
      <c r="N71" s="450"/>
      <c r="O71" s="887"/>
      <c r="P71" s="2505"/>
      <c r="Q71" s="2505"/>
      <c r="R71" s="2436"/>
      <c r="S71" s="2436"/>
      <c r="T71" s="2436"/>
      <c r="U71" s="2436"/>
      <c r="V71" s="2436"/>
      <c r="W71" s="2436"/>
      <c r="X71" s="2436"/>
      <c r="Y71" s="2436"/>
      <c r="Z71" s="2436"/>
      <c r="AA71" s="2436"/>
      <c r="AB71" s="2436"/>
      <c r="AC71" s="2436"/>
    </row>
    <row r="72" spans="1:29" s="101" customFormat="1" ht="15">
      <c r="A72" s="453" t="s">
        <v>1681</v>
      </c>
      <c r="B72" s="442"/>
      <c r="C72" s="454" t="s">
        <v>1776</v>
      </c>
      <c r="D72" s="31"/>
      <c r="E72" s="31"/>
      <c r="F72" s="31"/>
      <c r="G72" s="31"/>
      <c r="H72" s="31"/>
      <c r="I72" s="31"/>
      <c r="J72" s="31"/>
      <c r="K72" s="31"/>
      <c r="L72" s="455"/>
      <c r="M72" s="456"/>
      <c r="N72" s="2517"/>
      <c r="O72" s="2517"/>
      <c r="P72" s="2541"/>
      <c r="Q72" s="2505"/>
      <c r="R72" s="2436"/>
      <c r="S72" s="2436"/>
      <c r="T72" s="2436"/>
      <c r="U72" s="2436"/>
      <c r="V72" s="2436"/>
      <c r="W72" s="2436"/>
      <c r="X72" s="2436"/>
      <c r="Y72" s="2436"/>
      <c r="Z72" s="2436"/>
      <c r="AA72" s="2436"/>
      <c r="AB72" s="2436"/>
      <c r="AC72" s="2436"/>
    </row>
    <row r="73" spans="1:29" s="101" customFormat="1" ht="15.75" thickBot="1">
      <c r="A73" s="453"/>
      <c r="B73" s="442"/>
      <c r="C73" s="561">
        <v>100</v>
      </c>
      <c r="D73" s="444"/>
      <c r="E73" s="444"/>
      <c r="F73" s="444"/>
      <c r="G73" s="444"/>
      <c r="H73" s="444"/>
      <c r="I73" s="444"/>
      <c r="J73" s="444"/>
      <c r="K73" s="444"/>
      <c r="L73" s="444"/>
      <c r="M73" s="446"/>
      <c r="N73" s="2517"/>
      <c r="O73" s="2517"/>
      <c r="P73" s="2505"/>
      <c r="Q73" s="2505"/>
      <c r="R73" s="2436"/>
      <c r="S73" s="2436"/>
      <c r="T73" s="2436"/>
      <c r="U73" s="2436"/>
      <c r="V73" s="2436"/>
      <c r="W73" s="2436"/>
      <c r="X73" s="2436"/>
      <c r="Y73" s="2436"/>
      <c r="Z73" s="2436"/>
      <c r="AA73" s="2436"/>
      <c r="AB73" s="2436"/>
      <c r="AC73" s="2436"/>
    </row>
    <row r="74" spans="1:29">
      <c r="A74" s="377" t="s">
        <v>1719</v>
      </c>
      <c r="B74" s="458" t="s">
        <v>1685</v>
      </c>
      <c r="C74" s="460"/>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5"/>
      <c r="B75" s="464"/>
      <c r="C75" s="465"/>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5"/>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5"/>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5"/>
      <c r="B79" s="477"/>
      <c r="C79" s="478"/>
      <c r="D79" s="478"/>
      <c r="E79" s="478"/>
      <c r="F79" s="478"/>
      <c r="G79" s="478"/>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9"/>
      <c r="O80" s="2519"/>
      <c r="P80" s="2517"/>
      <c r="Q80" s="2505"/>
      <c r="R80" s="2484"/>
      <c r="S80" s="2484"/>
      <c r="T80" s="2484"/>
      <c r="U80" s="2484"/>
      <c r="V80" s="2484"/>
      <c r="W80" s="2484"/>
      <c r="X80" s="2484"/>
      <c r="Y80" s="2484"/>
      <c r="Z80" s="2484"/>
      <c r="AA80" s="2484"/>
      <c r="AB80" s="2484"/>
      <c r="AC80" s="2484"/>
    </row>
    <row r="81" spans="1:29" s="406" customFormat="1" ht="15.75" thickTop="1">
      <c r="A81" s="482"/>
      <c r="B81" s="467" t="str">
        <f>B12</f>
        <v>配建</v>
      </c>
      <c r="C81" s="483"/>
      <c r="D81" s="483"/>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6" customFormat="1" ht="15.75" thickBot="1">
      <c r="A82" s="482"/>
      <c r="B82" s="472"/>
      <c r="C82" s="489"/>
      <c r="D82" s="465"/>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6"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6"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6"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6"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7"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5"/>
      <c r="B89" s="467" t="s">
        <v>1906</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5"/>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5"/>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7"/>
      <c r="O95" s="2517"/>
      <c r="P95" s="2517"/>
      <c r="Q95" s="2505"/>
      <c r="R95" s="2436"/>
      <c r="S95" s="2436"/>
      <c r="T95" s="2436"/>
      <c r="U95" s="2436"/>
      <c r="V95" s="2436"/>
      <c r="W95" s="2436"/>
      <c r="X95" s="2436"/>
      <c r="Y95" s="2436"/>
      <c r="Z95" s="2436"/>
      <c r="AA95" s="2436"/>
      <c r="AB95" s="2436"/>
      <c r="AC95" s="2436"/>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9"/>
      <c r="O96" s="2519"/>
      <c r="P96" s="2517"/>
      <c r="Q96" s="2505"/>
      <c r="R96" s="2436"/>
      <c r="S96" s="2436"/>
      <c r="T96" s="2436"/>
      <c r="U96" s="2436"/>
      <c r="V96" s="2436"/>
      <c r="W96" s="2436"/>
      <c r="X96" s="2436"/>
      <c r="Y96" s="2436"/>
      <c r="Z96" s="2436"/>
      <c r="AA96" s="2436"/>
      <c r="AB96" s="2436"/>
      <c r="AC96" s="2436"/>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7"/>
      <c r="O97" s="2517"/>
      <c r="P97" s="2517"/>
      <c r="Q97" s="2505"/>
      <c r="R97" s="2436"/>
      <c r="S97" s="2436"/>
      <c r="T97" s="2436"/>
      <c r="U97" s="2436"/>
      <c r="V97" s="2436"/>
      <c r="W97" s="2436"/>
      <c r="X97" s="2436"/>
      <c r="Y97" s="2436"/>
      <c r="Z97" s="2436"/>
      <c r="AA97" s="2436"/>
      <c r="AB97" s="2436"/>
      <c r="AC97" s="2436"/>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9"/>
      <c r="O98" s="2519"/>
      <c r="P98" s="2517"/>
      <c r="Q98" s="2505"/>
      <c r="R98" s="2436"/>
      <c r="S98" s="2436"/>
      <c r="T98" s="2436"/>
      <c r="U98" s="2436"/>
      <c r="V98" s="2436"/>
      <c r="W98" s="2436"/>
      <c r="X98" s="2436"/>
      <c r="Y98" s="2436"/>
      <c r="Z98" s="2436"/>
      <c r="AA98" s="2436"/>
      <c r="AB98" s="2436"/>
      <c r="AC98" s="2436"/>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20"/>
      <c r="O101" s="2520"/>
      <c r="P101" s="2520"/>
      <c r="Q101" s="2512"/>
      <c r="R101" s="2490"/>
      <c r="S101" s="2490"/>
      <c r="T101" s="2490"/>
      <c r="U101" s="2490"/>
      <c r="V101" s="2490"/>
      <c r="W101" s="2490"/>
      <c r="X101" s="2490"/>
      <c r="Y101" s="2490"/>
      <c r="Z101" s="2490"/>
      <c r="AA101" s="2490"/>
      <c r="AB101" s="2490"/>
      <c r="AC101" s="2490"/>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5"/>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5"/>
      <c r="B107" s="467" t="s">
        <v>1873</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5"/>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5"/>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5"/>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6" customFormat="1" ht="15" thickTop="1">
      <c r="A113" s="404"/>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6"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5"/>
      <c r="B116" s="475"/>
      <c r="C116" s="6"/>
      <c r="D116" s="6"/>
      <c r="E116" s="6"/>
      <c r="F116" s="6"/>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5"/>
      <c r="B117" s="472"/>
      <c r="C117" s="499"/>
      <c r="D117" s="519"/>
      <c r="E117" s="519"/>
      <c r="F117" s="519"/>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7"/>
      <c r="B118" s="467" t="s">
        <v>1914</v>
      </c>
      <c r="C118" s="511"/>
      <c r="D118" s="511"/>
      <c r="E118" s="511"/>
      <c r="F118" s="511"/>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7"/>
      <c r="B120" s="467" t="s">
        <v>1915</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9"/>
      <c r="O121" s="2519"/>
      <c r="P121" s="2517"/>
      <c r="Q121" s="2505"/>
      <c r="R121" s="2484"/>
      <c r="S121" s="2484"/>
      <c r="T121" s="2484"/>
      <c r="U121" s="2484"/>
      <c r="V121" s="2484"/>
      <c r="W121" s="2484"/>
      <c r="X121" s="2484"/>
      <c r="Y121" s="2484"/>
      <c r="Z121" s="2484"/>
      <c r="AA121" s="2484"/>
      <c r="AB121" s="2484"/>
      <c r="AC121" s="2484"/>
    </row>
    <row r="122" spans="1:29" s="406" customFormat="1" ht="15" thickTop="1">
      <c r="A122" s="404"/>
      <c r="B122" s="467" t="s">
        <v>1916</v>
      </c>
      <c r="C122" s="483"/>
      <c r="D122" s="483"/>
      <c r="E122" s="483"/>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7"/>
      <c r="B124" s="467" t="s">
        <v>1917</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7"/>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5"/>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7"/>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5"/>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6" customFormat="1" ht="15" thickTop="1">
      <c r="A130" s="404"/>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6"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500"/>
      <c r="M2" s="2501"/>
      <c r="N2" s="2501"/>
      <c r="O2" s="2501"/>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500"/>
      <c r="M3" s="2501"/>
      <c r="N3" s="2501"/>
      <c r="O3" s="2501"/>
      <c r="P3" s="339"/>
      <c r="Q3" s="339"/>
      <c r="R3" s="339"/>
      <c r="S3" s="339"/>
      <c r="T3" s="339"/>
      <c r="U3" s="339"/>
      <c r="V3" s="339"/>
      <c r="W3" s="339"/>
      <c r="X3" s="339"/>
      <c r="Y3" s="339"/>
      <c r="Z3" s="339"/>
      <c r="AA3" s="339"/>
      <c r="AB3" s="674"/>
      <c r="AC3" s="661"/>
    </row>
    <row r="4" spans="1:29" ht="15">
      <c r="A4" s="343" t="s">
        <v>1769</v>
      </c>
      <c r="B4" s="344"/>
      <c r="C4" s="3379" t="s">
        <v>1770</v>
      </c>
      <c r="D4" s="3380"/>
      <c r="E4" s="3381" t="s">
        <v>1771</v>
      </c>
      <c r="F4" s="3382"/>
      <c r="G4" s="3379" t="s">
        <v>1772</v>
      </c>
      <c r="H4" s="3380"/>
      <c r="I4" s="3379" t="s">
        <v>1773</v>
      </c>
      <c r="J4" s="3380"/>
      <c r="K4" s="535" t="s">
        <v>1774</v>
      </c>
      <c r="L4" s="2483"/>
      <c r="M4" s="2484"/>
      <c r="N4" s="2484"/>
      <c r="O4" s="2484"/>
      <c r="P4" s="3383" t="s">
        <v>1775</v>
      </c>
      <c r="Q4" s="3384"/>
      <c r="R4" s="3366" t="s">
        <v>1771</v>
      </c>
      <c r="S4" s="3367"/>
      <c r="T4" s="3366" t="s">
        <v>1772</v>
      </c>
      <c r="U4" s="3367"/>
      <c r="V4" s="3391" t="s">
        <v>1773</v>
      </c>
      <c r="W4" s="3391"/>
      <c r="X4" s="1263"/>
      <c r="Y4" s="3366" t="s">
        <v>1775</v>
      </c>
      <c r="Z4" s="3367"/>
      <c r="AA4" s="3361" t="s">
        <v>1771</v>
      </c>
      <c r="AB4" s="3362" t="s">
        <v>1772</v>
      </c>
      <c r="AC4" s="3361" t="s">
        <v>1773</v>
      </c>
    </row>
    <row r="5" spans="1:29" ht="15">
      <c r="A5" s="346"/>
      <c r="B5" s="347"/>
      <c r="C5" s="3372" t="s">
        <v>1673</v>
      </c>
      <c r="D5" s="3373"/>
      <c r="E5" s="3370" t="s">
        <v>1674</v>
      </c>
      <c r="F5" s="3371"/>
      <c r="G5" s="3372" t="s">
        <v>1675</v>
      </c>
      <c r="H5" s="3373"/>
      <c r="I5" s="3372" t="s">
        <v>1676</v>
      </c>
      <c r="J5" s="3373"/>
      <c r="K5" s="535"/>
      <c r="L5" s="2483"/>
      <c r="M5" s="2484"/>
      <c r="N5" s="2484"/>
      <c r="O5" s="2484"/>
      <c r="P5" s="3385"/>
      <c r="Q5" s="3386"/>
      <c r="R5" s="3368"/>
      <c r="S5" s="3369"/>
      <c r="T5" s="3368"/>
      <c r="U5" s="3369"/>
      <c r="V5" s="3391"/>
      <c r="W5" s="3391"/>
      <c r="X5" s="1263"/>
      <c r="Y5" s="3368"/>
      <c r="Z5" s="3369"/>
      <c r="AA5" s="3362"/>
      <c r="AB5" s="3362"/>
      <c r="AC5" s="3362"/>
    </row>
    <row r="6" spans="1:29" ht="15.75" thickBot="1">
      <c r="A6" s="348"/>
      <c r="B6" s="349"/>
      <c r="C6" s="3447" t="s">
        <v>1919</v>
      </c>
      <c r="D6" s="3448"/>
      <c r="E6" s="3449" t="s">
        <v>1919</v>
      </c>
      <c r="F6" s="3450"/>
      <c r="G6" s="3447" t="s">
        <v>1919</v>
      </c>
      <c r="H6" s="3448"/>
      <c r="I6" s="3447" t="s">
        <v>1919</v>
      </c>
      <c r="J6" s="3448"/>
      <c r="K6" s="535" t="s">
        <v>1678</v>
      </c>
      <c r="L6" s="2483"/>
      <c r="M6" s="2484"/>
      <c r="N6" s="2484"/>
      <c r="O6" s="2484"/>
      <c r="P6" s="3387"/>
      <c r="Q6" s="3388"/>
      <c r="R6" s="3368"/>
      <c r="S6" s="3369"/>
      <c r="T6" s="3389"/>
      <c r="U6" s="3390"/>
      <c r="V6" s="3391"/>
      <c r="W6" s="3391"/>
      <c r="X6" s="1263"/>
      <c r="Y6" s="3389"/>
      <c r="Z6" s="3390"/>
      <c r="AA6" s="3363"/>
      <c r="AB6" s="3363"/>
      <c r="AC6" s="3363"/>
    </row>
    <row r="7" spans="1:29" s="101" customFormat="1" ht="15.75" thickBot="1">
      <c r="A7" s="350" t="s">
        <v>1679</v>
      </c>
      <c r="B7" s="351"/>
      <c r="C7" s="352">
        <f>'数据-取费表'!B2</f>
        <v>45755</v>
      </c>
      <c r="D7" s="353">
        <v>100</v>
      </c>
      <c r="E7" s="354"/>
      <c r="F7" s="355">
        <f>SUMIF(65:65,YEAR(E7)&amp;"-"&amp;INT((MONTH(E7)+2)/3),66:66)</f>
        <v>0</v>
      </c>
      <c r="G7" s="1819"/>
      <c r="H7" s="353">
        <f>SUMIF(65:65,YEAR(G7)&amp;"-"&amp;INT((MONTH(G7)+2)/3),66:66)</f>
        <v>0</v>
      </c>
      <c r="I7" s="1819"/>
      <c r="J7" s="353">
        <f>SUMIF(65:65,YEAR(I7)&amp;"-"&amp;INT((MONTH(I7)+2)/3),66:66)</f>
        <v>0</v>
      </c>
      <c r="K7" s="38"/>
      <c r="L7" s="2485"/>
      <c r="M7" s="2436"/>
      <c r="N7" s="2436"/>
      <c r="O7" s="2436"/>
      <c r="P7" s="3364" t="s">
        <v>1680</v>
      </c>
      <c r="Q7" s="3392"/>
      <c r="R7" s="662" t="s">
        <v>14</v>
      </c>
      <c r="S7" s="663">
        <f t="shared" ref="S7:S15" si="0">F7</f>
        <v>0</v>
      </c>
      <c r="T7" s="662" t="s">
        <v>14</v>
      </c>
      <c r="U7" s="663">
        <f t="shared" ref="U7:U15" si="1">H7</f>
        <v>0</v>
      </c>
      <c r="V7" s="662" t="s">
        <v>14</v>
      </c>
      <c r="W7" s="663">
        <f t="shared" ref="W7:W15" si="2">J7</f>
        <v>0</v>
      </c>
      <c r="X7" s="664"/>
      <c r="Y7" s="3364" t="s">
        <v>1680</v>
      </c>
      <c r="Z7" s="3365"/>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5"/>
      <c r="M8" s="2436"/>
      <c r="N8" s="2436"/>
      <c r="O8" s="2436"/>
      <c r="P8" s="3364" t="s">
        <v>1683</v>
      </c>
      <c r="Q8" s="3365"/>
      <c r="R8" s="662" t="s">
        <v>14</v>
      </c>
      <c r="S8" s="663">
        <f t="shared" si="0"/>
        <v>0</v>
      </c>
      <c r="T8" s="662" t="s">
        <v>14</v>
      </c>
      <c r="U8" s="663">
        <f t="shared" si="1"/>
        <v>0</v>
      </c>
      <c r="V8" s="662" t="s">
        <v>14</v>
      </c>
      <c r="W8" s="663">
        <f t="shared" si="2"/>
        <v>0</v>
      </c>
      <c r="X8" s="664"/>
      <c r="Y8" s="3364" t="s">
        <v>1683</v>
      </c>
      <c r="Z8" s="3365"/>
      <c r="AA8" s="50" t="e">
        <f t="shared" ref="AA8:AA40" si="3">D8/F8</f>
        <v>#DIV/0!</v>
      </c>
      <c r="AB8" s="50" t="e">
        <f t="shared" ref="AB8:AB40" si="4">D8/H8</f>
        <v>#DIV/0!</v>
      </c>
      <c r="AC8" s="50" t="e">
        <f t="shared" ref="AC8:AC40" si="5">D8/J8</f>
        <v>#DIV/0!</v>
      </c>
    </row>
    <row r="9" spans="1:29" s="101"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5"/>
      <c r="M9" s="2436"/>
      <c r="N9" s="2436"/>
      <c r="O9" s="2537"/>
      <c r="P9" s="3396"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69"/>
      <c r="D10" s="118">
        <v>100</v>
      </c>
      <c r="E10" s="369"/>
      <c r="F10" s="118">
        <f>ROUND(100/'数据-取费表'!G16,0)</f>
        <v>116</v>
      </c>
      <c r="G10" s="369"/>
      <c r="H10" s="118">
        <f>ROUND(100/'数据-取费表'!G16,0)</f>
        <v>116</v>
      </c>
      <c r="I10" s="369"/>
      <c r="J10" s="118">
        <f>ROUND(100/'数据-取费表'!G16,0)</f>
        <v>116</v>
      </c>
      <c r="K10" s="590"/>
      <c r="L10" s="2486"/>
      <c r="M10" s="2487"/>
      <c r="N10" s="2487"/>
      <c r="O10" s="2538"/>
      <c r="P10" s="3396"/>
      <c r="Q10" s="528" t="str">
        <f t="shared" si="6"/>
        <v>土地使用年限（年）</v>
      </c>
      <c r="R10" s="662" t="s">
        <v>14</v>
      </c>
      <c r="S10" s="663">
        <f t="shared" si="0"/>
        <v>116</v>
      </c>
      <c r="T10" s="662" t="s">
        <v>14</v>
      </c>
      <c r="U10" s="663">
        <f t="shared" si="1"/>
        <v>116</v>
      </c>
      <c r="V10" s="662" t="s">
        <v>14</v>
      </c>
      <c r="W10" s="663">
        <f t="shared" si="2"/>
        <v>116</v>
      </c>
      <c r="X10" s="664"/>
      <c r="Y10" s="3329"/>
      <c r="Z10" s="50" t="str">
        <f t="shared" si="7"/>
        <v>土地使用年限（年）</v>
      </c>
      <c r="AA10" s="50">
        <f t="shared" si="3"/>
        <v>0.86206896551724133</v>
      </c>
      <c r="AB10" s="50">
        <f t="shared" si="4"/>
        <v>0.86206896551724133</v>
      </c>
      <c r="AC10" s="50">
        <f t="shared" si="5"/>
        <v>0.86206896551724133</v>
      </c>
    </row>
    <row r="11" spans="1:29" ht="15">
      <c r="A11" s="365"/>
      <c r="B11" s="362" t="s">
        <v>1689</v>
      </c>
      <c r="C11" s="366"/>
      <c r="D11" s="118">
        <v>100</v>
      </c>
      <c r="E11" s="366"/>
      <c r="F11" s="118" t="e">
        <f>LOOKUP(E11,75:75,76:76)-LOOKUP(C11,75:75,76:76)+100</f>
        <v>#N/A</v>
      </c>
      <c r="G11" s="367"/>
      <c r="H11" s="118" t="e">
        <f>LOOKUP(G11,75:75,76:76)-LOOKUP(C11,75:75,76:76)+100</f>
        <v>#N/A</v>
      </c>
      <c r="I11" s="366"/>
      <c r="J11" s="118" t="e">
        <f>LOOKUP(I11,75:75,76:76)-LOOKUP(C11,75:75,76:76)+100</f>
        <v>#N/A</v>
      </c>
      <c r="K11" s="591"/>
      <c r="L11" s="2488"/>
      <c r="M11" s="2484"/>
      <c r="N11" s="2484"/>
      <c r="O11" s="2539"/>
      <c r="P11" s="3396"/>
      <c r="Q11" s="528" t="str">
        <f t="shared" si="6"/>
        <v>容积率</v>
      </c>
      <c r="R11" s="662" t="s">
        <v>14</v>
      </c>
      <c r="S11" s="663" t="e">
        <f t="shared" si="0"/>
        <v>#N/A</v>
      </c>
      <c r="T11" s="662" t="s">
        <v>14</v>
      </c>
      <c r="U11" s="663" t="e">
        <f t="shared" si="1"/>
        <v>#N/A</v>
      </c>
      <c r="V11" s="662" t="s">
        <v>14</v>
      </c>
      <c r="W11" s="663" t="e">
        <f t="shared" si="2"/>
        <v>#N/A</v>
      </c>
      <c r="X11" s="664"/>
      <c r="Y11" s="3329"/>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8">
        <f>SUMIF(77:77,E12,78:78)-SUMIF(77:77,C12,78:78)+100</f>
        <v>100</v>
      </c>
      <c r="G12" s="592"/>
      <c r="H12" s="118">
        <f>SUMIF(77:77,G12,78:78)-SUMIF(77:77,C12,78:78)+100</f>
        <v>100</v>
      </c>
      <c r="I12" s="478"/>
      <c r="J12" s="118">
        <f>SUMIF(77:77,I12,78:78)-SUMIF(77:77,C12,78:78)+100</f>
        <v>100</v>
      </c>
      <c r="K12" s="590"/>
      <c r="L12" s="2485"/>
      <c r="M12" s="2436"/>
      <c r="N12" s="2436"/>
      <c r="O12" s="2537"/>
      <c r="P12" s="339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
      <c r="A13" s="365"/>
      <c r="B13" s="445">
        <v>111</v>
      </c>
      <c r="C13" s="371"/>
      <c r="D13" s="372">
        <v>100</v>
      </c>
      <c r="E13" s="478"/>
      <c r="F13" s="118">
        <f>SUMIF(79:79,E13,80:80)-SUMIF(79:79,C13,80:80)+100</f>
        <v>100</v>
      </c>
      <c r="G13" s="592"/>
      <c r="H13" s="372">
        <f>SUMIF(79:79,G13,80:80)-SUMIF(79:79,C13,80:80)+100</f>
        <v>100</v>
      </c>
      <c r="I13" s="478"/>
      <c r="J13" s="372">
        <f>SUMIF(79:79,I13,80:80)-SUMIF(79:79,C13,80:80)+100</f>
        <v>100</v>
      </c>
      <c r="K13" s="590"/>
      <c r="L13" s="2489"/>
      <c r="M13" s="2484"/>
      <c r="N13" s="2484"/>
      <c r="O13" s="2539"/>
      <c r="P13" s="339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75"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9"/>
      <c r="M14" s="2484"/>
      <c r="N14" s="2484"/>
      <c r="O14" s="2539"/>
      <c r="P14" s="3396"/>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50">
        <f t="shared" si="5"/>
        <v>1</v>
      </c>
    </row>
    <row r="15" spans="1:29" ht="57">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9"/>
      <c r="M15" s="2484"/>
      <c r="N15" s="2484"/>
      <c r="O15" s="2539"/>
      <c r="P15" s="3397" t="s">
        <v>1691</v>
      </c>
      <c r="Q15" s="1261" t="str">
        <f t="shared" si="6"/>
        <v>产业集聚程度</v>
      </c>
      <c r="R15" s="665" t="s">
        <v>14</v>
      </c>
      <c r="S15" s="666">
        <f t="shared" si="0"/>
        <v>100</v>
      </c>
      <c r="T15" s="665" t="s">
        <v>14</v>
      </c>
      <c r="U15" s="666">
        <f t="shared" si="1"/>
        <v>100</v>
      </c>
      <c r="V15" s="665" t="s">
        <v>14</v>
      </c>
      <c r="W15" s="666">
        <f t="shared" si="2"/>
        <v>100</v>
      </c>
      <c r="X15" s="1263"/>
      <c r="Y15" s="3397"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9"/>
      <c r="M16" s="2484"/>
      <c r="N16" s="2484"/>
      <c r="O16" s="2539"/>
      <c r="P16" s="3398"/>
      <c r="Q16" s="1261"/>
      <c r="R16" s="665"/>
      <c r="S16" s="666"/>
      <c r="T16" s="665"/>
      <c r="U16" s="666"/>
      <c r="V16" s="665"/>
      <c r="W16" s="666"/>
      <c r="X16" s="1263"/>
      <c r="Y16" s="3398"/>
      <c r="Z16" s="1262"/>
      <c r="AA16" s="1262">
        <v>1</v>
      </c>
      <c r="AB16" s="1262">
        <v>1</v>
      </c>
      <c r="AC16" s="1262">
        <v>1</v>
      </c>
    </row>
    <row r="17" spans="1:29" ht="85.5">
      <c r="A17" s="365"/>
      <c r="B17" s="554" t="s">
        <v>1833</v>
      </c>
      <c r="C17" s="1752"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9"/>
      <c r="M17" s="2484"/>
      <c r="N17" s="2484"/>
      <c r="O17" s="2539"/>
      <c r="P17" s="3398"/>
      <c r="Q17" s="1261" t="str">
        <f>B17</f>
        <v>交通便捷度</v>
      </c>
      <c r="R17" s="665" t="s">
        <v>14</v>
      </c>
      <c r="S17" s="666">
        <f>F17</f>
        <v>100</v>
      </c>
      <c r="T17" s="665" t="s">
        <v>14</v>
      </c>
      <c r="U17" s="666">
        <f>H17</f>
        <v>100</v>
      </c>
      <c r="V17" s="665" t="s">
        <v>14</v>
      </c>
      <c r="W17" s="666">
        <f>J17</f>
        <v>100</v>
      </c>
      <c r="X17" s="1263"/>
      <c r="Y17" s="3398"/>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9"/>
      <c r="M18" s="2484"/>
      <c r="N18" s="2484"/>
      <c r="O18" s="2539"/>
      <c r="P18" s="3398"/>
      <c r="Q18" s="1261"/>
      <c r="R18" s="665"/>
      <c r="S18" s="666"/>
      <c r="T18" s="665"/>
      <c r="U18" s="666"/>
      <c r="V18" s="665"/>
      <c r="W18" s="666"/>
      <c r="X18" s="1263"/>
      <c r="Y18" s="3398"/>
      <c r="Z18" s="1262"/>
      <c r="AA18" s="1262">
        <v>1</v>
      </c>
      <c r="AB18" s="1262">
        <v>1</v>
      </c>
      <c r="AC18" s="1262">
        <v>1</v>
      </c>
    </row>
    <row r="19" spans="1:29" ht="15">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9"/>
      <c r="M19" s="2484"/>
      <c r="N19" s="2484"/>
      <c r="O19" s="2539"/>
      <c r="P19" s="3398"/>
      <c r="Q19" s="1261" t="str">
        <f t="shared" ref="Q19:Q33" si="8">B19</f>
        <v>区域土地利用方向</v>
      </c>
      <c r="R19" s="665" t="s">
        <v>14</v>
      </c>
      <c r="S19" s="666">
        <f>F19</f>
        <v>100</v>
      </c>
      <c r="T19" s="665" t="s">
        <v>14</v>
      </c>
      <c r="U19" s="666">
        <f>H19</f>
        <v>100</v>
      </c>
      <c r="V19" s="665" t="s">
        <v>14</v>
      </c>
      <c r="W19" s="666">
        <f>J19</f>
        <v>100</v>
      </c>
      <c r="X19" s="1263"/>
      <c r="Y19" s="3398"/>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9"/>
      <c r="M20" s="2484"/>
      <c r="N20" s="2484"/>
      <c r="O20" s="2539"/>
      <c r="P20" s="3398"/>
      <c r="Q20" s="1261"/>
      <c r="R20" s="665"/>
      <c r="S20" s="666"/>
      <c r="T20" s="665"/>
      <c r="U20" s="666"/>
      <c r="V20" s="665"/>
      <c r="W20" s="666"/>
      <c r="X20" s="1263"/>
      <c r="Y20" s="3398"/>
      <c r="Z20" s="1262"/>
      <c r="AA20" s="1262"/>
      <c r="AB20" s="1262"/>
      <c r="AC20" s="1262"/>
    </row>
    <row r="21" spans="1:29" ht="71.25">
      <c r="A21" s="346"/>
      <c r="B21" s="554" t="s">
        <v>1921</v>
      </c>
      <c r="C21" s="1752"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9"/>
      <c r="M21" s="2484"/>
      <c r="N21" s="2484"/>
      <c r="O21" s="2539"/>
      <c r="P21" s="3398"/>
      <c r="Q21" s="1261" t="str">
        <f t="shared" si="8"/>
        <v>环境状况</v>
      </c>
      <c r="R21" s="665" t="s">
        <v>14</v>
      </c>
      <c r="S21" s="666">
        <f>F21</f>
        <v>100</v>
      </c>
      <c r="T21" s="665" t="s">
        <v>14</v>
      </c>
      <c r="U21" s="666">
        <f>H21</f>
        <v>100</v>
      </c>
      <c r="V21" s="665" t="s">
        <v>14</v>
      </c>
      <c r="W21" s="666">
        <f>J21</f>
        <v>100</v>
      </c>
      <c r="X21" s="1263"/>
      <c r="Y21" s="3398"/>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9"/>
      <c r="M22" s="2484"/>
      <c r="N22" s="2484"/>
      <c r="O22" s="2539"/>
      <c r="P22" s="3398"/>
      <c r="Q22" s="1261"/>
      <c r="R22" s="665"/>
      <c r="S22" s="666"/>
      <c r="T22" s="665"/>
      <c r="U22" s="666"/>
      <c r="V22" s="665"/>
      <c r="W22" s="666"/>
      <c r="X22" s="1263"/>
      <c r="Y22" s="3398"/>
      <c r="Z22" s="1262"/>
      <c r="AA22" s="1262">
        <v>1</v>
      </c>
      <c r="AB22" s="1262">
        <v>1</v>
      </c>
      <c r="AC22" s="1262">
        <v>1</v>
      </c>
    </row>
    <row r="23" spans="1:29" s="101" customFormat="1" ht="42.75">
      <c r="A23" s="441"/>
      <c r="B23" s="555" t="s">
        <v>1778</v>
      </c>
      <c r="C23" s="1752"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5"/>
      <c r="M23" s="2436"/>
      <c r="N23" s="2436"/>
      <c r="O23" s="2537"/>
      <c r="P23" s="3398"/>
      <c r="Q23" s="528" t="str">
        <f t="shared" si="8"/>
        <v>公共配套设施</v>
      </c>
      <c r="R23" s="662" t="s">
        <v>14</v>
      </c>
      <c r="S23" s="663">
        <f>F23</f>
        <v>100</v>
      </c>
      <c r="T23" s="662" t="s">
        <v>14</v>
      </c>
      <c r="U23" s="663">
        <f>H23</f>
        <v>100</v>
      </c>
      <c r="V23" s="662" t="s">
        <v>14</v>
      </c>
      <c r="W23" s="663">
        <f>J23</f>
        <v>100</v>
      </c>
      <c r="X23" s="664"/>
      <c r="Y23" s="3398"/>
      <c r="Z23" s="50" t="str">
        <f>Q23</f>
        <v>公共配套设施</v>
      </c>
      <c r="AA23" s="1262">
        <f>D23/F23</f>
        <v>1</v>
      </c>
      <c r="AB23" s="1262">
        <f>D23/H23</f>
        <v>1</v>
      </c>
      <c r="AC23" s="1262">
        <f>D23/J23</f>
        <v>1</v>
      </c>
    </row>
    <row r="24" spans="1:29" s="101" customFormat="1" ht="15">
      <c r="A24" s="441"/>
      <c r="B24" s="399"/>
      <c r="C24" s="1823"/>
      <c r="D24" s="385"/>
      <c r="E24" s="1756"/>
      <c r="F24" s="385"/>
      <c r="G24" s="1756"/>
      <c r="H24" s="385"/>
      <c r="I24" s="384"/>
      <c r="J24" s="385"/>
      <c r="K24" s="590"/>
      <c r="L24" s="2485"/>
      <c r="M24" s="2436"/>
      <c r="N24" s="2436"/>
      <c r="O24" s="2537"/>
      <c r="P24" s="3398"/>
      <c r="Q24" s="528"/>
      <c r="R24" s="662"/>
      <c r="S24" s="663"/>
      <c r="T24" s="662"/>
      <c r="U24" s="663"/>
      <c r="V24" s="662"/>
      <c r="W24" s="663"/>
      <c r="X24" s="664"/>
      <c r="Y24" s="3398"/>
      <c r="Z24" s="50"/>
      <c r="AA24" s="50">
        <v>1</v>
      </c>
      <c r="AB24" s="50">
        <v>1</v>
      </c>
      <c r="AC24" s="50">
        <v>1</v>
      </c>
    </row>
    <row r="25" spans="1:29" s="101" customFormat="1" ht="28.5">
      <c r="A25" s="441"/>
      <c r="B25" s="555" t="s">
        <v>1779</v>
      </c>
      <c r="C25" s="1752"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5"/>
      <c r="M25" s="2436"/>
      <c r="N25" s="2436"/>
      <c r="O25" s="2537"/>
      <c r="P25" s="3398"/>
      <c r="Q25" s="528" t="str">
        <f t="shared" ref="Q25" si="9">B25</f>
        <v>基础设施水平</v>
      </c>
      <c r="R25" s="662" t="s">
        <v>14</v>
      </c>
      <c r="S25" s="663">
        <f>F25</f>
        <v>100</v>
      </c>
      <c r="T25" s="662" t="s">
        <v>14</v>
      </c>
      <c r="U25" s="663">
        <f>H25</f>
        <v>100</v>
      </c>
      <c r="V25" s="662" t="s">
        <v>14</v>
      </c>
      <c r="W25" s="663">
        <f>J25</f>
        <v>100</v>
      </c>
      <c r="X25" s="664"/>
      <c r="Y25" s="3398"/>
      <c r="Z25" s="50" t="str">
        <f>Q25</f>
        <v>基础设施水平</v>
      </c>
      <c r="AA25" s="1262">
        <f>D25/F25</f>
        <v>1</v>
      </c>
      <c r="AB25" s="1262">
        <f>D25/H25</f>
        <v>1</v>
      </c>
      <c r="AC25" s="1262">
        <f>D25/J25</f>
        <v>1</v>
      </c>
    </row>
    <row r="26" spans="1:29" s="101" customFormat="1" ht="15">
      <c r="A26" s="441"/>
      <c r="B26" s="399"/>
      <c r="C26" s="1823"/>
      <c r="D26" s="385"/>
      <c r="E26" s="1824"/>
      <c r="F26" s="385"/>
      <c r="G26" s="1824"/>
      <c r="H26" s="385"/>
      <c r="I26" s="1824"/>
      <c r="J26" s="385"/>
      <c r="K26" s="590"/>
      <c r="L26" s="2485"/>
      <c r="M26" s="2436"/>
      <c r="N26" s="2436"/>
      <c r="O26" s="2537"/>
      <c r="P26" s="3398"/>
      <c r="Q26" s="528"/>
      <c r="R26" s="662"/>
      <c r="S26" s="663"/>
      <c r="T26" s="662"/>
      <c r="U26" s="663"/>
      <c r="V26" s="662"/>
      <c r="W26" s="663"/>
      <c r="X26" s="664"/>
      <c r="Y26" s="3398"/>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9"/>
      <c r="M27" s="2484"/>
      <c r="N27" s="2484"/>
      <c r="O27" s="2539"/>
      <c r="P27" s="3398"/>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98"/>
      <c r="Z27" s="1262" t="str">
        <f t="shared" ref="Z27:Z40" si="13">Q27</f>
        <v>临街状况</v>
      </c>
      <c r="AA27" s="1262">
        <f t="shared" si="3"/>
        <v>1</v>
      </c>
      <c r="AB27" s="1262">
        <f t="shared" si="4"/>
        <v>1</v>
      </c>
      <c r="AC27" s="1262">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9"/>
      <c r="M28" s="2484"/>
      <c r="N28" s="2484"/>
      <c r="O28" s="2539"/>
      <c r="P28" s="3398"/>
      <c r="Q28" s="1261" t="str">
        <f t="shared" si="8"/>
        <v>毗邻道路的类型与等级</v>
      </c>
      <c r="R28" s="665" t="s">
        <v>14</v>
      </c>
      <c r="S28" s="666">
        <f t="shared" si="10"/>
        <v>100</v>
      </c>
      <c r="T28" s="665" t="s">
        <v>14</v>
      </c>
      <c r="U28" s="666">
        <f t="shared" si="11"/>
        <v>100</v>
      </c>
      <c r="V28" s="665" t="s">
        <v>14</v>
      </c>
      <c r="W28" s="666">
        <f t="shared" si="12"/>
        <v>100</v>
      </c>
      <c r="X28" s="1263"/>
      <c r="Y28" s="3398"/>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9"/>
      <c r="M29" s="2484"/>
      <c r="N29" s="2484"/>
      <c r="O29" s="2539"/>
      <c r="P29" s="3398"/>
      <c r="Q29" s="1261"/>
      <c r="R29" s="665"/>
      <c r="S29" s="666"/>
      <c r="T29" s="665"/>
      <c r="U29" s="666"/>
      <c r="V29" s="665"/>
      <c r="W29" s="666"/>
      <c r="X29" s="1263"/>
      <c r="Y29" s="3398"/>
      <c r="Z29" s="1262"/>
      <c r="AA29" s="1262">
        <v>1</v>
      </c>
      <c r="AB29" s="1262">
        <v>1</v>
      </c>
      <c r="AC29" s="1262">
        <v>1</v>
      </c>
    </row>
    <row r="30" spans="1:29" ht="15">
      <c r="A30" s="365"/>
      <c r="B30" s="118"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9"/>
      <c r="M30" s="2484"/>
      <c r="N30" s="2484"/>
      <c r="O30" s="2539"/>
      <c r="P30" s="3398"/>
      <c r="Q30" s="1261" t="str">
        <f t="shared" si="8"/>
        <v>土地级别</v>
      </c>
      <c r="R30" s="665" t="s">
        <v>14</v>
      </c>
      <c r="S30" s="666">
        <f t="shared" si="10"/>
        <v>100</v>
      </c>
      <c r="T30" s="665" t="s">
        <v>14</v>
      </c>
      <c r="U30" s="666">
        <f t="shared" si="11"/>
        <v>100</v>
      </c>
      <c r="V30" s="665" t="s">
        <v>14</v>
      </c>
      <c r="W30" s="666">
        <f t="shared" si="12"/>
        <v>100</v>
      </c>
      <c r="X30" s="1263"/>
      <c r="Y30" s="3398"/>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9"/>
      <c r="M31" s="2484"/>
      <c r="N31" s="2484"/>
      <c r="O31" s="2539"/>
      <c r="P31" s="3398"/>
      <c r="Q31" s="1261">
        <f t="shared" si="8"/>
        <v>111</v>
      </c>
      <c r="R31" s="665" t="s">
        <v>14</v>
      </c>
      <c r="S31" s="666">
        <f t="shared" si="10"/>
        <v>100</v>
      </c>
      <c r="T31" s="665" t="s">
        <v>14</v>
      </c>
      <c r="U31" s="666">
        <f t="shared" si="11"/>
        <v>100</v>
      </c>
      <c r="V31" s="665" t="s">
        <v>14</v>
      </c>
      <c r="W31" s="666">
        <f t="shared" si="12"/>
        <v>100</v>
      </c>
      <c r="X31" s="1263"/>
      <c r="Y31" s="3398"/>
      <c r="Z31" s="1262">
        <f t="shared" si="13"/>
        <v>111</v>
      </c>
      <c r="AA31" s="1262">
        <f t="shared" si="3"/>
        <v>1</v>
      </c>
      <c r="AB31" s="1262">
        <f t="shared" si="4"/>
        <v>1</v>
      </c>
      <c r="AC31" s="1262">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9"/>
      <c r="M32" s="2484"/>
      <c r="N32" s="2484"/>
      <c r="O32" s="2539"/>
      <c r="P32" s="3442" t="s">
        <v>1696</v>
      </c>
      <c r="Q32" s="1261">
        <f t="shared" si="8"/>
        <v>111</v>
      </c>
      <c r="R32" s="665" t="s">
        <v>14</v>
      </c>
      <c r="S32" s="666">
        <f t="shared" si="10"/>
        <v>100</v>
      </c>
      <c r="T32" s="665" t="s">
        <v>14</v>
      </c>
      <c r="U32" s="666">
        <f t="shared" si="11"/>
        <v>100</v>
      </c>
      <c r="V32" s="665" t="s">
        <v>14</v>
      </c>
      <c r="W32" s="666">
        <f t="shared" si="12"/>
        <v>100</v>
      </c>
      <c r="X32" s="1263"/>
      <c r="Y32" s="3402" t="s">
        <v>1696</v>
      </c>
      <c r="Z32" s="1262">
        <f t="shared" si="13"/>
        <v>111</v>
      </c>
      <c r="AA32" s="1262">
        <f t="shared" si="3"/>
        <v>1</v>
      </c>
      <c r="AB32" s="1262">
        <f t="shared" si="4"/>
        <v>1</v>
      </c>
      <c r="AC32" s="1262">
        <f t="shared" si="5"/>
        <v>1</v>
      </c>
    </row>
    <row r="33" spans="1:31" s="406" customFormat="1" ht="15.75" thickBot="1">
      <c r="A33" s="594"/>
      <c r="B33" s="1837">
        <v>111</v>
      </c>
      <c r="C33" s="596"/>
      <c r="D33" s="119">
        <v>100</v>
      </c>
      <c r="E33" s="619"/>
      <c r="F33" s="375">
        <f>SUMIF(105:105,E33,106:106)-SUMIF(105:105,C33,106:106)+100</f>
        <v>100</v>
      </c>
      <c r="G33" s="619"/>
      <c r="H33" s="375">
        <f>SUMIF(105:105,G33,106:106)-SUMIF(105:105,C33,106:106)+100</f>
        <v>100</v>
      </c>
      <c r="I33" s="596"/>
      <c r="J33" s="375">
        <f>SUMIF(105:105,I33,106:106)-SUMIF(105:105,C33,106:106)+100</f>
        <v>100</v>
      </c>
      <c r="K33" s="537"/>
      <c r="L33" s="2488"/>
      <c r="M33" s="2490"/>
      <c r="N33" s="2490"/>
      <c r="O33" s="2540"/>
      <c r="P33" s="3402"/>
      <c r="Q33" s="1261">
        <f t="shared" si="8"/>
        <v>111</v>
      </c>
      <c r="R33" s="667" t="s">
        <v>14</v>
      </c>
      <c r="S33" s="668">
        <f t="shared" si="10"/>
        <v>100</v>
      </c>
      <c r="T33" s="667" t="s">
        <v>14</v>
      </c>
      <c r="U33" s="668">
        <f t="shared" si="11"/>
        <v>100</v>
      </c>
      <c r="V33" s="667" t="s">
        <v>14</v>
      </c>
      <c r="W33" s="668">
        <f t="shared" si="12"/>
        <v>100</v>
      </c>
      <c r="X33" s="669"/>
      <c r="Y33" s="3402"/>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9"/>
      <c r="M34" s="2484"/>
      <c r="N34" s="2484"/>
      <c r="O34" s="2539"/>
      <c r="P34" s="3402"/>
      <c r="Q34" s="1261" t="str">
        <f>B34</f>
        <v>宗地面积</v>
      </c>
      <c r="R34" s="665" t="s">
        <v>14</v>
      </c>
      <c r="S34" s="666" t="e">
        <f t="shared" si="10"/>
        <v>#N/A</v>
      </c>
      <c r="T34" s="665" t="s">
        <v>14</v>
      </c>
      <c r="U34" s="666" t="e">
        <f t="shared" si="11"/>
        <v>#N/A</v>
      </c>
      <c r="V34" s="665" t="s">
        <v>14</v>
      </c>
      <c r="W34" s="666" t="e">
        <f t="shared" si="12"/>
        <v>#N/A</v>
      </c>
      <c r="X34" s="1263"/>
      <c r="Y34" s="3402"/>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9"/>
      <c r="M35" s="2484"/>
      <c r="N35" s="2484"/>
      <c r="O35" s="2539"/>
      <c r="P35" s="3402"/>
      <c r="Q35" s="1261" t="str">
        <f t="shared" ref="Q35:Q40" si="14">B35</f>
        <v>宗地形状</v>
      </c>
      <c r="R35" s="665" t="s">
        <v>14</v>
      </c>
      <c r="S35" s="666">
        <f t="shared" si="10"/>
        <v>100</v>
      </c>
      <c r="T35" s="665" t="s">
        <v>14</v>
      </c>
      <c r="U35" s="666">
        <f t="shared" si="11"/>
        <v>100</v>
      </c>
      <c r="V35" s="665" t="s">
        <v>14</v>
      </c>
      <c r="W35" s="666">
        <f t="shared" si="12"/>
        <v>100</v>
      </c>
      <c r="X35" s="1263"/>
      <c r="Y35" s="3402"/>
      <c r="Z35" s="1262" t="str">
        <f t="shared" si="13"/>
        <v>宗地形状</v>
      </c>
      <c r="AA35" s="1262">
        <f t="shared" si="3"/>
        <v>1</v>
      </c>
      <c r="AB35" s="1262">
        <f t="shared" si="4"/>
        <v>1</v>
      </c>
      <c r="AC35" s="1262">
        <f t="shared" si="5"/>
        <v>1</v>
      </c>
    </row>
    <row r="36" spans="1:31" s="101" customFormat="1" ht="15">
      <c r="A36" s="408"/>
      <c r="B36" s="362" t="s">
        <v>1877</v>
      </c>
      <c r="C36" s="1825"/>
      <c r="D36" s="118">
        <v>100</v>
      </c>
      <c r="E36" s="1825"/>
      <c r="F36" s="372">
        <f>SUMIF(112:112,E36,113:113)-SUMIF(112:112,C36,113:113)+100</f>
        <v>100</v>
      </c>
      <c r="G36" s="1825"/>
      <c r="H36" s="372">
        <f>SUMIF(112:112,G36,113:113)-SUMIF(112:112,C36,113:113)+100</f>
        <v>100</v>
      </c>
      <c r="I36" s="1825"/>
      <c r="J36" s="372">
        <f>SUMIF(112:112,I36,113:113)-SUMIF(112:112,C36,113:113)+100</f>
        <v>100</v>
      </c>
      <c r="K36" s="536"/>
      <c r="L36" s="2485"/>
      <c r="M36" s="2436"/>
      <c r="N36" s="2436"/>
      <c r="O36" s="2537"/>
      <c r="P36" s="3402"/>
      <c r="Q36" s="1261" t="str">
        <f t="shared" si="14"/>
        <v>宗地开发程度</v>
      </c>
      <c r="R36" s="662" t="s">
        <v>14</v>
      </c>
      <c r="S36" s="663">
        <f t="shared" si="10"/>
        <v>100</v>
      </c>
      <c r="T36" s="662" t="s">
        <v>14</v>
      </c>
      <c r="U36" s="663">
        <f t="shared" si="11"/>
        <v>100</v>
      </c>
      <c r="V36" s="662" t="s">
        <v>14</v>
      </c>
      <c r="W36" s="663">
        <f t="shared" si="12"/>
        <v>100</v>
      </c>
      <c r="X36" s="664"/>
      <c r="Y36" s="3402"/>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9"/>
      <c r="M37" s="2484"/>
      <c r="N37" s="2484"/>
      <c r="O37" s="2539"/>
      <c r="P37" s="3402" t="s">
        <v>1696</v>
      </c>
      <c r="Q37" s="1261" t="str">
        <f t="shared" si="14"/>
        <v>工程地质条件</v>
      </c>
      <c r="R37" s="665" t="s">
        <v>14</v>
      </c>
      <c r="S37" s="666">
        <f t="shared" si="10"/>
        <v>100</v>
      </c>
      <c r="T37" s="665" t="s">
        <v>14</v>
      </c>
      <c r="U37" s="666">
        <f t="shared" si="11"/>
        <v>100</v>
      </c>
      <c r="V37" s="665" t="s">
        <v>14</v>
      </c>
      <c r="W37" s="666">
        <f t="shared" si="12"/>
        <v>100</v>
      </c>
      <c r="X37" s="1263"/>
      <c r="Y37" s="3402"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9"/>
      <c r="M38" s="2484"/>
      <c r="N38" s="2484"/>
      <c r="O38" s="2539"/>
      <c r="P38" s="3402"/>
      <c r="Q38" s="1261">
        <f t="shared" si="14"/>
        <v>111</v>
      </c>
      <c r="R38" s="665" t="s">
        <v>14</v>
      </c>
      <c r="S38" s="666">
        <f t="shared" si="10"/>
        <v>100</v>
      </c>
      <c r="T38" s="665" t="s">
        <v>14</v>
      </c>
      <c r="U38" s="666">
        <f t="shared" si="11"/>
        <v>100</v>
      </c>
      <c r="V38" s="665" t="s">
        <v>14</v>
      </c>
      <c r="W38" s="666">
        <f t="shared" si="12"/>
        <v>100</v>
      </c>
      <c r="X38" s="1263"/>
      <c r="Y38" s="3402"/>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9"/>
      <c r="M39" s="2484"/>
      <c r="N39" s="2484"/>
      <c r="O39" s="2539"/>
      <c r="P39" s="3402"/>
      <c r="Q39" s="1261">
        <f t="shared" si="14"/>
        <v>111</v>
      </c>
      <c r="R39" s="665" t="s">
        <v>14</v>
      </c>
      <c r="S39" s="666">
        <f t="shared" si="10"/>
        <v>100</v>
      </c>
      <c r="T39" s="665" t="s">
        <v>14</v>
      </c>
      <c r="U39" s="666">
        <f t="shared" si="11"/>
        <v>100</v>
      </c>
      <c r="V39" s="665" t="s">
        <v>14</v>
      </c>
      <c r="W39" s="666">
        <f t="shared" si="12"/>
        <v>100</v>
      </c>
      <c r="X39" s="1263"/>
      <c r="Y39" s="3402"/>
      <c r="Z39" s="1262">
        <f t="shared" si="13"/>
        <v>111</v>
      </c>
      <c r="AA39" s="1262">
        <f t="shared" si="3"/>
        <v>1</v>
      </c>
      <c r="AB39" s="1262">
        <f t="shared" si="4"/>
        <v>1</v>
      </c>
      <c r="AC39" s="1262">
        <f t="shared" si="5"/>
        <v>1</v>
      </c>
    </row>
    <row r="40" spans="1:31" s="406" customFormat="1" ht="15.75" thickBot="1">
      <c r="A40" s="404"/>
      <c r="B40" s="1065">
        <v>111</v>
      </c>
      <c r="C40" s="1826"/>
      <c r="D40" s="119">
        <v>100</v>
      </c>
      <c r="E40" s="592"/>
      <c r="F40" s="375">
        <f>SUMIF(120:120,E40,121:121)-SUMIF(120:120,C40,121:121)+100</f>
        <v>100</v>
      </c>
      <c r="G40" s="592"/>
      <c r="H40" s="375">
        <f>SUMIF(120:120,G40,121:121)-SUMIF(120:120,C40,121:121)+100</f>
        <v>100</v>
      </c>
      <c r="I40" s="478"/>
      <c r="J40" s="375">
        <f>SUMIF(120:120,I40,121:121)-SUMIF(120:120,C40,121:121)+100</f>
        <v>100</v>
      </c>
      <c r="K40" s="599"/>
      <c r="L40" s="2488"/>
      <c r="M40" s="2490"/>
      <c r="N40" s="2490"/>
      <c r="O40" s="2540"/>
      <c r="P40" s="3402"/>
      <c r="Q40" s="1261">
        <f t="shared" si="14"/>
        <v>111</v>
      </c>
      <c r="R40" s="667" t="s">
        <v>14</v>
      </c>
      <c r="S40" s="668">
        <f t="shared" si="10"/>
        <v>100</v>
      </c>
      <c r="T40" s="667" t="s">
        <v>14</v>
      </c>
      <c r="U40" s="668">
        <f t="shared" si="11"/>
        <v>100</v>
      </c>
      <c r="V40" s="667" t="s">
        <v>14</v>
      </c>
      <c r="W40" s="668">
        <f t="shared" si="12"/>
        <v>100</v>
      </c>
      <c r="X40" s="669"/>
      <c r="Y40" s="3402"/>
      <c r="Z40" s="670">
        <f t="shared" si="13"/>
        <v>111</v>
      </c>
      <c r="AA40" s="1262">
        <f t="shared" si="3"/>
        <v>1</v>
      </c>
      <c r="AB40" s="1262">
        <f t="shared" si="4"/>
        <v>1</v>
      </c>
      <c r="AC40" s="1262">
        <f t="shared" si="5"/>
        <v>1</v>
      </c>
    </row>
    <row r="41" spans="1:31" ht="15">
      <c r="A41" s="414" t="s">
        <v>1844</v>
      </c>
      <c r="B41" s="1827" t="s">
        <v>1922</v>
      </c>
      <c r="C41" s="600" t="s">
        <v>0</v>
      </c>
      <c r="D41" s="416"/>
      <c r="E41" s="417"/>
      <c r="F41" s="418"/>
      <c r="G41" s="419"/>
      <c r="H41" s="420"/>
      <c r="I41" s="417"/>
      <c r="J41" s="420"/>
      <c r="K41" s="672"/>
      <c r="L41" s="2491"/>
      <c r="M41" s="2484"/>
      <c r="N41" s="2484"/>
      <c r="O41" s="2484"/>
      <c r="P41" s="3396" t="str">
        <f>A41</f>
        <v>成交单价</v>
      </c>
      <c r="Q41" s="3396"/>
      <c r="R41" s="3391">
        <f>E41</f>
        <v>0</v>
      </c>
      <c r="S41" s="3391"/>
      <c r="T41" s="3391">
        <f>G41</f>
        <v>0</v>
      </c>
      <c r="U41" s="3391"/>
      <c r="V41" s="3391">
        <f>I41</f>
        <v>0</v>
      </c>
      <c r="W41" s="3391"/>
      <c r="X41" s="383"/>
      <c r="Y41" s="671"/>
      <c r="Z41" s="383"/>
      <c r="AA41" s="383"/>
      <c r="AB41" s="383"/>
      <c r="AC41" s="383"/>
    </row>
    <row r="42" spans="1:31" ht="15.75" thickBot="1">
      <c r="A42" s="421" t="s">
        <v>1793</v>
      </c>
      <c r="B42" s="601"/>
      <c r="C42" s="424" t="e">
        <f>R43</f>
        <v>#DIV/0!</v>
      </c>
      <c r="D42" s="2138" t="s">
        <v>2138</v>
      </c>
      <c r="E42" s="424" t="e">
        <f>R42</f>
        <v>#DIV/0!</v>
      </c>
      <c r="F42" s="2139"/>
      <c r="G42" s="423" t="e">
        <f>T42</f>
        <v>#DIV/0!</v>
      </c>
      <c r="H42" s="2139"/>
      <c r="I42" s="424" t="e">
        <f>V42</f>
        <v>#DIV/0!</v>
      </c>
      <c r="J42" s="2139"/>
      <c r="K42" s="2141">
        <f>F42+H42+J42</f>
        <v>0</v>
      </c>
      <c r="L42" s="2491"/>
      <c r="M42" s="2484"/>
      <c r="N42" s="2484"/>
      <c r="O42" s="2484"/>
      <c r="P42" s="3396" t="str">
        <f>A42</f>
        <v>比较价值（元/平方米）</v>
      </c>
      <c r="Q42" s="3396"/>
      <c r="R42" s="3444" t="e">
        <f>ROUND(PRODUCT(R41,AA7:AA40),0)</f>
        <v>#DIV/0!</v>
      </c>
      <c r="S42" s="3444"/>
      <c r="T42" s="3444" t="e">
        <f>ROUND(PRODUCT(T41,AB7:AB40),0)</f>
        <v>#DIV/0!</v>
      </c>
      <c r="U42" s="3444"/>
      <c r="V42" s="3444" t="e">
        <f>ROUND(PRODUCT(V41,AC7:AC40),0)</f>
        <v>#DIV/0!</v>
      </c>
      <c r="W42" s="3444"/>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91"/>
      <c r="M43" s="2484"/>
      <c r="N43" s="2484"/>
      <c r="O43" s="2484"/>
      <c r="P43" s="3393" t="str">
        <f>A43</f>
        <v>估价对象XX用房的比较价值（楼面单价，元/平方米）</v>
      </c>
      <c r="Q43" s="3394"/>
      <c r="R43" s="3445" t="e">
        <f>ROUND(IF(D42="简单平均",AVERAGE(R42:W42),R42*F42+T42*H42+V42*J42),0)</f>
        <v>#DIV/0!</v>
      </c>
      <c r="S43" s="3445"/>
      <c r="T43" s="3445"/>
      <c r="U43" s="3445"/>
      <c r="V43" s="3445"/>
      <c r="W43" s="3445"/>
      <c r="X43" s="383"/>
      <c r="Y43" s="383"/>
      <c r="Z43" s="383"/>
      <c r="AA43" s="383"/>
      <c r="AB43" s="383"/>
      <c r="AC43" s="383"/>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1881</v>
      </c>
      <c r="B50" s="603" t="s">
        <v>1882</v>
      </c>
      <c r="C50" s="1828" t="s">
        <v>1883</v>
      </c>
      <c r="D50" s="1829" t="s">
        <v>1884</v>
      </c>
      <c r="E50" s="604" t="s">
        <v>1885</v>
      </c>
      <c r="F50" s="605" t="s">
        <v>1886</v>
      </c>
      <c r="G50" s="3379" t="s">
        <v>1887</v>
      </c>
      <c r="H50" s="3446"/>
      <c r="I50" s="1262" t="s">
        <v>1923</v>
      </c>
      <c r="J50" s="1262">
        <f>项目基本情况!F35</f>
        <v>0</v>
      </c>
      <c r="K50" s="1831"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1890</v>
      </c>
      <c r="B51" s="607" t="e">
        <f>C43</f>
        <v>#DIV/0!</v>
      </c>
      <c r="C51" s="608">
        <v>1</v>
      </c>
      <c r="D51" s="888">
        <v>1</v>
      </c>
      <c r="E51" s="608">
        <f>'数据-汇总表'!E8+'数据-汇总表'!E9</f>
        <v>143.31</v>
      </c>
      <c r="F51" s="609" t="e">
        <f t="shared" ref="F51:F60" si="15">ROUND(B51*E51/10000,0)</f>
        <v>#DIV/0!</v>
      </c>
      <c r="G51" s="3378"/>
      <c r="H51" s="3396"/>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1891</v>
      </c>
      <c r="B52" s="208" t="e">
        <f>ROUND($C$43*C52*D52,0)</f>
        <v>#DIV/0!</v>
      </c>
      <c r="C52" s="161">
        <f t="shared" ref="C52:C60" si="16">IF($C$50="北京市系数",I52,J52)</f>
        <v>0</v>
      </c>
      <c r="D52" s="889">
        <v>0.25</v>
      </c>
      <c r="E52" s="612"/>
      <c r="F52" s="609" t="e">
        <f t="shared" si="15"/>
        <v>#DIV/0!</v>
      </c>
      <c r="G52" s="2747" t="s">
        <v>1892</v>
      </c>
      <c r="H52" s="832">
        <f>项目基本情况!B37</f>
        <v>0</v>
      </c>
      <c r="I52" s="725">
        <f>SUMIF(修正!A57:A68,H52,修正!B57:B68)</f>
        <v>0</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1893</v>
      </c>
      <c r="B53" s="208" t="e">
        <f t="shared" ref="B53:B60" si="17">ROUND($C$43*C53*D53,0)</f>
        <v>#DIV/0!</v>
      </c>
      <c r="C53" s="161">
        <f t="shared" si="16"/>
        <v>0</v>
      </c>
      <c r="D53" s="889">
        <v>0.25</v>
      </c>
      <c r="E53" s="612"/>
      <c r="F53" s="609" t="e">
        <f t="shared" si="15"/>
        <v>#DIV/0!</v>
      </c>
      <c r="G53" s="2748"/>
      <c r="H53" s="832">
        <f>项目基本情况!B37</f>
        <v>0</v>
      </c>
      <c r="I53" s="725">
        <f>SUMIF(修正!A57:A68,H53,修正!C57:C68)</f>
        <v>0</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1894</v>
      </c>
      <c r="B54" s="208" t="e">
        <f t="shared" si="17"/>
        <v>#DIV/0!</v>
      </c>
      <c r="C54" s="161">
        <f t="shared" si="16"/>
        <v>0</v>
      </c>
      <c r="D54" s="889">
        <v>0.25</v>
      </c>
      <c r="E54" s="612"/>
      <c r="F54" s="609" t="e">
        <f t="shared" si="15"/>
        <v>#DIV/0!</v>
      </c>
      <c r="G54" s="2748"/>
      <c r="H54" s="832">
        <f>项目基本情况!B37</f>
        <v>0</v>
      </c>
      <c r="I54" s="725">
        <f>SUMIF(修正!A57:A68,H54,修正!D57:D68)</f>
        <v>0</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08"/>
      <c r="C55" s="161"/>
      <c r="D55" s="889"/>
      <c r="E55" s="612"/>
      <c r="F55" s="609"/>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1895</v>
      </c>
      <c r="B56" s="208" t="e">
        <f t="shared" si="17"/>
        <v>#DIV/0!</v>
      </c>
      <c r="C56" s="161">
        <f t="shared" si="16"/>
        <v>0</v>
      </c>
      <c r="D56" s="889">
        <v>0.25</v>
      </c>
      <c r="E56" s="207">
        <f>'数据-汇总表'!E11</f>
        <v>0</v>
      </c>
      <c r="F56" s="609" t="e">
        <f t="shared" si="15"/>
        <v>#DIV/0!</v>
      </c>
      <c r="G56" s="1832" t="s">
        <v>1896</v>
      </c>
      <c r="H56" s="832">
        <f>项目基本情况!C37</f>
        <v>0</v>
      </c>
      <c r="I56" s="725">
        <f>SUMIF(修正!A57:A68,H56,修正!E57:E68)</f>
        <v>0</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1901</v>
      </c>
      <c r="B59" s="208" t="e">
        <f t="shared" si="17"/>
        <v>#DIV/0!</v>
      </c>
      <c r="C59" s="161">
        <f t="shared" si="16"/>
        <v>0</v>
      </c>
      <c r="D59" s="889">
        <v>0.25</v>
      </c>
      <c r="E59" s="207">
        <f>'数据-汇总表'!E14</f>
        <v>0</v>
      </c>
      <c r="F59" s="609" t="e">
        <f t="shared" si="15"/>
        <v>#DIV/0!</v>
      </c>
      <c r="G59" s="1832" t="s">
        <v>1892</v>
      </c>
      <c r="H59" s="832">
        <f>项目基本情况!B37</f>
        <v>0</v>
      </c>
      <c r="I59" s="725">
        <f>SUMIF(修正!A57:A68,H59,修正!G57:G68)</f>
        <v>0</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1902</v>
      </c>
      <c r="B60" s="208" t="e">
        <f t="shared" si="17"/>
        <v>#DIV/0!</v>
      </c>
      <c r="C60" s="161">
        <f t="shared" si="16"/>
        <v>0</v>
      </c>
      <c r="D60" s="889">
        <v>0.25</v>
      </c>
      <c r="E60" s="207">
        <f>'数据-汇总表'!E15</f>
        <v>0</v>
      </c>
      <c r="F60" s="609" t="e">
        <f t="shared" si="15"/>
        <v>#DIV/0!</v>
      </c>
      <c r="G60" s="1833" t="s">
        <v>1896</v>
      </c>
      <c r="H60" s="842">
        <f>项目基本情况!C37</f>
        <v>0</v>
      </c>
      <c r="I60" s="725">
        <f>SUMIF(修正!A57:A68,H60,修正!G57:G68)</f>
        <v>0</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4"/>
      <c r="Q63" s="2484"/>
      <c r="R63" s="2484"/>
      <c r="S63" s="2484"/>
      <c r="T63" s="2484"/>
      <c r="U63" s="2484"/>
      <c r="V63" s="2484"/>
      <c r="W63" s="2484"/>
      <c r="X63" s="2484"/>
      <c r="Y63" s="2484"/>
      <c r="Z63" s="2484"/>
      <c r="AA63" s="2484"/>
      <c r="AB63" s="2484"/>
      <c r="AC63" s="2484"/>
      <c r="AD63" s="2484"/>
      <c r="AE63" s="2484"/>
    </row>
    <row r="64" spans="1:31" ht="21.75" thickBot="1">
      <c r="A64" s="656" t="s">
        <v>1798</v>
      </c>
      <c r="B64" s="383"/>
      <c r="C64" s="657"/>
      <c r="D64" s="657"/>
      <c r="E64" s="657"/>
      <c r="F64" s="658"/>
      <c r="G64" s="658"/>
      <c r="H64" s="657"/>
      <c r="I64" s="657"/>
      <c r="J64" s="657"/>
      <c r="K64" s="659"/>
      <c r="L64" s="660"/>
      <c r="M64" s="657"/>
      <c r="N64" s="657"/>
      <c r="O64" s="884"/>
      <c r="P64" s="2534"/>
      <c r="Q64" s="2505"/>
      <c r="R64" s="2484"/>
      <c r="S64" s="2484"/>
      <c r="T64" s="2484"/>
      <c r="U64" s="2484"/>
      <c r="V64" s="2484"/>
      <c r="W64" s="2484"/>
      <c r="X64" s="2484"/>
      <c r="Y64" s="2484"/>
      <c r="Z64" s="2484"/>
      <c r="AA64" s="2484"/>
      <c r="AB64" s="2484"/>
      <c r="AC64" s="2484"/>
      <c r="AD64" s="2484"/>
      <c r="AE64" s="2484"/>
    </row>
    <row r="65" spans="1:31" s="440" customFormat="1" ht="15">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5"/>
      <c r="Q66" s="2436"/>
      <c r="R66" s="2436"/>
      <c r="S66" s="2436"/>
      <c r="T66" s="2436"/>
      <c r="U66" s="2436"/>
      <c r="V66" s="2436"/>
      <c r="W66" s="2436"/>
      <c r="X66" s="2436"/>
      <c r="Y66" s="2436"/>
      <c r="Z66" s="2436"/>
      <c r="AA66" s="2436"/>
      <c r="AB66" s="2436"/>
      <c r="AC66" s="2436"/>
      <c r="AD66" s="2436"/>
      <c r="AE66" s="2436"/>
    </row>
    <row r="67" spans="1:31" s="101" customFormat="1" ht="15.75" thickBot="1">
      <c r="A67" s="447" t="s">
        <v>1716</v>
      </c>
      <c r="B67" s="448"/>
      <c r="C67" s="449"/>
      <c r="D67" s="450"/>
      <c r="E67" s="450"/>
      <c r="F67" s="450"/>
      <c r="G67" s="450"/>
      <c r="H67" s="450"/>
      <c r="I67" s="450"/>
      <c r="J67" s="450"/>
      <c r="K67" s="450"/>
      <c r="L67" s="450"/>
      <c r="M67" s="451"/>
      <c r="N67" s="451"/>
      <c r="O67" s="452"/>
      <c r="P67" s="2505"/>
      <c r="Q67" s="2505"/>
      <c r="R67" s="2436"/>
      <c r="S67" s="2436"/>
      <c r="T67" s="2436"/>
      <c r="U67" s="2436"/>
      <c r="V67" s="2436"/>
      <c r="W67" s="2436"/>
      <c r="X67" s="2436"/>
      <c r="Y67" s="2436"/>
      <c r="Z67" s="2436"/>
      <c r="AA67" s="2436"/>
      <c r="AB67" s="2436"/>
      <c r="AC67" s="2436"/>
      <c r="AD67" s="2436"/>
      <c r="AE67" s="2436"/>
    </row>
    <row r="68" spans="1:31" s="101" customFormat="1" ht="15">
      <c r="A68" s="453" t="s">
        <v>1681</v>
      </c>
      <c r="B68" s="442"/>
      <c r="C68" s="454" t="s">
        <v>1776</v>
      </c>
      <c r="D68" s="31"/>
      <c r="E68" s="31"/>
      <c r="F68" s="31"/>
      <c r="G68" s="31"/>
      <c r="H68" s="31"/>
      <c r="I68" s="31"/>
      <c r="J68" s="31"/>
      <c r="K68" s="31"/>
      <c r="L68" s="455"/>
      <c r="M68" s="456"/>
      <c r="N68" s="2517"/>
      <c r="O68" s="2517"/>
      <c r="P68" s="2541"/>
      <c r="Q68" s="2505"/>
      <c r="R68" s="2436"/>
      <c r="S68" s="2436"/>
      <c r="T68" s="2436"/>
      <c r="U68" s="2436"/>
      <c r="V68" s="2436"/>
      <c r="W68" s="2436"/>
      <c r="X68" s="2436"/>
      <c r="Y68" s="2436"/>
      <c r="Z68" s="2436"/>
      <c r="AA68" s="2436"/>
      <c r="AB68" s="2436"/>
      <c r="AC68" s="2436"/>
      <c r="AD68" s="2436"/>
      <c r="AE68" s="2436"/>
    </row>
    <row r="69" spans="1:31" s="101" customFormat="1" ht="15.75" thickBot="1">
      <c r="A69" s="453"/>
      <c r="B69" s="442"/>
      <c r="C69" s="561">
        <v>100</v>
      </c>
      <c r="D69" s="444"/>
      <c r="E69" s="444"/>
      <c r="F69" s="444"/>
      <c r="G69" s="444"/>
      <c r="H69" s="444"/>
      <c r="I69" s="444"/>
      <c r="J69" s="444"/>
      <c r="K69" s="444"/>
      <c r="L69" s="444"/>
      <c r="M69" s="446"/>
      <c r="N69" s="2517"/>
      <c r="O69" s="2517"/>
      <c r="P69" s="2505"/>
      <c r="Q69" s="2505"/>
      <c r="R69" s="2436"/>
      <c r="S69" s="2436"/>
      <c r="T69" s="2436"/>
      <c r="U69" s="2436"/>
      <c r="V69" s="2436"/>
      <c r="W69" s="2436"/>
      <c r="X69" s="2436"/>
      <c r="Y69" s="2436"/>
      <c r="Z69" s="2436"/>
      <c r="AA69" s="2436"/>
      <c r="AB69" s="2436"/>
      <c r="AC69" s="2436"/>
      <c r="AD69" s="2436"/>
      <c r="AE69" s="2436"/>
    </row>
    <row r="70" spans="1:31">
      <c r="A70" s="377"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5"/>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5"/>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5"/>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5"/>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6"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6"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6"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6"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6"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6"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7"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5"/>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7"/>
      <c r="O87" s="2517"/>
      <c r="P87" s="2517"/>
      <c r="Q87" s="2505"/>
      <c r="R87" s="2436"/>
      <c r="S87" s="2436"/>
      <c r="T87" s="2436"/>
      <c r="U87" s="2436"/>
      <c r="V87" s="2436"/>
      <c r="W87" s="2436"/>
      <c r="X87" s="2436"/>
      <c r="Y87" s="2436"/>
      <c r="Z87" s="2436"/>
      <c r="AA87" s="2436"/>
      <c r="AB87" s="2436"/>
      <c r="AC87" s="2436"/>
      <c r="AD87" s="2436"/>
      <c r="AE87" s="2436"/>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6"/>
      <c r="S88" s="2436"/>
      <c r="T88" s="2436"/>
      <c r="U88" s="2436"/>
      <c r="V88" s="2436"/>
      <c r="W88" s="2436"/>
      <c r="X88" s="2436"/>
      <c r="Y88" s="2436"/>
      <c r="Z88" s="2436"/>
      <c r="AA88" s="2436"/>
      <c r="AB88" s="2436"/>
      <c r="AC88" s="2436"/>
      <c r="AD88" s="2436"/>
      <c r="AE88" s="2436"/>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7"/>
      <c r="O89" s="2517"/>
      <c r="P89" s="2517"/>
      <c r="Q89" s="2505"/>
      <c r="R89" s="2436"/>
      <c r="S89" s="2436"/>
      <c r="T89" s="2436"/>
      <c r="U89" s="2436"/>
      <c r="V89" s="2436"/>
      <c r="W89" s="2436"/>
      <c r="X89" s="2436"/>
      <c r="Y89" s="2436"/>
      <c r="Z89" s="2436"/>
      <c r="AA89" s="2436"/>
      <c r="AB89" s="2436"/>
      <c r="AC89" s="2436"/>
      <c r="AD89" s="2436"/>
      <c r="AE89" s="2436"/>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6"/>
      <c r="S90" s="2436"/>
      <c r="T90" s="2436"/>
      <c r="U90" s="2436"/>
      <c r="V90" s="2436"/>
      <c r="W90" s="2436"/>
      <c r="X90" s="2436"/>
      <c r="Y90" s="2436"/>
      <c r="Z90" s="2436"/>
      <c r="AA90" s="2436"/>
      <c r="AB90" s="2436"/>
      <c r="AC90" s="2436"/>
      <c r="AD90" s="2436"/>
      <c r="AE90" s="2436"/>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5"/>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5"/>
      <c r="B99" s="467" t="s">
        <v>1873</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5"/>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5"/>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5"/>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6" customFormat="1" ht="15" thickTop="1">
      <c r="A105" s="404"/>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6"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5"/>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5"/>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7"/>
      <c r="B110" s="467" t="s">
        <v>1914</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6" customFormat="1" ht="15" thickTop="1">
      <c r="A112" s="404"/>
      <c r="B112" s="467" t="s">
        <v>1916</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7"/>
      <c r="B114" s="467" t="s">
        <v>1917</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7"/>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5"/>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7"/>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5"/>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6" customFormat="1" ht="15" thickTop="1">
      <c r="A120" s="404"/>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6"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6"/>
      <c r="B1" s="927" t="s">
        <v>2083</v>
      </c>
      <c r="C1" s="3454" t="s">
        <v>2084</v>
      </c>
      <c r="D1" s="3455"/>
      <c r="E1" s="3455"/>
      <c r="F1" s="3455"/>
      <c r="G1" s="3455"/>
      <c r="H1" s="3455"/>
      <c r="I1" s="3455"/>
      <c r="J1" s="3455"/>
      <c r="K1" s="3455"/>
      <c r="L1" s="3455"/>
      <c r="M1" s="3455"/>
      <c r="N1" s="3455"/>
      <c r="O1" s="3455"/>
      <c r="P1" s="3455"/>
      <c r="Q1" s="3455"/>
      <c r="R1" s="3455"/>
      <c r="S1" s="3456"/>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49"/>
      <c r="C19" s="149"/>
      <c r="D19" s="1985" t="s">
        <v>2095</v>
      </c>
      <c r="E19" s="1251"/>
      <c r="F19" s="1251"/>
      <c r="G19" s="1251"/>
      <c r="H19" s="994"/>
      <c r="I19" s="149"/>
      <c r="J19" s="149"/>
      <c r="K19" s="149"/>
      <c r="L19" s="149"/>
      <c r="M19" s="149"/>
      <c r="N19" s="149"/>
      <c r="O19" s="149"/>
      <c r="P19" s="149"/>
      <c r="Q19" s="149"/>
      <c r="R19" s="149"/>
      <c r="S19" s="120"/>
    </row>
    <row r="20" spans="1:45" ht="16.5" thickBot="1">
      <c r="A20" s="630" t="s">
        <v>2096</v>
      </c>
      <c r="B20" s="284" t="e">
        <f ca="1">IF(D20="——",S22,S22-F20)</f>
        <v>#REF!</v>
      </c>
      <c r="C20" s="149"/>
      <c r="D20" s="1986"/>
      <c r="E20" s="1252"/>
      <c r="F20" s="927" t="e">
        <f ca="1">SUMIF(INDIRECT("'"&amp;H20&amp;"'"&amp;"!A:A"),"承租人权益价值",INDIRECT("'"&amp;H20&amp;"'"&amp;"!c:c"))</f>
        <v>#REF!</v>
      </c>
      <c r="G20" s="927" t="s">
        <v>2097</v>
      </c>
      <c r="H20" s="1987"/>
      <c r="I20" s="149"/>
      <c r="J20" s="149"/>
      <c r="K20" s="149"/>
      <c r="L20" s="149"/>
      <c r="M20" s="149"/>
      <c r="N20" s="149"/>
      <c r="O20" s="149"/>
      <c r="P20" s="149"/>
      <c r="Q20" s="149"/>
      <c r="R20" s="149"/>
      <c r="S20" s="120"/>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20"/>
    </row>
    <row r="22" spans="1:45">
      <c r="A22" s="306"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2081</v>
      </c>
      <c r="B1" s="4"/>
      <c r="C1" s="4"/>
      <c r="D1" s="4"/>
      <c r="E1" s="4"/>
      <c r="F1" s="2541"/>
      <c r="G1" s="2541"/>
      <c r="H1" s="2541"/>
      <c r="I1" s="2541"/>
      <c r="J1" s="2541"/>
      <c r="K1" s="2541"/>
      <c r="L1" s="2541"/>
      <c r="M1" s="2541"/>
      <c r="N1" s="2541"/>
      <c r="O1" s="2541"/>
      <c r="P1" s="2541"/>
    </row>
    <row r="2" spans="1:16" ht="15.75">
      <c r="A2" s="1981" t="s">
        <v>2073</v>
      </c>
      <c r="B2" s="2384" t="e">
        <f ca="1">SUMIF(B6:B13,"&lt;&gt;#ref!",B6:B13)</f>
        <v>#DIV/0!</v>
      </c>
      <c r="C2" s="1981" t="s">
        <v>2074</v>
      </c>
      <c r="D2" s="1981" t="s">
        <v>2075</v>
      </c>
      <c r="E2" s="2394">
        <f ca="1">SUMIF(E6:E13,"&lt;&gt;#ref!",E6:E13)</f>
        <v>0</v>
      </c>
      <c r="F2" s="2541"/>
      <c r="G2" s="2541"/>
      <c r="H2" s="2541"/>
      <c r="I2" s="2541"/>
      <c r="J2" s="2541"/>
      <c r="K2" s="2541"/>
      <c r="L2" s="2541"/>
      <c r="M2" s="2541"/>
      <c r="N2" s="2541"/>
      <c r="O2" s="2541"/>
      <c r="P2" s="2541"/>
    </row>
    <row r="3" spans="1:16" ht="15.75">
      <c r="A3" s="1981" t="s">
        <v>2076</v>
      </c>
      <c r="B3" s="2384" t="e">
        <f ca="1">ROUND(B2*10000/E2,0)</f>
        <v>#DIV/0!</v>
      </c>
      <c r="C3" s="1981"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2"/>
      <c r="D5" s="2541"/>
      <c r="E5" s="2393" t="s">
        <v>2079</v>
      </c>
      <c r="F5" s="2541"/>
      <c r="G5" s="2541"/>
      <c r="H5" s="2541"/>
      <c r="I5" s="2541"/>
      <c r="J5" s="2541"/>
      <c r="K5" s="2541"/>
      <c r="L5" s="2541"/>
      <c r="M5" s="2541"/>
      <c r="N5" s="2541"/>
      <c r="O5" s="2541"/>
      <c r="P5" s="2541"/>
    </row>
    <row r="6" spans="1:16" ht="15.75">
      <c r="A6" s="2391" t="s">
        <v>2080</v>
      </c>
      <c r="B6" s="2384" t="e">
        <f ca="1">SUMIF(INDIRECT("'"&amp;A6&amp;"'"&amp;"!A:A"),"总价",INDIRECT("'"&amp;A6&amp;"'"&amp;"!B:B"))</f>
        <v>#DIV/0!</v>
      </c>
      <c r="C6" s="1981" t="s">
        <v>2074</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1"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1"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1"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1"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1"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1"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1"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1926</v>
      </c>
      <c r="B1" s="187"/>
      <c r="C1" s="191" t="s">
        <v>1927</v>
      </c>
      <c r="D1" s="331">
        <f>SUM(D33:D34,D37:D42)</f>
        <v>0</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1" t="s">
        <v>1934</v>
      </c>
      <c r="B2" s="194" t="e">
        <f>C30</f>
        <v>#DIV/0!</v>
      </c>
      <c r="C2" s="1843" t="s">
        <v>1935</v>
      </c>
      <c r="D2" s="160" t="s">
        <v>1936</v>
      </c>
      <c r="E2" s="3117"/>
      <c r="F2" s="160" t="s">
        <v>1937</v>
      </c>
      <c r="G2" s="161">
        <f>IF(E2="商业",项目基本情况!B37,IF(E2="办公",项目基本情况!C37,IF(E2="住宅",项目基本情况!D37,IF(E2="工业",项目基本情况!E37,项目基本情况!F37))))</f>
        <v>0</v>
      </c>
      <c r="H2" s="160" t="s">
        <v>1938</v>
      </c>
      <c r="I2" s="161">
        <f>IF(E2="商业",项目基本情况!B38,IF(E2="办公",项目基本情况!C38,IF(E2="住宅",项目基本情况!D38,IF(E2="工业",项目基本情况!E38,项目基本情况!F38))))</f>
        <v>0</v>
      </c>
      <c r="J2" s="1839"/>
      <c r="K2" s="1054"/>
      <c r="L2" s="1844" t="s">
        <v>1939</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0</v>
      </c>
      <c r="T2" s="3060" t="e">
        <f t="shared" ref="T2:T16" si="0">ROUND($C$5*$C$22*$C$23*$C$24*S2*$C$28,0)</f>
        <v>#DIV/0!</v>
      </c>
      <c r="U2" s="1128"/>
      <c r="V2" s="3060" t="e">
        <f>ROUND(T2*U2/10000,0)</f>
        <v>#DIV/0!</v>
      </c>
      <c r="W2" s="1131"/>
      <c r="X2" s="1131"/>
      <c r="Y2" s="1131"/>
      <c r="Z2" s="1131"/>
      <c r="AA2" s="1131"/>
      <c r="AB2" s="1131"/>
      <c r="AC2" s="1132"/>
      <c r="AD2" s="1133"/>
      <c r="AE2" s="1133"/>
      <c r="AF2" s="1133"/>
      <c r="AG2" s="1133"/>
      <c r="AH2" s="1133"/>
      <c r="AI2" s="1133"/>
      <c r="AJ2" s="1134"/>
    </row>
    <row r="3" spans="1:36" ht="15.75">
      <c r="A3" s="193" t="s">
        <v>1940</v>
      </c>
      <c r="B3" s="194" t="e">
        <f>ROUND(B2*10000/D1,0)</f>
        <v>#DIV/0!</v>
      </c>
      <c r="C3" s="1843" t="s">
        <v>1941</v>
      </c>
      <c r="D3" s="160" t="s">
        <v>1942</v>
      </c>
      <c r="E3" s="3115"/>
      <c r="F3" s="1845"/>
      <c r="G3" s="706">
        <f>IF(F3="宗地容积率",'数据-汇总表'!I4,IF(F3="估价对象容积率",'数据-汇总表'!I6,'数据-汇总表'!I7))</f>
        <v>0</v>
      </c>
      <c r="H3" s="160"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0</v>
      </c>
      <c r="T3" s="3060" t="e">
        <f t="shared" si="0"/>
        <v>#DIV/0!</v>
      </c>
      <c r="U3" s="1128"/>
      <c r="V3" s="3060" t="e">
        <f t="shared" ref="V3:V16" si="1">ROUND(T3*U3/10000,0)</f>
        <v>#DIV/0!</v>
      </c>
      <c r="W3" s="1131"/>
      <c r="X3" s="1131"/>
      <c r="Y3" s="1131"/>
      <c r="Z3" s="1131"/>
      <c r="AA3" s="1131"/>
      <c r="AB3" s="1131"/>
      <c r="AC3" s="1132"/>
      <c r="AD3" s="1133"/>
      <c r="AE3" s="1133"/>
      <c r="AF3" s="1133"/>
      <c r="AG3" s="1133"/>
      <c r="AH3" s="1133"/>
      <c r="AI3" s="1133"/>
      <c r="AJ3" s="1134"/>
    </row>
    <row r="4" spans="1:36" ht="15.75">
      <c r="A4" s="3464"/>
      <c r="B4" s="3465"/>
      <c r="C4" s="3465"/>
      <c r="D4" s="3466"/>
      <c r="E4" s="3466"/>
      <c r="F4" s="3466"/>
      <c r="G4" s="3466"/>
      <c r="H4" s="3466"/>
      <c r="I4" s="3466"/>
      <c r="J4" s="3467"/>
      <c r="K4" s="1054"/>
      <c r="L4" s="1844" t="s">
        <v>1946</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0</v>
      </c>
      <c r="T4" s="3060" t="e">
        <f t="shared" si="0"/>
        <v>#DIV/0!</v>
      </c>
      <c r="U4" s="1128"/>
      <c r="V4" s="3060" t="e">
        <f t="shared" si="1"/>
        <v>#DIV/0!</v>
      </c>
      <c r="W4" s="1131"/>
      <c r="X4" s="1131"/>
      <c r="Y4" s="1131"/>
      <c r="Z4" s="1131"/>
      <c r="AA4" s="1131"/>
      <c r="AB4" s="1131"/>
      <c r="AC4" s="1132"/>
      <c r="AD4" s="1133"/>
      <c r="AE4" s="1133"/>
      <c r="AF4" s="1133"/>
      <c r="AG4" s="1133"/>
      <c r="AH4" s="1133"/>
      <c r="AI4" s="1133"/>
      <c r="AJ4" s="1134"/>
    </row>
    <row r="5" spans="1:36" s="1855" customFormat="1" ht="15.75" thickBot="1">
      <c r="A5" s="1846" t="s">
        <v>362</v>
      </c>
      <c r="B5" s="1847" t="s">
        <v>1947</v>
      </c>
      <c r="C5" s="707" t="e">
        <f>ROUND(IF(E2="商业",C6*C7*C17+C20,(IF(E2="住宅",C6*C13*C17+C20,IF(E2="办公",C6*C12*C17+C20,C6+C20)))),0)</f>
        <v>#DIV/0!</v>
      </c>
      <c r="D5" s="1250" t="e">
        <f>ROUND(C6*C17+C20,0)</f>
        <v>#DIV/0!</v>
      </c>
      <c r="E5" s="1250"/>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v>
      </c>
      <c r="T5" s="3060" t="e">
        <f t="shared" si="0"/>
        <v>#DIV/0!</v>
      </c>
      <c r="U5" s="1128"/>
      <c r="V5" s="3060" t="e">
        <f t="shared" si="1"/>
        <v>#DIV/0!</v>
      </c>
      <c r="W5" s="1131"/>
      <c r="X5" s="1131"/>
      <c r="Y5" s="1131"/>
      <c r="Z5" s="1131"/>
      <c r="AA5" s="1131"/>
      <c r="AB5" s="1131"/>
      <c r="AC5" s="1852"/>
      <c r="AD5" s="1853"/>
      <c r="AE5" s="1853"/>
      <c r="AF5" s="1853"/>
      <c r="AG5" s="1853"/>
      <c r="AH5" s="1853"/>
      <c r="AI5" s="1853"/>
      <c r="AJ5" s="1854"/>
    </row>
    <row r="6" spans="1:36" ht="15.75" thickBot="1">
      <c r="A6" s="1856" t="s">
        <v>1949</v>
      </c>
      <c r="B6" s="1857" t="s">
        <v>1950</v>
      </c>
      <c r="C6" s="708">
        <f>SUMIF(L1:L12,G2,M1:M12)</f>
        <v>0</v>
      </c>
      <c r="D6" s="1858"/>
      <c r="E6" s="1859"/>
      <c r="F6" s="1859"/>
      <c r="G6" s="1860"/>
      <c r="H6" s="1860"/>
      <c r="I6" s="1860"/>
      <c r="J6" s="1861"/>
      <c r="K6" s="1290"/>
      <c r="L6" s="1844" t="s">
        <v>1951</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v>
      </c>
      <c r="T6" s="3060" t="e">
        <f t="shared" si="0"/>
        <v>#DIV/0!</v>
      </c>
      <c r="U6" s="1128"/>
      <c r="V6" s="3060" t="e">
        <f t="shared" si="1"/>
        <v>#DIV/0!</v>
      </c>
      <c r="W6" s="1131"/>
      <c r="X6" s="1131"/>
      <c r="Y6" s="1131"/>
      <c r="Z6" s="1131"/>
      <c r="AA6" s="1131"/>
      <c r="AB6" s="1131"/>
      <c r="AC6" s="1852"/>
      <c r="AD6" s="1853"/>
      <c r="AE6" s="1853"/>
      <c r="AF6" s="1853"/>
      <c r="AG6" s="1853"/>
      <c r="AH6" s="1853"/>
      <c r="AI6" s="1853"/>
      <c r="AJ6" s="1854"/>
    </row>
    <row r="7" spans="1:36" ht="24.75" thickBot="1">
      <c r="A7" s="3009" t="s">
        <v>3233</v>
      </c>
      <c r="B7" s="1862" t="s">
        <v>1952</v>
      </c>
      <c r="C7" s="709" t="e">
        <f>IF(C8="不临65条商业街",1,ROUND(1+(1.6*E8+1.2*E9+0.8*E10+0.4*E11)*C9,4))</f>
        <v>#DIV/0!</v>
      </c>
      <c r="D7" s="1863" t="s">
        <v>1953</v>
      </c>
      <c r="E7" s="728"/>
      <c r="F7" s="1864"/>
      <c r="G7" s="1865"/>
      <c r="H7" s="1865"/>
      <c r="I7" s="1865"/>
      <c r="J7" s="1866"/>
      <c r="K7" s="1290"/>
      <c r="L7" s="1844" t="s">
        <v>1954</v>
      </c>
      <c r="M7" s="809">
        <f>SUMPRODUCT((区片价!B190:B233=I2)*(区片价!C3:G3=E2)*(区片价!C190:G233))</f>
        <v>0</v>
      </c>
      <c r="N7" s="811">
        <f>SUMPRODUCT((因素修正幅度!B190:B233=I2)*(因素修正幅度!C3:G3=E2)*(因素修正幅度!C190:G233))</f>
        <v>0</v>
      </c>
      <c r="O7" s="1054"/>
      <c r="P7" s="1054"/>
      <c r="Q7" s="1054"/>
      <c r="R7" s="1127">
        <v>6</v>
      </c>
      <c r="S7" s="3114"/>
      <c r="T7" s="3060" t="e">
        <f t="shared" si="0"/>
        <v>#DIV/0!</v>
      </c>
      <c r="U7" s="1128"/>
      <c r="V7" s="3060"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6"/>
      <c r="B8" s="160" t="s">
        <v>1957</v>
      </c>
      <c r="C8" s="1867"/>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7">
        <v>7</v>
      </c>
      <c r="S8" s="1128"/>
      <c r="T8" s="3060" t="e">
        <f t="shared" si="0"/>
        <v>#DIV/0!</v>
      </c>
      <c r="U8" s="1128"/>
      <c r="V8" s="3060" t="e">
        <f t="shared" si="1"/>
        <v>#DIV/0!</v>
      </c>
      <c r="W8" s="3461" t="s">
        <v>1960</v>
      </c>
      <c r="X8" s="3462"/>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6"/>
      <c r="B9" s="160" t="s">
        <v>1973</v>
      </c>
      <c r="C9" s="712">
        <f>SUMIF(修正!C71:C138,C8,修正!E71:E138)</f>
        <v>0</v>
      </c>
      <c r="D9" s="161" t="s">
        <v>113</v>
      </c>
      <c r="E9" s="161"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7">
        <v>8</v>
      </c>
      <c r="S9" s="1128"/>
      <c r="T9" s="3060" t="e">
        <f t="shared" si="0"/>
        <v>#DIV/0!</v>
      </c>
      <c r="U9" s="1128"/>
      <c r="V9" s="3060" t="e">
        <f t="shared" si="1"/>
        <v>#DIV/0!</v>
      </c>
      <c r="W9" s="3463"/>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0" t="s">
        <v>1976</v>
      </c>
      <c r="C10" s="161">
        <f>SUMIF(修正!C71:C138,C8,修正!F71:F138)</f>
        <v>0</v>
      </c>
      <c r="D10" s="161" t="s">
        <v>114</v>
      </c>
      <c r="E10" s="161"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0" t="e">
        <f t="shared" si="0"/>
        <v>#DIV/0!</v>
      </c>
      <c r="U10" s="1128"/>
      <c r="V10" s="3060" t="e">
        <f t="shared" si="1"/>
        <v>#DIV/0!</v>
      </c>
      <c r="W10" s="3463"/>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t="e">
        <f t="shared" si="0"/>
        <v>#DIV/0!</v>
      </c>
      <c r="U11" s="1128"/>
      <c r="V11" s="3060" t="e">
        <f t="shared" si="1"/>
        <v>#DIV/0!</v>
      </c>
      <c r="W11" s="1131"/>
      <c r="X11" s="1131"/>
      <c r="Y11" s="1131"/>
      <c r="Z11" s="1131"/>
      <c r="AA11" s="1131"/>
      <c r="AB11" s="1131"/>
      <c r="AC11" s="1132"/>
      <c r="AD11" s="2550"/>
      <c r="AE11" s="2550"/>
      <c r="AF11" s="2550"/>
      <c r="AG11" s="2550"/>
      <c r="AH11" s="2550"/>
      <c r="AI11" s="2550"/>
      <c r="AJ11" s="2551"/>
    </row>
    <row r="12" spans="1:36" ht="25.5" thickBot="1">
      <c r="A12" s="3009" t="s">
        <v>3234</v>
      </c>
      <c r="B12" s="3010" t="s">
        <v>3235</v>
      </c>
      <c r="C12" s="3011"/>
      <c r="D12" s="3012" t="s">
        <v>3236</v>
      </c>
      <c r="E12" s="3013" t="s">
        <v>3237</v>
      </c>
      <c r="F12" s="3014"/>
      <c r="G12" s="3015"/>
      <c r="H12" s="3015"/>
      <c r="I12" s="3015"/>
      <c r="J12" s="3016"/>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t="e">
        <f t="shared" si="0"/>
        <v>#DIV/0!</v>
      </c>
      <c r="U12" s="1128"/>
      <c r="V12" s="3060" t="e">
        <f t="shared" si="1"/>
        <v>#DIV/0!</v>
      </c>
      <c r="W12" s="1131"/>
      <c r="X12" s="1131"/>
      <c r="Y12" s="1131"/>
      <c r="Z12" s="1131"/>
      <c r="AA12" s="1131"/>
      <c r="AB12" s="1131"/>
      <c r="AC12" s="1132"/>
      <c r="AD12" s="2550"/>
      <c r="AE12" s="2550"/>
      <c r="AF12" s="2550"/>
      <c r="AG12" s="2550"/>
      <c r="AH12" s="2550"/>
      <c r="AI12" s="2550"/>
      <c r="AJ12" s="2551"/>
    </row>
    <row r="13" spans="1:36" ht="15.75" thickBot="1">
      <c r="A13" s="3009" t="s">
        <v>3238</v>
      </c>
      <c r="B13" s="1875" t="s">
        <v>1982</v>
      </c>
      <c r="C13" s="709">
        <f>ROUND(C16*D16*E16*F16*G16*H16*I16*J16,4)</f>
        <v>0</v>
      </c>
      <c r="D13" s="1876" t="s">
        <v>1983</v>
      </c>
      <c r="E13" s="1877"/>
      <c r="F13" s="1877"/>
      <c r="G13" s="1878"/>
      <c r="H13" s="1878"/>
      <c r="I13" s="1878"/>
      <c r="J13" s="1879"/>
      <c r="K13" s="1054"/>
      <c r="L13" s="3"/>
      <c r="M13" s="4"/>
      <c r="N13" s="3007"/>
      <c r="O13" s="1054"/>
      <c r="P13" s="1054"/>
      <c r="Q13" s="1054"/>
      <c r="R13" s="1127">
        <v>12</v>
      </c>
      <c r="S13" s="1128"/>
      <c r="T13" s="3060" t="e">
        <f t="shared" si="0"/>
        <v>#DIV/0!</v>
      </c>
      <c r="U13" s="1128"/>
      <c r="V13" s="3060" t="e">
        <f t="shared" si="1"/>
        <v>#DIV/0!</v>
      </c>
      <c r="W13" s="1131"/>
      <c r="X13" s="1131"/>
      <c r="Y13" s="1131"/>
      <c r="Z13" s="1131"/>
      <c r="AA13" s="1131"/>
      <c r="AB13" s="1131"/>
      <c r="AC13" s="1132"/>
      <c r="AD13" s="2550"/>
      <c r="AE13" s="2550"/>
      <c r="AF13" s="2550"/>
      <c r="AG13" s="2550"/>
      <c r="AH13" s="2550"/>
      <c r="AI13" s="2550"/>
      <c r="AJ13" s="2551"/>
    </row>
    <row r="14" spans="1:36" ht="15">
      <c r="A14" s="3005"/>
      <c r="B14" s="1880" t="s">
        <v>1985</v>
      </c>
      <c r="C14" s="1881" t="s">
        <v>1986</v>
      </c>
      <c r="D14" s="1259" t="s">
        <v>1987</v>
      </c>
      <c r="E14" s="27" t="s">
        <v>1988</v>
      </c>
      <c r="F14" s="3017" t="s">
        <v>3239</v>
      </c>
      <c r="G14" s="3017" t="s">
        <v>3239</v>
      </c>
      <c r="H14" s="3017" t="s">
        <v>3239</v>
      </c>
      <c r="I14" s="3017" t="s">
        <v>3239</v>
      </c>
      <c r="J14" s="3017" t="s">
        <v>3239</v>
      </c>
      <c r="K14" s="1054"/>
      <c r="L14" s="1054"/>
      <c r="M14" s="1054"/>
      <c r="N14" s="1054"/>
      <c r="O14" s="1054"/>
      <c r="P14" s="1054"/>
      <c r="Q14" s="1054"/>
      <c r="R14" s="1127">
        <v>13</v>
      </c>
      <c r="S14" s="1128"/>
      <c r="T14" s="3060" t="e">
        <f t="shared" si="0"/>
        <v>#DIV/0!</v>
      </c>
      <c r="U14" s="1128"/>
      <c r="V14" s="3060" t="e">
        <f t="shared" si="1"/>
        <v>#DIV/0!</v>
      </c>
      <c r="W14" s="1131"/>
      <c r="X14" s="1131"/>
      <c r="Y14" s="1131"/>
      <c r="Z14" s="1131"/>
      <c r="AA14" s="1131"/>
      <c r="AB14" s="1131"/>
      <c r="AC14" s="1132"/>
      <c r="AD14" s="2550"/>
      <c r="AE14" s="2550"/>
      <c r="AF14" s="2550"/>
      <c r="AG14" s="2550"/>
      <c r="AH14" s="2550"/>
      <c r="AI14" s="2550"/>
      <c r="AJ14" s="2551"/>
    </row>
    <row r="15" spans="1:36" ht="15">
      <c r="A15" s="3005"/>
      <c r="B15" s="1882"/>
      <c r="C15" s="1883"/>
      <c r="D15" s="1884"/>
      <c r="E15" s="1885"/>
      <c r="F15" s="1468" t="s">
        <v>3240</v>
      </c>
      <c r="G15" s="1925"/>
      <c r="H15" s="3018"/>
      <c r="I15" s="3019"/>
      <c r="J15" s="3020"/>
      <c r="K15" s="1054"/>
      <c r="L15" s="1054"/>
      <c r="M15" s="1054"/>
      <c r="N15" s="1054"/>
      <c r="O15" s="1054"/>
      <c r="P15" s="1054"/>
      <c r="Q15" s="1054"/>
      <c r="R15" s="1127">
        <v>14</v>
      </c>
      <c r="S15" s="1128"/>
      <c r="T15" s="3060" t="e">
        <f t="shared" si="0"/>
        <v>#DIV/0!</v>
      </c>
      <c r="U15" s="1128"/>
      <c r="V15" s="3060" t="e">
        <f t="shared" si="1"/>
        <v>#DIV/0!</v>
      </c>
      <c r="W15" s="1131"/>
      <c r="X15" s="1131"/>
      <c r="Y15" s="1131"/>
      <c r="Z15" s="1131"/>
      <c r="AA15" s="1131"/>
      <c r="AB15" s="1131"/>
      <c r="AC15" s="1132"/>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4"/>
      <c r="L16" s="1841"/>
      <c r="M16" s="1841"/>
      <c r="N16" s="1841"/>
      <c r="O16" s="1841"/>
      <c r="P16" s="1841"/>
      <c r="Q16" s="1054"/>
      <c r="R16" s="1127">
        <v>15</v>
      </c>
      <c r="S16" s="1128"/>
      <c r="T16" s="3060" t="e">
        <f t="shared" si="0"/>
        <v>#DIV/0!</v>
      </c>
      <c r="U16" s="1128"/>
      <c r="V16" s="3060" t="e">
        <f t="shared" si="1"/>
        <v>#DIV/0!</v>
      </c>
      <c r="W16" s="1131"/>
      <c r="X16" s="1131"/>
      <c r="Y16" s="1131"/>
      <c r="Z16" s="1131"/>
      <c r="AA16" s="1131"/>
      <c r="AB16" s="1131"/>
      <c r="AC16" s="1132"/>
      <c r="AD16" s="2550"/>
      <c r="AE16" s="2550"/>
      <c r="AF16" s="2550"/>
      <c r="AG16" s="2550"/>
      <c r="AH16" s="2550"/>
      <c r="AI16" s="2550"/>
      <c r="AJ16" s="2551"/>
    </row>
    <row r="17" spans="1:37">
      <c r="A17" s="3032" t="s">
        <v>3241</v>
      </c>
      <c r="B17" s="3024" t="s">
        <v>3242</v>
      </c>
      <c r="C17" s="3033">
        <f>ROUND(IF(OR(E2="工业",E2="公共服务"),1,IF(AND(E18=0,E19=0),1,IF(AND(E18=J24,E19=G19),0.8,IF(E19=0,1+E17*(-0.2),1+E17*G17*(-0.2))))),4)</f>
        <v>1</v>
      </c>
      <c r="D17" s="3025" t="s">
        <v>3243</v>
      </c>
      <c r="E17" s="3033" t="e">
        <f>ROUND(G18/I18,2)</f>
        <v>#DIV/0!</v>
      </c>
      <c r="F17" s="3025" t="s">
        <v>3246</v>
      </c>
      <c r="G17" s="3033" t="e">
        <f>ROUND(E19/G19,2)</f>
        <v>#DIV/0!</v>
      </c>
      <c r="H17" s="3033"/>
      <c r="I17" s="3033"/>
      <c r="J17" s="3034"/>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5"/>
      <c r="B18" s="2306"/>
      <c r="C18" s="3031"/>
      <c r="D18" s="3026" t="s">
        <v>3244</v>
      </c>
      <c r="E18" s="2353"/>
      <c r="F18" s="3027" t="s">
        <v>3247</v>
      </c>
      <c r="G18" s="3031">
        <f>ROUND(1-(1/(POWER(1+G24,E18))),4)</f>
        <v>0</v>
      </c>
      <c r="H18" s="3027" t="s">
        <v>3249</v>
      </c>
      <c r="I18" s="3031">
        <f>ROUND(1-(1/(POWER(1+G24,J24))),4)</f>
        <v>0</v>
      </c>
      <c r="J18" s="3036"/>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9"/>
    </row>
    <row r="19" spans="1:37" s="1855" customFormat="1" ht="15" thickBot="1">
      <c r="A19" s="3037"/>
      <c r="B19" s="3038"/>
      <c r="C19" s="3039"/>
      <c r="D19" s="3039" t="s">
        <v>3245</v>
      </c>
      <c r="E19" s="3040"/>
      <c r="F19" s="3041" t="s">
        <v>3248</v>
      </c>
      <c r="G19" s="3040"/>
      <c r="H19" s="3039"/>
      <c r="I19" s="3039"/>
      <c r="J19" s="3042"/>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2"/>
      <c r="AH19" s="1977"/>
      <c r="AI19" s="559"/>
      <c r="AJ19" s="559"/>
      <c r="AK19" s="1896"/>
    </row>
    <row r="20" spans="1:37" s="1855" customFormat="1" ht="14.25">
      <c r="A20" s="3468" t="s">
        <v>3250</v>
      </c>
      <c r="B20" s="157" t="s">
        <v>1994</v>
      </c>
      <c r="C20" s="3028" t="e">
        <f>ROUND(IF(F21="与级别开发程度一致",0,(G21-E21)/C21),0)</f>
        <v>#DIV/0!</v>
      </c>
      <c r="D20" s="3043" t="s">
        <v>1998</v>
      </c>
      <c r="E20" s="3044"/>
      <c r="F20" s="3474" t="s">
        <v>1995</v>
      </c>
      <c r="G20" s="3475"/>
      <c r="H20" s="3029"/>
      <c r="I20" s="3029"/>
      <c r="J20" s="3030"/>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5" customFormat="1" ht="15" thickBot="1">
      <c r="A21" s="3469"/>
      <c r="B21" s="1999" t="s">
        <v>1997</v>
      </c>
      <c r="C21" s="2000">
        <f>IF(E3="M4科研用地",SUMPRODUCT((修正!A2:A7=E3)*(修正!B1:M1=G2)*(修正!B2:M7)),SUMPRODUCT((修正!A2:A7=E2)*(修正!B1:M1=G2)*(修正!B2:M7)))</f>
        <v>0</v>
      </c>
      <c r="D21" s="177"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5" customFormat="1" ht="15.75" thickBot="1">
      <c r="A22" s="1993" t="s">
        <v>363</v>
      </c>
      <c r="B22" s="1994" t="s">
        <v>2000</v>
      </c>
      <c r="C22" s="1995">
        <f>SUMIF(修正!C20:C51,E3,修正!E20:E51)</f>
        <v>0</v>
      </c>
      <c r="D22" s="1996"/>
      <c r="E22" s="1997"/>
      <c r="F22" s="1997"/>
      <c r="G22" s="1997"/>
      <c r="H22" s="1997"/>
      <c r="I22" s="1997"/>
      <c r="J22" s="1998"/>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3" t="s">
        <v>2002</v>
      </c>
      <c r="E23" s="715">
        <v>44197</v>
      </c>
      <c r="F23" s="1893" t="s">
        <v>2003</v>
      </c>
      <c r="G23" s="716">
        <f>'数据-取费表'!B2</f>
        <v>45755</v>
      </c>
      <c r="H23" s="3045" t="s">
        <v>3252</v>
      </c>
      <c r="I23" s="3046" t="str">
        <f>IF(H23="季度增幅（自定义）",SUMIF(N25:N28,E2,O25:O28),"")</f>
        <v/>
      </c>
      <c r="J23" s="3138" t="s">
        <v>3251</v>
      </c>
      <c r="K23" s="1059"/>
      <c r="L23" s="1894" t="s">
        <v>2004</v>
      </c>
      <c r="M23" s="1239">
        <f>ROUND(SUMIF(地价!B2:G2,E2,地价!B16:G16),0)</f>
        <v>0</v>
      </c>
      <c r="N23" s="1895" t="s">
        <v>2005</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t="e">
        <f>ROUND(POWER(1+G24,J24-I24)*(POWER(1+G24,I24)-1)/(POWER(1+G24,J24)-1),4)</f>
        <v>#DIV/0!</v>
      </c>
      <c r="D24" s="1899" t="s">
        <v>2007</v>
      </c>
      <c r="E24" s="1246">
        <f>存贷款利率!E27/100</f>
        <v>4.3499999999999997E-2</v>
      </c>
      <c r="F24" s="1899" t="s">
        <v>1999</v>
      </c>
      <c r="G24" s="722">
        <f>SUMIF(M30:Q30,E2,M33:Q33)</f>
        <v>0</v>
      </c>
      <c r="H24" s="1899" t="s">
        <v>2008</v>
      </c>
      <c r="I24" s="723" t="e">
        <f>SUMIF('数据-取费表'!C6:C15,E2,'数据-取费表'!F6:F15)/COUNTIF('数据-取费表'!C6:C15,E2)</f>
        <v>#DIV/0!</v>
      </c>
      <c r="J24" s="724">
        <f>IF(E2="住宅",70,IF(E2="商业",40,50))</f>
        <v>50</v>
      </c>
      <c r="K24" s="1059"/>
      <c r="L24" s="1900" t="s">
        <v>2009</v>
      </c>
      <c r="M24" s="1240">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4" t="s">
        <v>366</v>
      </c>
      <c r="B25" s="1905" t="s">
        <v>3331</v>
      </c>
      <c r="C25" s="459">
        <f>IF(B25="容积率修正",IF(G3&lt;10,D26,J26),C27)</f>
        <v>0</v>
      </c>
      <c r="D25" s="1906"/>
      <c r="E25" s="1906"/>
      <c r="F25" s="1906"/>
      <c r="G25" s="1906"/>
      <c r="H25" s="1906"/>
      <c r="I25" s="1906"/>
      <c r="J25" s="1907"/>
      <c r="K25" s="1059"/>
      <c r="L25" s="2549"/>
      <c r="M25" s="2549"/>
      <c r="N25" s="1908" t="s">
        <v>2013</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3253</v>
      </c>
      <c r="D26" s="1261">
        <f>IF(E26=G26,F26,IF(G3&lt;10,ROUND(F26+(H26-F26)*(G3-E26)/(G26-E26),4),"——"))</f>
        <v>0</v>
      </c>
      <c r="E26" s="706">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3254</v>
      </c>
      <c r="J26" s="372" t="str">
        <f>IF(G3&gt;=10,D115,"——")</f>
        <v>——</v>
      </c>
      <c r="K26" s="1059"/>
      <c r="L26" s="2549"/>
      <c r="M26" s="2549"/>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0</v>
      </c>
      <c r="D28" s="1891"/>
      <c r="E28" s="1916"/>
      <c r="F28" s="1916"/>
      <c r="G28" s="1916"/>
      <c r="H28" s="1916"/>
      <c r="I28" s="1916"/>
      <c r="J28" s="1917"/>
      <c r="K28" s="1059"/>
      <c r="L28" s="2549"/>
      <c r="M28" s="2549"/>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6" t="s">
        <v>2023</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4"/>
      <c r="L30" s="3052" t="s">
        <v>1936</v>
      </c>
      <c r="M30" s="3053" t="s">
        <v>1990</v>
      </c>
      <c r="N30" s="3053" t="s">
        <v>1991</v>
      </c>
      <c r="O30" s="3053" t="s">
        <v>1992</v>
      </c>
      <c r="P30" s="3053" t="s">
        <v>1993</v>
      </c>
      <c r="Q30" s="3056" t="s">
        <v>3258</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t="e">
        <f>E34+SUM(I37:I42)</f>
        <v>#DIV/0!</v>
      </c>
      <c r="D31" s="1926"/>
      <c r="E31" s="1927"/>
      <c r="F31" s="1928"/>
      <c r="G31" s="1927"/>
      <c r="H31" s="1927"/>
      <c r="I31" s="1927"/>
      <c r="J31" s="1929"/>
      <c r="K31" s="1054"/>
      <c r="L31" s="3054" t="s">
        <v>1996</v>
      </c>
      <c r="M31" s="160">
        <v>0.25</v>
      </c>
      <c r="N31" s="160">
        <v>0.2</v>
      </c>
      <c r="O31" s="160">
        <v>0.15</v>
      </c>
      <c r="P31" s="160">
        <v>0.1</v>
      </c>
      <c r="Q31" s="3049">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5" t="s">
        <v>1999</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5" t="e">
        <f>ROUND(C5*C22*C23*C24*C25*C28,0)</f>
        <v>#DIV/0!</v>
      </c>
      <c r="D33" s="1937"/>
      <c r="E33" s="725" t="e">
        <f>ROUND(C33*D33/10000,0)</f>
        <v>#DIV/0!</v>
      </c>
      <c r="F33" s="3047" t="s">
        <v>3256</v>
      </c>
      <c r="G33" s="1938"/>
      <c r="H33" s="1938"/>
      <c r="I33" s="1938"/>
      <c r="J33" s="1939"/>
      <c r="K33" s="1054"/>
      <c r="L33" s="3050" t="s">
        <v>3259</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7" t="e">
        <f>ROUND(IF(E2="工业",C33*M42,IF(B25="楼层修正",SUM(V2:V16)*M41*10000/D34,C33*M41)),0)</f>
        <v>#DIV/0!</v>
      </c>
      <c r="D34" s="1942"/>
      <c r="E34" s="725" t="e">
        <f>ROUND(IF(B25="楼层修正",SUM(V2:V16)*M40,C34*D34/10000),0)</f>
        <v>#DIV/0!</v>
      </c>
      <c r="F34" s="1943" t="s">
        <v>2032</v>
      </c>
      <c r="G34" s="1944"/>
      <c r="H34" s="1944"/>
      <c r="I34" s="1944"/>
      <c r="J34" s="1945"/>
      <c r="K34" s="1054"/>
      <c r="L34" s="3050" t="s">
        <v>3260</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8" t="s">
        <v>3257</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3261</v>
      </c>
      <c r="L36" s="3139">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72"/>
      <c r="B37" s="1952" t="s">
        <v>2036</v>
      </c>
      <c r="C37" s="165" t="e">
        <f>ROUND(D5*C22*C23*C24*C28*F37,0)</f>
        <v>#DIV/0!</v>
      </c>
      <c r="D37" s="1937"/>
      <c r="E37" s="161" t="e">
        <f>ROUND(C37*D37/10000,0)</f>
        <v>#DIV/0!</v>
      </c>
      <c r="F37" s="161">
        <f>SUMIF(修正!A57:A68,G2,修正!B57:B68)</f>
        <v>0</v>
      </c>
      <c r="G37" s="161" t="e">
        <f>ROUND(IF(E2="工业",C37*$M$42,C37*$M$41),0)</f>
        <v>#DIV/0!</v>
      </c>
      <c r="H37" s="161">
        <f>D37</f>
        <v>0</v>
      </c>
      <c r="I37" s="161" t="e">
        <f>ROUND(G37*H37/10000,0)</f>
        <v>#DIV/0!</v>
      </c>
      <c r="J37" s="2751"/>
      <c r="K37" s="3058" t="s">
        <v>3262</v>
      </c>
      <c r="L37" s="1961">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73"/>
      <c r="B38" s="1881" t="s">
        <v>2037</v>
      </c>
      <c r="C38" s="165" t="e">
        <f>ROUND(D5*C22*C23*C24*C28*F38,0)</f>
        <v>#DIV/0!</v>
      </c>
      <c r="D38" s="1937"/>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50"/>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73"/>
      <c r="B39" s="1881" t="s">
        <v>3255</v>
      </c>
      <c r="C39" s="165" t="e">
        <f>ROUND(D5*C22*C23*C24*C28*F39,0)</f>
        <v>#DIV/0!</v>
      </c>
      <c r="D39" s="1937"/>
      <c r="E39" s="161" t="e">
        <f t="shared" si="4"/>
        <v>#DIV/0!</v>
      </c>
      <c r="F39" s="161">
        <f>SUMIF(修正!A57:A68,G2,修正!D57:D68)</f>
        <v>0</v>
      </c>
      <c r="G39" s="161" t="e">
        <f>ROUND(IF(E2="工业",C39*$M$42,C39*$M$41),0)</f>
        <v>#DIV/0!</v>
      </c>
      <c r="H39" s="161">
        <f t="shared" si="5"/>
        <v>0</v>
      </c>
      <c r="I39" s="161" t="e">
        <f t="shared" si="6"/>
        <v>#DIV/0!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1" t="e">
        <f>ROUND(D5*C22*C23*C24*C28*F40,0)</f>
        <v>#DIV/0!</v>
      </c>
      <c r="D40" s="1937"/>
      <c r="E40" s="161" t="e">
        <f t="shared" si="4"/>
        <v>#DIV/0!</v>
      </c>
      <c r="F40" s="165">
        <f>SUMIF(修正!A57:A68,G2,修正!E57:E68)</f>
        <v>0</v>
      </c>
      <c r="G40" s="161" t="e">
        <f>ROUND(IF(E2="工业",C40*$M$42,C40*$M$41),0)</f>
        <v>#DIV/0!</v>
      </c>
      <c r="H40" s="161">
        <f t="shared" si="5"/>
        <v>0</v>
      </c>
      <c r="I40" s="161" t="e">
        <f t="shared" si="6"/>
        <v>#DIV/0!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1" t="e">
        <f>ROUND(D5*C22*C23*C44*C28*F41,0)</f>
        <v>#DIV/0!</v>
      </c>
      <c r="D41" s="1937"/>
      <c r="E41" s="161" t="e">
        <f t="shared" si="4"/>
        <v>#DIV/0!</v>
      </c>
      <c r="F41" s="165">
        <f>SUMIF(修正!A57:A68,G2,修正!F57:F68)</f>
        <v>0</v>
      </c>
      <c r="G41" s="161" t="e">
        <f>ROUND(IF(E2="工业",C41*$M$42,C41*$M$41),0)</f>
        <v>#DIV/0!</v>
      </c>
      <c r="H41" s="161">
        <f t="shared" si="5"/>
        <v>0</v>
      </c>
      <c r="I41" s="161" t="e">
        <f t="shared" si="6"/>
        <v>#DIV/0!</v>
      </c>
      <c r="J41" s="937"/>
      <c r="L41" s="3059" t="s">
        <v>3263</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7" t="e">
        <f>ROUND(D5*C22*C23*C44*C28*F42,0)</f>
        <v>#DIV/0!</v>
      </c>
      <c r="D42" s="1942"/>
      <c r="E42" s="177" t="e">
        <f t="shared" si="4"/>
        <v>#DIV/0!</v>
      </c>
      <c r="F42" s="721">
        <f>SUMIF(修正!A57:A68,G2,修正!G57:G68)</f>
        <v>0</v>
      </c>
      <c r="G42" s="177" t="e">
        <f>ROUND(IF(E2="工业",C42*$M$42,C42*$M$41),0)</f>
        <v>#DIV/0!</v>
      </c>
      <c r="H42" s="177">
        <f t="shared" si="5"/>
        <v>0</v>
      </c>
      <c r="I42" s="177" t="e">
        <f t="shared" si="6"/>
        <v>#DIV/0!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2122</v>
      </c>
      <c r="C44" s="331" t="e">
        <f>ROUND(POWER(1+E44,H44-G44)*(POWER(1+E44,G44)-1)/(POWER(1+E44,H44)-1),4)</f>
        <v>#DIV/0!</v>
      </c>
      <c r="D44" s="161" t="s">
        <v>1999</v>
      </c>
      <c r="E44" s="1988">
        <f>G24</f>
        <v>0</v>
      </c>
      <c r="F44" s="161" t="s">
        <v>2008</v>
      </c>
      <c r="G44" s="173"/>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4" t="s">
        <v>2043</v>
      </c>
      <c r="B48" s="1965">
        <f>1+E50</f>
        <v>1</v>
      </c>
      <c r="C48" s="1724"/>
      <c r="D48" s="697"/>
      <c r="E48" s="698"/>
      <c r="F48" s="1966"/>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7" t="s">
        <v>2044</v>
      </c>
      <c r="B49" s="1260" t="s">
        <v>2045</v>
      </c>
      <c r="C49" s="1260" t="s">
        <v>2046</v>
      </c>
      <c r="D49" s="1260" t="s">
        <v>2047</v>
      </c>
      <c r="E49" s="699" t="s">
        <v>2048</v>
      </c>
      <c r="F49" s="1968" t="s">
        <v>2049</v>
      </c>
      <c r="G49" s="1260" t="s">
        <v>310</v>
      </c>
      <c r="H49" s="1969"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38.25">
      <c r="A50" s="1967" t="s">
        <v>2052</v>
      </c>
      <c r="B50" s="1970" t="str">
        <f>估价对象房地状况!C4</f>
        <v>估价对象位于XX商圈，周边商业氛围成熟，人流量大，商业繁华度好</v>
      </c>
      <c r="C50" s="1884"/>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63.75">
      <c r="A51" s="1967" t="s">
        <v>2053</v>
      </c>
      <c r="B51" s="1260" t="str">
        <f>估价对象房地状况!C18</f>
        <v>周边有28路、57路、72路、98路、300路等多条公交线路，地铁7号线与10号线换乘站双井站，综合评价交通便捷度好。</v>
      </c>
      <c r="C51" s="1884"/>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3265</v>
      </c>
      <c r="B52" s="1260">
        <f>估价对象房地状况!C19</f>
        <v>0</v>
      </c>
      <c r="C52" s="1884"/>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2054</v>
      </c>
      <c r="B53" s="1971" t="s">
        <v>2055</v>
      </c>
      <c r="C53" s="1884"/>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2056</v>
      </c>
      <c r="B54" s="1260">
        <f>估价对象房地状况!C24</f>
        <v>0</v>
      </c>
      <c r="C54" s="1884"/>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2057</v>
      </c>
      <c r="B55" s="1972" t="s">
        <v>2058</v>
      </c>
      <c r="C55" s="1884"/>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165.75">
      <c r="A56" s="1973" t="s">
        <v>2059</v>
      </c>
      <c r="B56" s="1238" t="str">
        <f>估价对象房地状况!C21</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C56" s="1884"/>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3" t="s">
        <v>2060</v>
      </c>
      <c r="B57" s="1260" t="str">
        <f>估价对象房地状况!C22</f>
        <v>估价对象所在区域基础设施水平</v>
      </c>
      <c r="C57" s="1884"/>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64.5" thickBot="1">
      <c r="A58" s="1974" t="s">
        <v>2061</v>
      </c>
      <c r="B58" s="1975" t="str">
        <f>估价对象房地状况!C20</f>
        <v>自然环境：CBD城市森林公园、通惠河水系等自然景观；
人文环境：北京今日美术馆等人文场所；
综合评价环境状况较好。</v>
      </c>
      <c r="C58" s="1884"/>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2062</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60"/>
      <c r="C60" s="1260" t="s">
        <v>2046</v>
      </c>
      <c r="D60" s="1260" t="s">
        <v>2047</v>
      </c>
      <c r="E60" s="699" t="s">
        <v>2048</v>
      </c>
      <c r="F60" s="1968" t="s">
        <v>2063</v>
      </c>
      <c r="G60" s="1260" t="s">
        <v>310</v>
      </c>
      <c r="H60" s="1969"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38.25">
      <c r="A61" s="1967" t="s">
        <v>2064</v>
      </c>
      <c r="B61" s="1970" t="str">
        <f>估价对象房地状况!C17</f>
        <v>估价对象位于XX商圈，周边办公楼项目较多，入驻率高，办公集聚程度较好</v>
      </c>
      <c r="C61" s="1884"/>
      <c r="D61" s="1000">
        <f t="shared" ref="D61:D69" si="12">SUMIF($J$60:$N$60,C61,J61:N61)</f>
        <v>0</v>
      </c>
      <c r="E61" s="700">
        <f>ROUND(SUM(D61:D69),4)</f>
        <v>0</v>
      </c>
      <c r="F61" s="1673" t="str">
        <f>IF(E2="办公",SUMIF(L1:L12,G2,N1:N12),"——")</f>
        <v>——</v>
      </c>
      <c r="G61" s="998"/>
      <c r="H61" s="1001" t="str">
        <f t="shared" ref="H61:H69" si="13">IFERROR(ROUNDDOWN($F$61*I61/2,4),"——")</f>
        <v>——</v>
      </c>
      <c r="I61" s="3065">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63.75">
      <c r="A62" s="1967" t="s">
        <v>2053</v>
      </c>
      <c r="B62" s="1260" t="str">
        <f>估价对象房地状况!C18</f>
        <v>周边有28路、57路、72路、98路、300路等多条公交线路，地铁7号线与10号线换乘站双井站，综合评价交通便捷度好。</v>
      </c>
      <c r="C62" s="1884"/>
      <c r="D62" s="1000">
        <f t="shared" si="12"/>
        <v>0</v>
      </c>
      <c r="E62" s="701"/>
      <c r="F62" s="1673"/>
      <c r="G62" s="998"/>
      <c r="H62" s="1001" t="str">
        <f t="shared" si="13"/>
        <v>——</v>
      </c>
      <c r="I62" s="3065">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7" t="s">
        <v>3265</v>
      </c>
      <c r="B63" s="1260">
        <f>估价对象房地状况!C19</f>
        <v>0</v>
      </c>
      <c r="C63" s="1884"/>
      <c r="D63" s="1000">
        <f t="shared" si="12"/>
        <v>0</v>
      </c>
      <c r="E63" s="701"/>
      <c r="F63" s="1673"/>
      <c r="G63" s="998"/>
      <c r="H63" s="1001" t="str">
        <f t="shared" si="13"/>
        <v>——</v>
      </c>
      <c r="I63" s="3065">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2054</v>
      </c>
      <c r="B64" s="1971" t="s">
        <v>2055</v>
      </c>
      <c r="C64" s="1884"/>
      <c r="D64" s="1000">
        <f t="shared" si="12"/>
        <v>0</v>
      </c>
      <c r="E64" s="701"/>
      <c r="F64" s="1673"/>
      <c r="G64" s="998"/>
      <c r="H64" s="1001" t="str">
        <f t="shared" si="13"/>
        <v>——</v>
      </c>
      <c r="I64" s="3065">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2056</v>
      </c>
      <c r="B65" s="1260">
        <f>估价对象房地状况!C24</f>
        <v>0</v>
      </c>
      <c r="C65" s="1884"/>
      <c r="D65" s="1000">
        <f t="shared" si="12"/>
        <v>0</v>
      </c>
      <c r="E65" s="701"/>
      <c r="F65" s="1673"/>
      <c r="G65" s="998"/>
      <c r="H65" s="1001" t="str">
        <f t="shared" si="13"/>
        <v>——</v>
      </c>
      <c r="I65" s="3065">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2057</v>
      </c>
      <c r="B66" s="1972" t="s">
        <v>2058</v>
      </c>
      <c r="C66" s="1884"/>
      <c r="D66" s="1000">
        <f t="shared" si="12"/>
        <v>0</v>
      </c>
      <c r="E66" s="701"/>
      <c r="F66" s="1673"/>
      <c r="G66" s="998"/>
      <c r="H66" s="1001" t="str">
        <f t="shared" si="13"/>
        <v>——</v>
      </c>
      <c r="I66" s="3065">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165.75">
      <c r="A67" s="1967" t="s">
        <v>2059</v>
      </c>
      <c r="B67" s="1238" t="str">
        <f>估价对象房地状况!C21</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C67" s="1884"/>
      <c r="D67" s="1000">
        <f t="shared" si="12"/>
        <v>0</v>
      </c>
      <c r="E67" s="701"/>
      <c r="F67" s="1673"/>
      <c r="G67" s="998"/>
      <c r="H67" s="1001" t="str">
        <f t="shared" si="13"/>
        <v>——</v>
      </c>
      <c r="I67" s="3065">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7" t="s">
        <v>2060</v>
      </c>
      <c r="B68" s="1238" t="str">
        <f>估价对象房地状况!C22</f>
        <v>估价对象所在区域基础设施水平</v>
      </c>
      <c r="C68" s="1884"/>
      <c r="D68" s="1000">
        <f t="shared" si="12"/>
        <v>0</v>
      </c>
      <c r="E68" s="701"/>
      <c r="F68" s="1673"/>
      <c r="G68" s="998"/>
      <c r="H68" s="1001" t="str">
        <f t="shared" si="13"/>
        <v>——</v>
      </c>
      <c r="I68" s="3065">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64.5" thickBot="1">
      <c r="A69" s="1974" t="s">
        <v>2061</v>
      </c>
      <c r="B69" s="1976" t="str">
        <f>估价对象房地状况!C20</f>
        <v>自然环境：CBD城市森林公园、通惠河水系等自然景观；
人文环境：北京今日美术馆等人文场所；
综合评价环境状况较好。</v>
      </c>
      <c r="C69" s="1884"/>
      <c r="D69" s="1000">
        <f t="shared" si="12"/>
        <v>0</v>
      </c>
      <c r="E69" s="702"/>
      <c r="F69" s="1673"/>
      <c r="G69" s="998"/>
      <c r="H69" s="1001" t="str">
        <f t="shared" si="13"/>
        <v>——</v>
      </c>
      <c r="I69" s="3066">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60"/>
      <c r="C71" s="1260" t="s">
        <v>2046</v>
      </c>
      <c r="D71" s="1260" t="s">
        <v>2047</v>
      </c>
      <c r="E71" s="699" t="s">
        <v>2048</v>
      </c>
      <c r="F71" s="1968" t="s">
        <v>2063</v>
      </c>
      <c r="G71" s="1260" t="s">
        <v>310</v>
      </c>
      <c r="H71" s="1969"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51">
      <c r="A72" s="1967" t="s">
        <v>2066</v>
      </c>
      <c r="B72" s="1970" t="str">
        <f>估价对象房地状况!C15</f>
        <v>周边有合生国际家园、优士阁、双花园南里、广渠家园、百环家园等住宅小区，居住社区成熟度好。</v>
      </c>
      <c r="C72" s="1884"/>
      <c r="D72" s="1000">
        <f t="shared" ref="D72:D80" si="17">SUMIF($J$71:$N$71,C72,J72:N72)</f>
        <v>0</v>
      </c>
      <c r="E72" s="700">
        <f>ROUND(SUM(D72:D80),4)</f>
        <v>0</v>
      </c>
      <c r="F72" s="1673" t="str">
        <f>IF(E2="住宅",SUMIF(L1:L12,G2,N1:N12),"——")</f>
        <v>——</v>
      </c>
      <c r="G72" s="998"/>
      <c r="H72" s="1001" t="str">
        <f t="shared" ref="H72:H80" si="18">IFERROR(ROUNDDOWN($F$72*I72/2,4),"——")</f>
        <v>——</v>
      </c>
      <c r="I72" s="3065">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63.75">
      <c r="A73" s="1967" t="s">
        <v>2053</v>
      </c>
      <c r="B73" s="1260" t="str">
        <f>估价对象房地状况!C18</f>
        <v>周边有28路、57路、72路、98路、300路等多条公交线路，地铁7号线与10号线换乘站双井站，综合评价交通便捷度好。</v>
      </c>
      <c r="C73" s="1884"/>
      <c r="D73" s="1000">
        <f t="shared" si="17"/>
        <v>0</v>
      </c>
      <c r="E73" s="703"/>
      <c r="F73" s="1673"/>
      <c r="G73" s="998"/>
      <c r="H73" s="1001" t="str">
        <f t="shared" si="18"/>
        <v>——</v>
      </c>
      <c r="I73" s="3065">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7" t="s">
        <v>3265</v>
      </c>
      <c r="B74" s="1260">
        <f>估价对象房地状况!C19</f>
        <v>0</v>
      </c>
      <c r="C74" s="1884"/>
      <c r="D74" s="1000">
        <f t="shared" si="17"/>
        <v>0</v>
      </c>
      <c r="E74" s="703"/>
      <c r="F74" s="1673"/>
      <c r="G74" s="998"/>
      <c r="H74" s="1001" t="str">
        <f t="shared" si="18"/>
        <v>——</v>
      </c>
      <c r="I74" s="3065">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2067</v>
      </c>
      <c r="B75" s="1260">
        <f>估价对象房地状况!C24</f>
        <v>0</v>
      </c>
      <c r="C75" s="1884"/>
      <c r="D75" s="1000">
        <f t="shared" si="17"/>
        <v>0</v>
      </c>
      <c r="E75" s="703"/>
      <c r="F75" s="1673"/>
      <c r="G75" s="998"/>
      <c r="H75" s="1001" t="str">
        <f t="shared" si="18"/>
        <v>——</v>
      </c>
      <c r="I75" s="3065">
        <v>0.05</v>
      </c>
      <c r="J75" s="999">
        <f t="shared" si="19"/>
        <v>0</v>
      </c>
      <c r="K75" s="999">
        <f t="shared" si="20"/>
        <v>0</v>
      </c>
      <c r="L75" s="999">
        <v>0</v>
      </c>
      <c r="M75" s="999">
        <f t="shared" si="21"/>
        <v>0</v>
      </c>
      <c r="N75" s="999">
        <f t="shared" si="21"/>
        <v>0</v>
      </c>
      <c r="O75" s="1054"/>
      <c r="P75" s="1054"/>
      <c r="Q75" s="1841"/>
      <c r="Z75" s="1842"/>
      <c r="AA75" s="1892"/>
      <c r="AG75" s="1056"/>
      <c r="AK75" s="1892"/>
    </row>
    <row r="76" spans="1:37" ht="165.75">
      <c r="A76" s="1967" t="s">
        <v>2059</v>
      </c>
      <c r="B76" s="1238" t="str">
        <f>估价对象房地状况!C21</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C76" s="1884"/>
      <c r="D76" s="1000">
        <f t="shared" si="17"/>
        <v>0</v>
      </c>
      <c r="E76" s="703"/>
      <c r="F76" s="1673"/>
      <c r="G76" s="998"/>
      <c r="H76" s="1001" t="str">
        <f t="shared" si="18"/>
        <v>——</v>
      </c>
      <c r="I76" s="3065">
        <v>0.08</v>
      </c>
      <c r="J76" s="999">
        <f t="shared" si="19"/>
        <v>0</v>
      </c>
      <c r="K76" s="999">
        <f t="shared" si="20"/>
        <v>0</v>
      </c>
      <c r="L76" s="999">
        <v>0</v>
      </c>
      <c r="M76" s="999">
        <f t="shared" si="21"/>
        <v>0</v>
      </c>
      <c r="N76" s="999">
        <f t="shared" si="21"/>
        <v>0</v>
      </c>
      <c r="O76" s="1054"/>
      <c r="P76" s="1054"/>
      <c r="Z76" s="1842"/>
      <c r="AA76" s="1892"/>
      <c r="AG76" s="1056"/>
      <c r="AK76" s="1892"/>
    </row>
    <row r="77" spans="1:37" ht="25.5">
      <c r="A77" s="1967" t="s">
        <v>2060</v>
      </c>
      <c r="B77" s="1238" t="str">
        <f>估价对象房地状况!C22</f>
        <v>估价对象所在区域基础设施水平</v>
      </c>
      <c r="C77" s="1884"/>
      <c r="D77" s="1000">
        <f t="shared" si="17"/>
        <v>0</v>
      </c>
      <c r="E77" s="703"/>
      <c r="F77" s="1673"/>
      <c r="G77" s="998"/>
      <c r="H77" s="1001" t="str">
        <f t="shared" si="18"/>
        <v>——</v>
      </c>
      <c r="I77" s="3065">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2057</v>
      </c>
      <c r="B78" s="1972" t="s">
        <v>2058</v>
      </c>
      <c r="C78" s="1884"/>
      <c r="D78" s="1000">
        <f t="shared" si="17"/>
        <v>0</v>
      </c>
      <c r="E78" s="703"/>
      <c r="F78" s="1673"/>
      <c r="G78" s="998"/>
      <c r="H78" s="1001" t="str">
        <f t="shared" si="18"/>
        <v>——</v>
      </c>
      <c r="I78" s="3065">
        <v>0.05</v>
      </c>
      <c r="J78" s="999">
        <f t="shared" si="19"/>
        <v>0</v>
      </c>
      <c r="K78" s="999">
        <f t="shared" si="20"/>
        <v>0</v>
      </c>
      <c r="L78" s="999">
        <v>0</v>
      </c>
      <c r="M78" s="999">
        <f t="shared" si="21"/>
        <v>0</v>
      </c>
      <c r="N78" s="999">
        <f t="shared" si="21"/>
        <v>0</v>
      </c>
      <c r="O78" s="1841"/>
      <c r="P78" s="1841"/>
      <c r="Z78" s="1842"/>
      <c r="AA78" s="1892"/>
      <c r="AG78" s="1056"/>
      <c r="AK78" s="1892"/>
    </row>
    <row r="79" spans="1:37" ht="63.75">
      <c r="A79" s="1967" t="s">
        <v>2061</v>
      </c>
      <c r="B79" s="1970" t="str">
        <f>估价对象房地状况!C20</f>
        <v>自然环境：CBD城市森林公园、通惠河水系等自然景观；
人文环境：北京今日美术馆等人文场所；
综合评价环境状况较好。</v>
      </c>
      <c r="C79" s="1884"/>
      <c r="D79" s="1000">
        <f t="shared" si="17"/>
        <v>0</v>
      </c>
      <c r="E79" s="703"/>
      <c r="F79" s="1673"/>
      <c r="G79" s="998"/>
      <c r="H79" s="1001" t="str">
        <f t="shared" si="18"/>
        <v>——</v>
      </c>
      <c r="I79" s="3065">
        <v>0.12</v>
      </c>
      <c r="J79" s="999">
        <f t="shared" si="19"/>
        <v>0</v>
      </c>
      <c r="K79" s="999">
        <f t="shared" si="20"/>
        <v>0</v>
      </c>
      <c r="L79" s="999">
        <v>0</v>
      </c>
      <c r="M79" s="999">
        <f t="shared" si="21"/>
        <v>0</v>
      </c>
      <c r="N79" s="999">
        <f t="shared" si="21"/>
        <v>0</v>
      </c>
      <c r="Z79" s="1842"/>
      <c r="AA79" s="1892"/>
      <c r="AG79" s="1056"/>
      <c r="AK79" s="1892"/>
    </row>
    <row r="80" spans="1:37" ht="24.75" thickBot="1">
      <c r="A80" s="1974" t="s">
        <v>2068</v>
      </c>
      <c r="B80" s="1978"/>
      <c r="C80" s="1884"/>
      <c r="D80" s="1000">
        <f t="shared" si="17"/>
        <v>0</v>
      </c>
      <c r="E80" s="704"/>
      <c r="F80" s="1673"/>
      <c r="G80" s="998"/>
      <c r="H80" s="1001" t="str">
        <f t="shared" si="18"/>
        <v>——</v>
      </c>
      <c r="I80" s="3066">
        <v>0.05</v>
      </c>
      <c r="J80" s="999">
        <f t="shared" si="19"/>
        <v>0</v>
      </c>
      <c r="K80" s="999">
        <f t="shared" si="20"/>
        <v>0</v>
      </c>
      <c r="L80" s="999">
        <v>0</v>
      </c>
      <c r="M80" s="999">
        <f t="shared" si="21"/>
        <v>0</v>
      </c>
      <c r="N80" s="999">
        <f t="shared" si="21"/>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60"/>
      <c r="C82" s="1260" t="s">
        <v>2046</v>
      </c>
      <c r="D82" s="1260" t="s">
        <v>2047</v>
      </c>
      <c r="E82" s="699" t="s">
        <v>2048</v>
      </c>
      <c r="F82" s="1968" t="s">
        <v>2063</v>
      </c>
      <c r="G82" s="1260" t="s">
        <v>310</v>
      </c>
      <c r="H82" s="1969" t="s">
        <v>2050</v>
      </c>
      <c r="I82" s="1260" t="s">
        <v>2051</v>
      </c>
      <c r="J82" s="528" t="s">
        <v>1721</v>
      </c>
      <c r="K82" s="528" t="s">
        <v>1722</v>
      </c>
      <c r="L82" s="528" t="s">
        <v>1723</v>
      </c>
      <c r="M82" s="528" t="s">
        <v>1724</v>
      </c>
      <c r="N82" s="528" t="s">
        <v>1725</v>
      </c>
      <c r="Z82" s="1842"/>
      <c r="AA82" s="1892"/>
      <c r="AG82" s="1056"/>
      <c r="AK82" s="1892"/>
    </row>
    <row r="83" spans="1:37" ht="38.25">
      <c r="A83" s="1967" t="s">
        <v>2070</v>
      </c>
      <c r="B83" s="1260" t="str">
        <f>估价对象房地状况!G15</f>
        <v>估价对象位于XX开发区，园区建设成熟度XX，产业集聚程度XX</v>
      </c>
      <c r="C83" s="1884"/>
      <c r="D83" s="1000">
        <f t="shared" ref="D83:D90" si="22">SUMIF($J$82:$N$82,C83,J83:N83)</f>
        <v>0</v>
      </c>
      <c r="E83" s="700">
        <f>ROUND(SUM(D83:D90),4)</f>
        <v>0</v>
      </c>
      <c r="F83" s="1673" t="str">
        <f>IF(E2="工业",SUMIF(L1:L12,G2,N1:N12),"——")</f>
        <v>——</v>
      </c>
      <c r="G83" s="998"/>
      <c r="H83" s="1001" t="str">
        <f t="shared" ref="H83:H90" si="23">IFERROR(ROUNDDOWN($F$83*I83/2,4),"——")</f>
        <v>——</v>
      </c>
      <c r="I83" s="3065">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2053</v>
      </c>
      <c r="B84" s="1260" t="str">
        <f>估价对象房地状况!G16</f>
        <v>估价对象周边道路状况、公共交通通达情况、停车便捷程度，综合评价交通便捷度较好</v>
      </c>
      <c r="C84" s="1884"/>
      <c r="D84" s="1000">
        <f t="shared" si="22"/>
        <v>0</v>
      </c>
      <c r="E84" s="703"/>
      <c r="F84" s="1673"/>
      <c r="G84" s="998"/>
      <c r="H84" s="1001" t="str">
        <f t="shared" si="23"/>
        <v>——</v>
      </c>
      <c r="I84" s="3065">
        <v>0.3</v>
      </c>
      <c r="J84" s="999">
        <f t="shared" si="24"/>
        <v>0</v>
      </c>
      <c r="K84" s="999">
        <f t="shared" si="25"/>
        <v>0</v>
      </c>
      <c r="L84" s="999">
        <v>0</v>
      </c>
      <c r="M84" s="999">
        <f t="shared" si="26"/>
        <v>0</v>
      </c>
      <c r="N84" s="999">
        <f t="shared" si="26"/>
        <v>0</v>
      </c>
      <c r="Z84" s="1842"/>
      <c r="AA84" s="1892"/>
      <c r="AG84" s="1056"/>
      <c r="AK84" s="1892"/>
    </row>
    <row r="85" spans="1:37" ht="36">
      <c r="A85" s="3067" t="s">
        <v>3266</v>
      </c>
      <c r="B85" s="1260">
        <f>估价对象房地状况!G17</f>
        <v>0</v>
      </c>
      <c r="C85" s="1884"/>
      <c r="D85" s="1000">
        <f t="shared" si="22"/>
        <v>0</v>
      </c>
      <c r="E85" s="703"/>
      <c r="F85" s="1673"/>
      <c r="G85" s="998"/>
      <c r="H85" s="1001" t="str">
        <f t="shared" si="23"/>
        <v>——</v>
      </c>
      <c r="I85" s="3065">
        <v>0.1</v>
      </c>
      <c r="J85" s="999">
        <f t="shared" si="24"/>
        <v>0</v>
      </c>
      <c r="K85" s="999">
        <f t="shared" si="25"/>
        <v>0</v>
      </c>
      <c r="L85" s="999">
        <v>0</v>
      </c>
      <c r="M85" s="999">
        <f t="shared" si="26"/>
        <v>0</v>
      </c>
      <c r="N85" s="999">
        <f t="shared" si="26"/>
        <v>0</v>
      </c>
      <c r="Z85" s="1842"/>
      <c r="AA85" s="1892"/>
      <c r="AG85" s="1056"/>
      <c r="AK85" s="1892"/>
    </row>
    <row r="86" spans="1:37" ht="14.25">
      <c r="A86" s="1967" t="s">
        <v>2067</v>
      </c>
      <c r="B86" s="1260">
        <f>估价对象房地状况!G22</f>
        <v>0</v>
      </c>
      <c r="C86" s="1884"/>
      <c r="D86" s="1000">
        <f t="shared" si="22"/>
        <v>0</v>
      </c>
      <c r="E86" s="703"/>
      <c r="F86" s="1673"/>
      <c r="G86" s="998"/>
      <c r="H86" s="1001" t="str">
        <f t="shared" si="23"/>
        <v>——</v>
      </c>
      <c r="I86" s="3065">
        <v>0.05</v>
      </c>
      <c r="J86" s="999">
        <f t="shared" si="24"/>
        <v>0</v>
      </c>
      <c r="K86" s="999">
        <f t="shared" si="25"/>
        <v>0</v>
      </c>
      <c r="L86" s="999">
        <v>0</v>
      </c>
      <c r="M86" s="999">
        <f t="shared" si="26"/>
        <v>0</v>
      </c>
      <c r="N86" s="999">
        <f t="shared" si="26"/>
        <v>0</v>
      </c>
      <c r="Z86" s="1842"/>
      <c r="AA86" s="1892"/>
      <c r="AG86" s="1056"/>
      <c r="AK86" s="1892"/>
    </row>
    <row r="87" spans="1:37" ht="25.5">
      <c r="A87" s="1967" t="s">
        <v>2059</v>
      </c>
      <c r="B87" s="1238" t="str">
        <f>估价对象房地状况!G19</f>
        <v>估价对象所在区域公共配套设施齐备情况</v>
      </c>
      <c r="C87" s="1884"/>
      <c r="D87" s="1000">
        <f t="shared" si="22"/>
        <v>0</v>
      </c>
      <c r="E87" s="703"/>
      <c r="F87" s="1673"/>
      <c r="G87" s="998"/>
      <c r="H87" s="1001" t="str">
        <f t="shared" si="23"/>
        <v>——</v>
      </c>
      <c r="I87" s="3065">
        <v>0.06</v>
      </c>
      <c r="J87" s="999">
        <f t="shared" si="24"/>
        <v>0</v>
      </c>
      <c r="K87" s="999">
        <f t="shared" si="25"/>
        <v>0</v>
      </c>
      <c r="L87" s="999">
        <v>0</v>
      </c>
      <c r="M87" s="999">
        <f t="shared" si="26"/>
        <v>0</v>
      </c>
      <c r="N87" s="999">
        <f t="shared" si="26"/>
        <v>0</v>
      </c>
    </row>
    <row r="88" spans="1:37" ht="25.5">
      <c r="A88" s="1967" t="s">
        <v>2060</v>
      </c>
      <c r="B88" s="1238" t="str">
        <f>估价对象房地状况!G20</f>
        <v>估价对象所在区域基础设施水平</v>
      </c>
      <c r="C88" s="1884"/>
      <c r="D88" s="1000">
        <f t="shared" si="22"/>
        <v>0</v>
      </c>
      <c r="E88" s="703"/>
      <c r="F88" s="1673"/>
      <c r="G88" s="998"/>
      <c r="H88" s="1001" t="str">
        <f t="shared" si="23"/>
        <v>——</v>
      </c>
      <c r="I88" s="3065">
        <v>0.12</v>
      </c>
      <c r="J88" s="999">
        <f t="shared" si="24"/>
        <v>0</v>
      </c>
      <c r="K88" s="999">
        <f t="shared" si="25"/>
        <v>0</v>
      </c>
      <c r="L88" s="999">
        <v>0</v>
      </c>
      <c r="M88" s="999">
        <f t="shared" si="26"/>
        <v>0</v>
      </c>
      <c r="N88" s="999">
        <f t="shared" si="26"/>
        <v>0</v>
      </c>
    </row>
    <row r="89" spans="1:37" ht="24">
      <c r="A89" s="1967" t="s">
        <v>2057</v>
      </c>
      <c r="B89" s="1972" t="s">
        <v>2071</v>
      </c>
      <c r="C89" s="1884"/>
      <c r="D89" s="1000">
        <f t="shared" si="22"/>
        <v>0</v>
      </c>
      <c r="E89" s="703"/>
      <c r="F89" s="1673"/>
      <c r="G89" s="998"/>
      <c r="H89" s="1001" t="str">
        <f t="shared" si="23"/>
        <v>——</v>
      </c>
      <c r="I89" s="3065">
        <v>0.06</v>
      </c>
      <c r="J89" s="999">
        <f t="shared" si="24"/>
        <v>0</v>
      </c>
      <c r="K89" s="999">
        <f t="shared" si="25"/>
        <v>0</v>
      </c>
      <c r="L89" s="999">
        <v>0</v>
      </c>
      <c r="M89" s="999">
        <f t="shared" si="26"/>
        <v>0</v>
      </c>
      <c r="N89" s="999">
        <f t="shared" si="26"/>
        <v>0</v>
      </c>
    </row>
    <row r="90" spans="1:37" ht="39" thickBot="1">
      <c r="A90" s="1974" t="s">
        <v>2072</v>
      </c>
      <c r="B90" s="1979" t="str">
        <f>估价对象房地状况!G18</f>
        <v>该园区内是否有污染型企业，绿化情况，卫生条件，整体环境状况判断</v>
      </c>
      <c r="C90" s="1884"/>
      <c r="D90" s="1000">
        <f t="shared" si="22"/>
        <v>0</v>
      </c>
      <c r="E90" s="704"/>
      <c r="F90" s="1673"/>
      <c r="G90" s="998"/>
      <c r="H90" s="1001" t="str">
        <f t="shared" si="23"/>
        <v>——</v>
      </c>
      <c r="I90" s="3066">
        <v>0.05</v>
      </c>
      <c r="J90" s="999">
        <f t="shared" si="24"/>
        <v>0</v>
      </c>
      <c r="K90" s="999">
        <f t="shared" si="25"/>
        <v>0</v>
      </c>
      <c r="L90" s="999">
        <v>0</v>
      </c>
      <c r="M90" s="999">
        <f t="shared" si="26"/>
        <v>0</v>
      </c>
      <c r="N90" s="999">
        <f t="shared" si="26"/>
        <v>0</v>
      </c>
    </row>
    <row r="91" spans="1:37" ht="15">
      <c r="A91" s="3075" t="s">
        <v>2608</v>
      </c>
      <c r="B91" s="3076">
        <f>1+E93</f>
        <v>1</v>
      </c>
      <c r="C91" s="3069"/>
      <c r="D91" s="3070"/>
      <c r="E91" s="1673"/>
      <c r="F91" s="1673"/>
      <c r="G91" s="3071"/>
      <c r="H91" s="3072"/>
      <c r="I91" s="3073"/>
      <c r="J91" s="3074"/>
      <c r="K91" s="3074"/>
      <c r="L91" s="3074"/>
      <c r="M91" s="3074"/>
      <c r="N91" s="3074"/>
    </row>
    <row r="92" spans="1:37" ht="24.75">
      <c r="A92" s="3077" t="s">
        <v>3267</v>
      </c>
      <c r="B92" s="2306"/>
      <c r="C92" s="2306" t="s">
        <v>3276</v>
      </c>
      <c r="D92" s="2306" t="s">
        <v>3277</v>
      </c>
      <c r="E92" s="3049" t="s">
        <v>3278</v>
      </c>
      <c r="F92" s="3079" t="s">
        <v>3279</v>
      </c>
      <c r="G92" s="2306" t="s">
        <v>3280</v>
      </c>
      <c r="H92" s="3086" t="s">
        <v>3283</v>
      </c>
      <c r="I92" s="2306" t="s">
        <v>3284</v>
      </c>
      <c r="J92" s="2147" t="s">
        <v>3285</v>
      </c>
      <c r="K92" s="2147" t="s">
        <v>3286</v>
      </c>
      <c r="L92" s="2147" t="s">
        <v>3287</v>
      </c>
      <c r="M92" s="2147" t="s">
        <v>3288</v>
      </c>
      <c r="N92" s="2147" t="s">
        <v>3289</v>
      </c>
    </row>
    <row r="93" spans="1:37" ht="24">
      <c r="A93" s="3067" t="s">
        <v>3268</v>
      </c>
      <c r="B93" s="1219"/>
      <c r="C93" s="1884"/>
      <c r="D93" s="2306">
        <f>SUMIF($J$92:$N$92,C93,J93:N93)</f>
        <v>0</v>
      </c>
      <c r="E93" s="3080">
        <f>ROUND(SUM(D93:D101),4)</f>
        <v>0</v>
      </c>
      <c r="F93" s="1673" t="str">
        <f>IF(E2="公共服务",SUMIF(L1:L12,G2,N1:N12),"——")</f>
        <v>——</v>
      </c>
      <c r="G93" s="3071"/>
      <c r="H93" s="3116" t="str">
        <f>IFERROR(ROUNDDOWN($F$93*I93/2,4),"——")</f>
        <v>——</v>
      </c>
      <c r="I93" s="3065">
        <v>0.25</v>
      </c>
      <c r="J93" s="1909">
        <f t="shared" ref="J93:J101" si="27">K93+$G93</f>
        <v>0</v>
      </c>
      <c r="K93" s="1909">
        <f t="shared" ref="K93:K101" si="28">$L93+$G93</f>
        <v>0</v>
      </c>
      <c r="L93" s="1909">
        <v>0</v>
      </c>
      <c r="M93" s="1909">
        <f t="shared" ref="M93:N101" si="29">L93-$G93</f>
        <v>0</v>
      </c>
      <c r="N93" s="1909">
        <f t="shared" si="29"/>
        <v>0</v>
      </c>
    </row>
    <row r="94" spans="1:37" ht="63.75">
      <c r="A94" s="3077" t="s">
        <v>3269</v>
      </c>
      <c r="B94" s="3068" t="str">
        <f>估价对象房地状况!C18</f>
        <v>周边有28路、57路、72路、98路、300路等多条公交线路，地铁7号线与10号线换乘站双井站，综合评价交通便捷度好。</v>
      </c>
      <c r="C94" s="1884"/>
      <c r="D94" s="2306">
        <f t="shared" ref="D94:D101" si="30">SUMIF($J$60:$N$60,C94,J94:N94)</f>
        <v>0</v>
      </c>
      <c r="E94" s="3081"/>
      <c r="F94" s="1673"/>
      <c r="G94" s="3071"/>
      <c r="H94" s="3116" t="str">
        <f>IFERROR(ROUNDDOWN($F$93*I94/2,4),"——")</f>
        <v>——</v>
      </c>
      <c r="I94" s="3065">
        <v>0.26</v>
      </c>
      <c r="J94" s="1909">
        <f t="shared" si="27"/>
        <v>0</v>
      </c>
      <c r="K94" s="1909">
        <f t="shared" si="28"/>
        <v>0</v>
      </c>
      <c r="L94" s="1909">
        <v>0</v>
      </c>
      <c r="M94" s="1909">
        <f t="shared" si="29"/>
        <v>0</v>
      </c>
      <c r="N94" s="1909">
        <f t="shared" si="29"/>
        <v>0</v>
      </c>
    </row>
    <row r="95" spans="1:37" ht="36">
      <c r="A95" s="3067" t="s">
        <v>3265</v>
      </c>
      <c r="B95" s="3068">
        <f>估价对象房地状况!C19</f>
        <v>0</v>
      </c>
      <c r="C95" s="1884"/>
      <c r="D95" s="2306">
        <f t="shared" si="30"/>
        <v>0</v>
      </c>
      <c r="E95" s="3081"/>
      <c r="F95" s="1673"/>
      <c r="G95" s="3071"/>
      <c r="H95" s="3116" t="str">
        <f t="shared" ref="H95:H101" si="31">IFERROR(ROUNDDOWN($F$93*I95/2,4),"——")</f>
        <v>——</v>
      </c>
      <c r="I95" s="3065">
        <v>0.11</v>
      </c>
      <c r="J95" s="1909">
        <f t="shared" si="27"/>
        <v>0</v>
      </c>
      <c r="K95" s="1909">
        <f t="shared" si="28"/>
        <v>0</v>
      </c>
      <c r="L95" s="1909">
        <v>0</v>
      </c>
      <c r="M95" s="1909">
        <f t="shared" si="29"/>
        <v>0</v>
      </c>
      <c r="N95" s="1909">
        <f t="shared" si="29"/>
        <v>0</v>
      </c>
    </row>
    <row r="96" spans="1:37" ht="36.75">
      <c r="A96" s="3077" t="s">
        <v>3270</v>
      </c>
      <c r="B96" s="3083" t="s">
        <v>3281</v>
      </c>
      <c r="C96" s="1884"/>
      <c r="D96" s="2306">
        <f t="shared" si="30"/>
        <v>0</v>
      </c>
      <c r="E96" s="3081"/>
      <c r="F96" s="1673"/>
      <c r="G96" s="3071"/>
      <c r="H96" s="3116" t="str">
        <f t="shared" si="31"/>
        <v>——</v>
      </c>
      <c r="I96" s="3065">
        <v>0.05</v>
      </c>
      <c r="J96" s="1909">
        <f t="shared" si="27"/>
        <v>0</v>
      </c>
      <c r="K96" s="1909">
        <f t="shared" si="28"/>
        <v>0</v>
      </c>
      <c r="L96" s="1909">
        <v>0</v>
      </c>
      <c r="M96" s="1909">
        <f t="shared" si="29"/>
        <v>0</v>
      </c>
      <c r="N96" s="1909">
        <f t="shared" si="29"/>
        <v>0</v>
      </c>
    </row>
    <row r="97" spans="1:14" ht="24">
      <c r="A97" s="3077" t="s">
        <v>3271</v>
      </c>
      <c r="B97" s="3068">
        <f>估价对象房地状况!C24</f>
        <v>0</v>
      </c>
      <c r="C97" s="1884"/>
      <c r="D97" s="2306">
        <f t="shared" si="30"/>
        <v>0</v>
      </c>
      <c r="E97" s="3081"/>
      <c r="F97" s="1673"/>
      <c r="G97" s="3071"/>
      <c r="H97" s="3116" t="str">
        <f t="shared" si="31"/>
        <v>——</v>
      </c>
      <c r="I97" s="3065">
        <v>0.05</v>
      </c>
      <c r="J97" s="1909">
        <f t="shared" si="27"/>
        <v>0</v>
      </c>
      <c r="K97" s="1909">
        <f t="shared" si="28"/>
        <v>0</v>
      </c>
      <c r="L97" s="1909">
        <v>0</v>
      </c>
      <c r="M97" s="1909">
        <f t="shared" si="29"/>
        <v>0</v>
      </c>
      <c r="N97" s="1909">
        <f t="shared" si="29"/>
        <v>0</v>
      </c>
    </row>
    <row r="98" spans="1:14" ht="24">
      <c r="A98" s="3077" t="s">
        <v>3272</v>
      </c>
      <c r="B98" s="3084" t="s">
        <v>3282</v>
      </c>
      <c r="C98" s="1884"/>
      <c r="D98" s="2306">
        <f t="shared" si="30"/>
        <v>0</v>
      </c>
      <c r="E98" s="3081"/>
      <c r="F98" s="1673"/>
      <c r="G98" s="3071"/>
      <c r="H98" s="3116" t="str">
        <f t="shared" si="31"/>
        <v>——</v>
      </c>
      <c r="I98" s="3065">
        <v>0.06</v>
      </c>
      <c r="J98" s="1909">
        <f t="shared" si="27"/>
        <v>0</v>
      </c>
      <c r="K98" s="1909">
        <f t="shared" si="28"/>
        <v>0</v>
      </c>
      <c r="L98" s="1909">
        <v>0</v>
      </c>
      <c r="M98" s="1909">
        <f t="shared" si="29"/>
        <v>0</v>
      </c>
      <c r="N98" s="1909">
        <f t="shared" si="29"/>
        <v>0</v>
      </c>
    </row>
    <row r="99" spans="1:14" ht="165.75">
      <c r="A99" s="3077" t="s">
        <v>3273</v>
      </c>
      <c r="B99" s="3068" t="str">
        <f>估价对象房地状况!C21</f>
        <v>银行：中国银行、中国建设银行、恒丰银行等金融机构；
医院：北京市垂杨柳医院、富力社区卫生服务站等医疗机构；
学校：北京工业大学附属中学、北京文汇中学、芳草地国际学校、文汇小学、德福双语幼儿园等教育机构；
商业：富力广场购物中心、乐成中心等商业设施；
综合评价公共服务设施齐备度好。</v>
      </c>
      <c r="C99" s="1884"/>
      <c r="D99" s="2306">
        <f t="shared" si="30"/>
        <v>0</v>
      </c>
      <c r="E99" s="3081"/>
      <c r="F99" s="1673"/>
      <c r="G99" s="3071"/>
      <c r="H99" s="3116" t="str">
        <f t="shared" si="31"/>
        <v>——</v>
      </c>
      <c r="I99" s="3065">
        <v>0.06</v>
      </c>
      <c r="J99" s="1909">
        <f t="shared" si="27"/>
        <v>0</v>
      </c>
      <c r="K99" s="1909">
        <f t="shared" si="28"/>
        <v>0</v>
      </c>
      <c r="L99" s="1909">
        <v>0</v>
      </c>
      <c r="M99" s="1909">
        <f t="shared" si="29"/>
        <v>0</v>
      </c>
      <c r="N99" s="1909">
        <f t="shared" si="29"/>
        <v>0</v>
      </c>
    </row>
    <row r="100" spans="1:14" ht="25.5">
      <c r="A100" s="3077" t="s">
        <v>3274</v>
      </c>
      <c r="B100" s="3068" t="str">
        <f>估价对象房地状况!C22</f>
        <v>估价对象所在区域基础设施水平</v>
      </c>
      <c r="C100" s="1884"/>
      <c r="D100" s="2306">
        <f t="shared" si="30"/>
        <v>0</v>
      </c>
      <c r="E100" s="3081"/>
      <c r="F100" s="1673"/>
      <c r="G100" s="3071"/>
      <c r="H100" s="3116" t="str">
        <f t="shared" si="31"/>
        <v>——</v>
      </c>
      <c r="I100" s="3065">
        <v>0.09</v>
      </c>
      <c r="J100" s="1909">
        <f t="shared" si="27"/>
        <v>0</v>
      </c>
      <c r="K100" s="1909">
        <f t="shared" si="28"/>
        <v>0</v>
      </c>
      <c r="L100" s="1909">
        <v>0</v>
      </c>
      <c r="M100" s="1909">
        <f t="shared" si="29"/>
        <v>0</v>
      </c>
      <c r="N100" s="1909">
        <f t="shared" si="29"/>
        <v>0</v>
      </c>
    </row>
    <row r="101" spans="1:14" ht="64.5" thickBot="1">
      <c r="A101" s="3078" t="s">
        <v>3275</v>
      </c>
      <c r="B101" s="3085" t="str">
        <f>估价对象房地状况!C20</f>
        <v>自然环境：CBD城市森林公园、通惠河水系等自然景观；
人文环境：北京今日美术馆等人文场所；
综合评价环境状况较好。</v>
      </c>
      <c r="C101" s="1884"/>
      <c r="D101" s="2306">
        <f t="shared" si="30"/>
        <v>0</v>
      </c>
      <c r="E101" s="3082"/>
      <c r="F101" s="1673"/>
      <c r="G101" s="3071"/>
      <c r="H101" s="3116" t="str">
        <f t="shared" si="31"/>
        <v>——</v>
      </c>
      <c r="I101" s="3066">
        <v>7.0000000000000007E-2</v>
      </c>
      <c r="J101" s="1909">
        <f t="shared" si="27"/>
        <v>0</v>
      </c>
      <c r="K101" s="1909">
        <f t="shared" si="28"/>
        <v>0</v>
      </c>
      <c r="L101" s="1909">
        <v>0</v>
      </c>
      <c r="M101" s="1909">
        <f t="shared" si="29"/>
        <v>0</v>
      </c>
      <c r="N101" s="1909">
        <f t="shared" si="29"/>
        <v>0</v>
      </c>
    </row>
    <row r="103" spans="1:14">
      <c r="A103" s="3470" t="s">
        <v>3290</v>
      </c>
      <c r="B103" s="3470"/>
      <c r="C103" s="3470"/>
      <c r="D103" s="3470"/>
      <c r="E103" s="3470"/>
      <c r="F103" s="3470"/>
      <c r="G103" s="3470"/>
      <c r="H103" s="3470"/>
      <c r="I103" s="3470"/>
      <c r="J103" s="3470"/>
      <c r="K103" s="1665"/>
      <c r="L103" s="1665"/>
      <c r="M103" s="1665"/>
      <c r="N103" s="1665"/>
    </row>
    <row r="104" spans="1:14">
      <c r="A104" s="3471" t="s">
        <v>3291</v>
      </c>
      <c r="B104" s="3471" t="s">
        <v>3292</v>
      </c>
      <c r="C104" s="3087" t="s">
        <v>3293</v>
      </c>
      <c r="D104" s="3088"/>
      <c r="E104" s="3088"/>
      <c r="F104" s="3088"/>
      <c r="G104" s="3088"/>
      <c r="H104" s="3088"/>
      <c r="I104" s="3088"/>
      <c r="J104" s="3089"/>
      <c r="K104" s="3090"/>
      <c r="L104" s="3090"/>
      <c r="M104" s="3090"/>
      <c r="N104" s="3090"/>
    </row>
    <row r="105" spans="1:14">
      <c r="A105" s="3471"/>
      <c r="B105" s="3471"/>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457"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8"/>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8"/>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8"/>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8"/>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8"/>
      <c r="B111" s="3091" t="s">
        <v>3264</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9"/>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60" t="s">
        <v>3307</v>
      </c>
      <c r="B113" s="3460"/>
      <c r="C113" s="3460"/>
      <c r="D113" s="3460"/>
      <c r="E113" s="3460"/>
      <c r="F113" s="3460"/>
      <c r="G113" s="3460"/>
      <c r="H113" s="3460"/>
      <c r="I113" s="3460"/>
      <c r="J113" s="3460"/>
      <c r="K113" s="3093"/>
      <c r="L113" s="3093"/>
      <c r="M113" s="3093"/>
      <c r="N113" s="3093"/>
    </row>
    <row r="114" spans="1:14">
      <c r="A114" s="3094"/>
      <c r="B114" s="3094"/>
      <c r="C114" s="3094"/>
      <c r="D114" s="3094"/>
      <c r="E114" s="3094"/>
      <c r="F114" s="3094"/>
      <c r="G114" s="3094"/>
      <c r="H114" s="3094"/>
      <c r="I114" s="3094"/>
      <c r="J114" s="3094"/>
      <c r="K114" s="1961"/>
      <c r="L114" s="3094"/>
      <c r="M114" s="3094"/>
      <c r="N114" s="3094"/>
    </row>
    <row r="115" spans="1:14" ht="13.5" thickBot="1">
      <c r="A115" s="3094"/>
      <c r="B115" s="3094"/>
      <c r="C115" s="3094"/>
      <c r="D115" s="3094"/>
      <c r="E115" s="3094"/>
      <c r="F115" s="3094"/>
      <c r="G115" s="3094"/>
      <c r="H115" s="3094"/>
      <c r="I115" s="3094"/>
      <c r="J115" s="3094"/>
      <c r="K115" s="1961"/>
      <c r="L115" s="3094"/>
      <c r="M115" s="3094"/>
      <c r="N115" s="3094"/>
    </row>
    <row r="116" spans="1:14" ht="25.5" thickBot="1">
      <c r="A116" s="3095" t="s">
        <v>3308</v>
      </c>
      <c r="B116" s="3111">
        <f>G3</f>
        <v>0</v>
      </c>
      <c r="C116" s="3096" t="s">
        <v>3309</v>
      </c>
      <c r="D116" s="3097">
        <f>SUMPRODUCT((A118:A122=F116)*(B117:M117=H116)*B118:M122)</f>
        <v>0</v>
      </c>
      <c r="E116" s="160" t="s">
        <v>3310</v>
      </c>
      <c r="F116" s="3098">
        <f>E2</f>
        <v>0</v>
      </c>
      <c r="G116" s="160" t="s">
        <v>3311</v>
      </c>
      <c r="H116" s="3098">
        <f>G2</f>
        <v>0</v>
      </c>
      <c r="I116" s="160"/>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3325</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3326</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5" thickBot="1">
      <c r="A121" s="3107" t="s">
        <v>3327</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2608</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2590</v>
      </c>
      <c r="B1" s="2808" t="s">
        <v>2591</v>
      </c>
      <c r="C1" s="2808" t="s">
        <v>2592</v>
      </c>
      <c r="D1" s="2808" t="s">
        <v>2593</v>
      </c>
      <c r="E1" s="2808" t="s">
        <v>2594</v>
      </c>
      <c r="F1" s="2808" t="s">
        <v>2595</v>
      </c>
      <c r="G1" s="2808" t="s">
        <v>2596</v>
      </c>
      <c r="H1" s="2808" t="s">
        <v>2597</v>
      </c>
      <c r="I1" s="2808" t="s">
        <v>2598</v>
      </c>
      <c r="J1" s="2808" t="s">
        <v>2599</v>
      </c>
      <c r="K1" s="2808" t="s">
        <v>2600</v>
      </c>
      <c r="L1" s="2808" t="s">
        <v>2601</v>
      </c>
      <c r="M1" s="2809" t="s">
        <v>2602</v>
      </c>
    </row>
    <row r="2" spans="1:13" ht="19.5" customHeight="1">
      <c r="A2" s="2811" t="s">
        <v>2603</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2604</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2605</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2606</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2607</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2608</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2609</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2610</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2611</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2612</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2613</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2614</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2615</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2616</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2617</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2618</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2619</v>
      </c>
      <c r="B18" s="2833"/>
      <c r="C18" s="2834"/>
      <c r="D18" s="2834"/>
      <c r="E18" s="2833"/>
      <c r="F18" s="2834"/>
      <c r="G18" s="2834"/>
    </row>
    <row r="19" spans="1:13" ht="19.5" customHeight="1" thickBot="1">
      <c r="A19" s="2831" t="s">
        <v>2620</v>
      </c>
      <c r="B19" s="2836" t="s">
        <v>2621</v>
      </c>
      <c r="C19" s="2836" t="s">
        <v>2622</v>
      </c>
      <c r="D19" s="2837"/>
      <c r="E19" s="2831" t="s">
        <v>2623</v>
      </c>
      <c r="F19" s="2838"/>
      <c r="G19" s="2838"/>
    </row>
    <row r="20" spans="1:13" ht="19.5" customHeight="1">
      <c r="A20" s="3483" t="s">
        <v>2603</v>
      </c>
      <c r="B20" s="3476" t="s">
        <v>2624</v>
      </c>
      <c r="C20" s="2839" t="s">
        <v>2435</v>
      </c>
      <c r="D20" s="2840"/>
      <c r="E20" s="2841">
        <v>1</v>
      </c>
      <c r="F20" s="2842" t="s">
        <v>2436</v>
      </c>
      <c r="G20" s="2842"/>
    </row>
    <row r="21" spans="1:13" ht="19.5" customHeight="1">
      <c r="A21" s="3484"/>
      <c r="B21" s="3477"/>
      <c r="C21" s="2843" t="s">
        <v>2437</v>
      </c>
      <c r="D21" s="2844"/>
      <c r="E21" s="2845">
        <v>1</v>
      </c>
      <c r="F21" s="2842" t="s">
        <v>2438</v>
      </c>
      <c r="G21" s="2842"/>
    </row>
    <row r="22" spans="1:13" ht="19.5" customHeight="1">
      <c r="A22" s="3484"/>
      <c r="B22" s="3477"/>
      <c r="C22" s="2843" t="s">
        <v>2439</v>
      </c>
      <c r="D22" s="2844"/>
      <c r="E22" s="2845">
        <v>0.9</v>
      </c>
      <c r="F22" s="2842" t="s">
        <v>2440</v>
      </c>
      <c r="G22" s="2842"/>
    </row>
    <row r="23" spans="1:13" ht="19.5" customHeight="1">
      <c r="A23" s="3484"/>
      <c r="B23" s="3477"/>
      <c r="C23" s="2843" t="s">
        <v>2441</v>
      </c>
      <c r="D23" s="2844"/>
      <c r="E23" s="2845">
        <v>0.9</v>
      </c>
      <c r="F23" s="2842" t="s">
        <v>2442</v>
      </c>
      <c r="G23" s="2842"/>
    </row>
    <row r="24" spans="1:13" ht="19.5" customHeight="1">
      <c r="A24" s="3484"/>
      <c r="B24" s="3477"/>
      <c r="C24" s="2843" t="s">
        <v>2443</v>
      </c>
      <c r="D24" s="2844"/>
      <c r="E24" s="2845">
        <v>0.8</v>
      </c>
      <c r="F24" s="2842" t="s">
        <v>2444</v>
      </c>
      <c r="G24" s="2842"/>
    </row>
    <row r="25" spans="1:13" ht="19.5" customHeight="1" thickBot="1">
      <c r="A25" s="3485"/>
      <c r="B25" s="3478"/>
      <c r="C25" s="2846" t="s">
        <v>2445</v>
      </c>
      <c r="D25" s="2847"/>
      <c r="E25" s="2848">
        <v>0.8</v>
      </c>
      <c r="F25" s="2842" t="s">
        <v>2446</v>
      </c>
      <c r="G25" s="2842"/>
    </row>
    <row r="26" spans="1:13" ht="19.5" customHeight="1" thickBot="1">
      <c r="A26" s="2849" t="s">
        <v>2625</v>
      </c>
      <c r="B26" s="2850" t="s">
        <v>2624</v>
      </c>
      <c r="C26" s="2851" t="s">
        <v>2626</v>
      </c>
      <c r="D26" s="2852"/>
      <c r="E26" s="2853">
        <v>1</v>
      </c>
      <c r="F26" s="2842" t="s">
        <v>2447</v>
      </c>
      <c r="G26" s="2842"/>
    </row>
    <row r="27" spans="1:13" ht="19.5" customHeight="1">
      <c r="A27" s="3479" t="s">
        <v>2627</v>
      </c>
      <c r="B27" s="3476" t="s">
        <v>2608</v>
      </c>
      <c r="C27" s="2839" t="s">
        <v>2448</v>
      </c>
      <c r="D27" s="2840"/>
      <c r="E27" s="2841">
        <v>1</v>
      </c>
      <c r="F27" s="2842" t="s">
        <v>2449</v>
      </c>
      <c r="G27" s="2842"/>
    </row>
    <row r="28" spans="1:13" ht="19.5" customHeight="1">
      <c r="A28" s="3480"/>
      <c r="B28" s="3477"/>
      <c r="C28" s="2843" t="s">
        <v>2450</v>
      </c>
      <c r="D28" s="2844"/>
      <c r="E28" s="2845">
        <v>1</v>
      </c>
      <c r="F28" s="2842" t="s">
        <v>2451</v>
      </c>
      <c r="G28" s="2842"/>
    </row>
    <row r="29" spans="1:13" ht="19.5" customHeight="1">
      <c r="A29" s="3480"/>
      <c r="B29" s="3477"/>
      <c r="C29" s="2843" t="s">
        <v>2452</v>
      </c>
      <c r="D29" s="2844"/>
      <c r="E29" s="2845">
        <v>0.8</v>
      </c>
      <c r="F29" s="2842" t="s">
        <v>2453</v>
      </c>
      <c r="G29" s="2842"/>
    </row>
    <row r="30" spans="1:13" ht="19.5" customHeight="1">
      <c r="A30" s="3480"/>
      <c r="B30" s="3477"/>
      <c r="C30" s="2843" t="s">
        <v>2454</v>
      </c>
      <c r="D30" s="2844"/>
      <c r="E30" s="2845">
        <v>0.8</v>
      </c>
      <c r="F30" s="2842" t="s">
        <v>2455</v>
      </c>
      <c r="G30" s="2842"/>
    </row>
    <row r="31" spans="1:13" ht="19.5" customHeight="1">
      <c r="A31" s="3480"/>
      <c r="B31" s="3477"/>
      <c r="C31" s="2843" t="s">
        <v>2456</v>
      </c>
      <c r="D31" s="2844"/>
      <c r="E31" s="2845">
        <v>0.8</v>
      </c>
      <c r="F31" s="2842" t="s">
        <v>2457</v>
      </c>
      <c r="G31" s="2842"/>
    </row>
    <row r="32" spans="1:13" ht="19.5" customHeight="1">
      <c r="A32" s="3480"/>
      <c r="B32" s="3477"/>
      <c r="C32" s="2843" t="s">
        <v>2458</v>
      </c>
      <c r="D32" s="2844"/>
      <c r="E32" s="2845">
        <v>0.7</v>
      </c>
      <c r="F32" s="2842" t="s">
        <v>2459</v>
      </c>
      <c r="G32" s="2842"/>
    </row>
    <row r="33" spans="1:7" ht="19.5" customHeight="1">
      <c r="A33" s="3480"/>
      <c r="B33" s="3477"/>
      <c r="C33" s="2843" t="s">
        <v>2460</v>
      </c>
      <c r="D33" s="2844"/>
      <c r="E33" s="2845">
        <v>0.8</v>
      </c>
      <c r="F33" s="2842" t="s">
        <v>2461</v>
      </c>
      <c r="G33" s="2842"/>
    </row>
    <row r="34" spans="1:7" ht="19.5" customHeight="1">
      <c r="A34" s="3480"/>
      <c r="B34" s="3477"/>
      <c r="C34" s="2843" t="s">
        <v>2462</v>
      </c>
      <c r="D34" s="2844"/>
      <c r="E34" s="2845">
        <v>0.6</v>
      </c>
      <c r="F34" s="2842" t="s">
        <v>2463</v>
      </c>
      <c r="G34" s="2842"/>
    </row>
    <row r="35" spans="1:7" ht="19.5" customHeight="1">
      <c r="A35" s="3480"/>
      <c r="B35" s="3477"/>
      <c r="C35" s="2843" t="s">
        <v>2464</v>
      </c>
      <c r="D35" s="2844"/>
      <c r="E35" s="2845">
        <v>0.2</v>
      </c>
      <c r="F35" s="2842" t="s">
        <v>2465</v>
      </c>
      <c r="G35" s="2842"/>
    </row>
    <row r="36" spans="1:7" ht="19.5" customHeight="1">
      <c r="A36" s="3480"/>
      <c r="B36" s="3477"/>
      <c r="C36" s="2843" t="s">
        <v>2466</v>
      </c>
      <c r="D36" s="2844"/>
      <c r="E36" s="2845">
        <v>0.2</v>
      </c>
      <c r="F36" s="2842" t="s">
        <v>2467</v>
      </c>
      <c r="G36" s="2842"/>
    </row>
    <row r="37" spans="1:7" ht="19.5" customHeight="1">
      <c r="A37" s="3480"/>
      <c r="B37" s="3482" t="s">
        <v>2628</v>
      </c>
      <c r="C37" s="2843" t="s">
        <v>2468</v>
      </c>
      <c r="D37" s="2844"/>
      <c r="E37" s="2845">
        <v>0.6</v>
      </c>
      <c r="F37" s="2842" t="s">
        <v>2469</v>
      </c>
      <c r="G37" s="2842"/>
    </row>
    <row r="38" spans="1:7" ht="19.5" customHeight="1">
      <c r="A38" s="3480"/>
      <c r="B38" s="3477"/>
      <c r="C38" s="2843" t="s">
        <v>2470</v>
      </c>
      <c r="D38" s="2844"/>
      <c r="E38" s="2845">
        <v>0.6</v>
      </c>
      <c r="F38" s="2842" t="s">
        <v>2471</v>
      </c>
      <c r="G38" s="2842"/>
    </row>
    <row r="39" spans="1:7" ht="19.5" customHeight="1" thickBot="1">
      <c r="A39" s="3481"/>
      <c r="B39" s="3478"/>
      <c r="C39" s="2846" t="s">
        <v>2472</v>
      </c>
      <c r="D39" s="2847"/>
      <c r="E39" s="2848">
        <v>0.6</v>
      </c>
      <c r="F39" s="2842" t="s">
        <v>2473</v>
      </c>
      <c r="G39" s="2842"/>
    </row>
    <row r="40" spans="1:7" ht="19.5" customHeight="1" thickBot="1">
      <c r="A40" s="2849" t="s">
        <v>2605</v>
      </c>
      <c r="B40" s="2850" t="s">
        <v>2605</v>
      </c>
      <c r="C40" s="2851" t="s">
        <v>2629</v>
      </c>
      <c r="D40" s="2852"/>
      <c r="E40" s="2853">
        <v>1</v>
      </c>
      <c r="F40" s="2842" t="s">
        <v>2474</v>
      </c>
      <c r="G40" s="2842"/>
    </row>
    <row r="41" spans="1:7" ht="19.5" customHeight="1">
      <c r="A41" s="3483" t="s">
        <v>2606</v>
      </c>
      <c r="B41" s="3476" t="s">
        <v>2630</v>
      </c>
      <c r="C41" s="2839" t="s">
        <v>2475</v>
      </c>
      <c r="D41" s="2840"/>
      <c r="E41" s="2841">
        <v>1</v>
      </c>
      <c r="F41" s="2842" t="s">
        <v>2476</v>
      </c>
      <c r="G41" s="2842"/>
    </row>
    <row r="42" spans="1:7" ht="19.5" customHeight="1">
      <c r="A42" s="3484"/>
      <c r="B42" s="3477"/>
      <c r="C42" s="2843" t="s">
        <v>2477</v>
      </c>
      <c r="D42" s="2844"/>
      <c r="E42" s="2845">
        <v>1</v>
      </c>
      <c r="F42" s="2842" t="s">
        <v>2478</v>
      </c>
      <c r="G42" s="2842"/>
    </row>
    <row r="43" spans="1:7" ht="19.5" customHeight="1">
      <c r="A43" s="3484"/>
      <c r="B43" s="3486"/>
      <c r="C43" s="2843" t="s">
        <v>2479</v>
      </c>
      <c r="D43" s="2844"/>
      <c r="E43" s="2845">
        <v>1.5</v>
      </c>
      <c r="F43" s="2842" t="s">
        <v>2480</v>
      </c>
      <c r="G43" s="2842"/>
    </row>
    <row r="44" spans="1:7" ht="19.5" customHeight="1">
      <c r="A44" s="3484"/>
      <c r="B44" s="2854" t="s">
        <v>2631</v>
      </c>
      <c r="C44" s="2843" t="s">
        <v>2632</v>
      </c>
      <c r="D44" s="2844"/>
      <c r="E44" s="2845">
        <v>2</v>
      </c>
      <c r="F44" s="2842" t="s">
        <v>2481</v>
      </c>
      <c r="G44" s="2842"/>
    </row>
    <row r="45" spans="1:7" ht="19.5" customHeight="1">
      <c r="A45" s="3484"/>
      <c r="B45" s="3482" t="s">
        <v>2633</v>
      </c>
      <c r="C45" s="2843" t="s">
        <v>2482</v>
      </c>
      <c r="D45" s="2844"/>
      <c r="E45" s="2845">
        <v>1</v>
      </c>
      <c r="F45" s="2842" t="s">
        <v>2483</v>
      </c>
      <c r="G45" s="2842"/>
    </row>
    <row r="46" spans="1:7" ht="19.5" customHeight="1">
      <c r="A46" s="3484"/>
      <c r="B46" s="3477"/>
      <c r="C46" s="2843" t="s">
        <v>2484</v>
      </c>
      <c r="D46" s="2844"/>
      <c r="E46" s="2845">
        <v>1</v>
      </c>
      <c r="F46" s="2842" t="s">
        <v>2485</v>
      </c>
      <c r="G46" s="2842"/>
    </row>
    <row r="47" spans="1:7" ht="19.5" customHeight="1">
      <c r="A47" s="3484"/>
      <c r="B47" s="3477"/>
      <c r="C47" s="2843" t="s">
        <v>2486</v>
      </c>
      <c r="D47" s="2844"/>
      <c r="E47" s="2845">
        <v>1</v>
      </c>
      <c r="F47" s="2842" t="s">
        <v>2487</v>
      </c>
      <c r="G47" s="2842"/>
    </row>
    <row r="48" spans="1:7" ht="19.5" customHeight="1">
      <c r="A48" s="3484"/>
      <c r="B48" s="3477"/>
      <c r="C48" s="2843" t="s">
        <v>2488</v>
      </c>
      <c r="D48" s="2844"/>
      <c r="E48" s="2845">
        <v>1</v>
      </c>
      <c r="F48" s="2842" t="s">
        <v>2489</v>
      </c>
      <c r="G48" s="2842"/>
    </row>
    <row r="49" spans="1:7" ht="19.5" customHeight="1">
      <c r="A49" s="3484"/>
      <c r="B49" s="3477"/>
      <c r="C49" s="2843" t="s">
        <v>2490</v>
      </c>
      <c r="D49" s="2844"/>
      <c r="E49" s="2845">
        <v>1</v>
      </c>
      <c r="F49" s="2842" t="s">
        <v>2491</v>
      </c>
      <c r="G49" s="2842"/>
    </row>
    <row r="50" spans="1:7" ht="19.5" customHeight="1">
      <c r="A50" s="3484"/>
      <c r="B50" s="3477"/>
      <c r="C50" s="2843" t="s">
        <v>2492</v>
      </c>
      <c r="D50" s="2844"/>
      <c r="E50" s="2845">
        <v>1</v>
      </c>
      <c r="F50" s="2842" t="s">
        <v>2493</v>
      </c>
      <c r="G50" s="2842"/>
    </row>
    <row r="51" spans="1:7" ht="19.5" customHeight="1" thickBot="1">
      <c r="A51" s="3485"/>
      <c r="B51" s="3478"/>
      <c r="C51" s="2846" t="s">
        <v>2494</v>
      </c>
      <c r="D51" s="2847"/>
      <c r="E51" s="2848">
        <v>1</v>
      </c>
      <c r="F51" s="2842" t="s">
        <v>2495</v>
      </c>
      <c r="G51" s="2842"/>
    </row>
    <row r="52" spans="1:7" ht="19.5" customHeight="1">
      <c r="A52" s="2855"/>
      <c r="B52" s="2855"/>
      <c r="C52" s="2855"/>
      <c r="D52" s="2855"/>
      <c r="E52" s="2855"/>
      <c r="F52" s="2855"/>
      <c r="G52" s="2855"/>
    </row>
    <row r="54" spans="1:7" ht="19.5" customHeight="1">
      <c r="A54" s="2856"/>
      <c r="B54" s="2828" t="s">
        <v>2634</v>
      </c>
      <c r="C54" s="2828" t="s">
        <v>2634</v>
      </c>
      <c r="D54" s="2828" t="s">
        <v>2634</v>
      </c>
      <c r="E54" s="2831" t="s">
        <v>2634</v>
      </c>
      <c r="F54" s="2831" t="s">
        <v>2635</v>
      </c>
      <c r="G54" s="2831" t="s">
        <v>2636</v>
      </c>
    </row>
    <row r="55" spans="1:7" ht="19.5" customHeight="1">
      <c r="A55" s="2857"/>
      <c r="B55" s="2831" t="s">
        <v>2603</v>
      </c>
      <c r="C55" s="2831" t="s">
        <v>2603</v>
      </c>
      <c r="D55" s="2831" t="s">
        <v>2603</v>
      </c>
      <c r="E55" s="2828" t="s">
        <v>2604</v>
      </c>
      <c r="F55" s="2828" t="s">
        <v>2606</v>
      </c>
      <c r="G55" s="2828" t="s">
        <v>2637</v>
      </c>
    </row>
    <row r="56" spans="1:7" ht="19.5" customHeight="1">
      <c r="A56" s="2858"/>
      <c r="B56" s="2828">
        <v>1</v>
      </c>
      <c r="C56" s="2828">
        <v>2</v>
      </c>
      <c r="D56" s="2828">
        <v>3</v>
      </c>
      <c r="E56" s="2859" t="s">
        <v>2638</v>
      </c>
      <c r="F56" s="2859" t="s">
        <v>2638</v>
      </c>
      <c r="G56" s="2859" t="s">
        <v>2638</v>
      </c>
    </row>
    <row r="57" spans="1:7" ht="19.5" customHeight="1">
      <c r="A57" s="2860" t="s">
        <v>2591</v>
      </c>
      <c r="B57" s="2828">
        <v>0.7</v>
      </c>
      <c r="C57" s="2828">
        <v>0.4</v>
      </c>
      <c r="D57" s="2828">
        <v>0.3</v>
      </c>
      <c r="E57" s="2859">
        <v>0.3</v>
      </c>
      <c r="F57" s="2828">
        <v>0.3</v>
      </c>
      <c r="G57" s="2828">
        <v>0.2</v>
      </c>
    </row>
    <row r="58" spans="1:7" ht="19.5" customHeight="1">
      <c r="A58" s="2860" t="s">
        <v>2592</v>
      </c>
      <c r="B58" s="2828">
        <v>0.7</v>
      </c>
      <c r="C58" s="2828">
        <v>0.4</v>
      </c>
      <c r="D58" s="2828">
        <v>0.3</v>
      </c>
      <c r="E58" s="2828">
        <v>0.3</v>
      </c>
      <c r="F58" s="2828">
        <v>0.3</v>
      </c>
      <c r="G58" s="2828">
        <v>0.2</v>
      </c>
    </row>
    <row r="59" spans="1:7" ht="19.5" customHeight="1">
      <c r="A59" s="2860" t="s">
        <v>2593</v>
      </c>
      <c r="B59" s="2828">
        <v>0.6</v>
      </c>
      <c r="C59" s="2828">
        <v>0.3</v>
      </c>
      <c r="D59" s="2828">
        <v>0.25</v>
      </c>
      <c r="E59" s="2828">
        <v>0.25</v>
      </c>
      <c r="F59" s="2828">
        <v>0.25</v>
      </c>
      <c r="G59" s="2828">
        <v>0.15</v>
      </c>
    </row>
    <row r="60" spans="1:7" ht="19.5" customHeight="1">
      <c r="A60" s="2860" t="s">
        <v>2594</v>
      </c>
      <c r="B60" s="2828">
        <v>0.6</v>
      </c>
      <c r="C60" s="2828">
        <v>0.3</v>
      </c>
      <c r="D60" s="2828">
        <v>0.25</v>
      </c>
      <c r="E60" s="2828">
        <v>0.25</v>
      </c>
      <c r="F60" s="2828">
        <v>0.25</v>
      </c>
      <c r="G60" s="2828">
        <v>0.15</v>
      </c>
    </row>
    <row r="61" spans="1:7" ht="19.5" customHeight="1">
      <c r="A61" s="2860" t="s">
        <v>2595</v>
      </c>
      <c r="B61" s="2828">
        <v>0.6</v>
      </c>
      <c r="C61" s="2828">
        <v>0.3</v>
      </c>
      <c r="D61" s="2828">
        <v>0.25</v>
      </c>
      <c r="E61" s="2828">
        <v>0.25</v>
      </c>
      <c r="F61" s="2828">
        <v>0.25</v>
      </c>
      <c r="G61" s="2828">
        <v>0.15</v>
      </c>
    </row>
    <row r="62" spans="1:7" ht="19.5" customHeight="1">
      <c r="A62" s="2860" t="s">
        <v>2596</v>
      </c>
      <c r="B62" s="2828">
        <v>0.6</v>
      </c>
      <c r="C62" s="2828">
        <v>0.3</v>
      </c>
      <c r="D62" s="2828">
        <v>0.25</v>
      </c>
      <c r="E62" s="2828">
        <v>0.25</v>
      </c>
      <c r="F62" s="2828">
        <v>0.25</v>
      </c>
      <c r="G62" s="2828">
        <v>0.15</v>
      </c>
    </row>
    <row r="63" spans="1:7" ht="19.5" customHeight="1">
      <c r="A63" s="2860" t="s">
        <v>2597</v>
      </c>
      <c r="B63" s="2828">
        <v>0.6</v>
      </c>
      <c r="C63" s="2828">
        <v>0.3</v>
      </c>
      <c r="D63" s="2828">
        <v>0.25</v>
      </c>
      <c r="E63" s="2828">
        <v>0.25</v>
      </c>
      <c r="F63" s="2828">
        <v>0.25</v>
      </c>
      <c r="G63" s="2828">
        <v>0.15</v>
      </c>
    </row>
    <row r="64" spans="1:7" ht="19.5" customHeight="1">
      <c r="A64" s="2860" t="s">
        <v>2598</v>
      </c>
      <c r="B64" s="2828">
        <v>0.5</v>
      </c>
      <c r="C64" s="2828">
        <v>0.2</v>
      </c>
      <c r="D64" s="2828">
        <v>0.2</v>
      </c>
      <c r="E64" s="2828">
        <v>0.2</v>
      </c>
      <c r="F64" s="2828">
        <v>0.2</v>
      </c>
      <c r="G64" s="2828">
        <v>0.1</v>
      </c>
    </row>
    <row r="65" spans="1:7" ht="19.5" customHeight="1">
      <c r="A65" s="2860" t="s">
        <v>2599</v>
      </c>
      <c r="B65" s="2828">
        <v>0.5</v>
      </c>
      <c r="C65" s="2828">
        <v>0.2</v>
      </c>
      <c r="D65" s="2828">
        <v>0.2</v>
      </c>
      <c r="E65" s="2828">
        <v>0.2</v>
      </c>
      <c r="F65" s="2828">
        <v>0.2</v>
      </c>
      <c r="G65" s="2828">
        <v>0.1</v>
      </c>
    </row>
    <row r="66" spans="1:7" ht="19.5" customHeight="1">
      <c r="A66" s="2860" t="s">
        <v>2600</v>
      </c>
      <c r="B66" s="2828">
        <v>0.5</v>
      </c>
      <c r="C66" s="2828">
        <v>0.2</v>
      </c>
      <c r="D66" s="2828">
        <v>0.2</v>
      </c>
      <c r="E66" s="2828">
        <v>0.2</v>
      </c>
      <c r="F66" s="2828">
        <v>0.2</v>
      </c>
      <c r="G66" s="2828">
        <v>0.1</v>
      </c>
    </row>
    <row r="67" spans="1:7" ht="19.5" customHeight="1">
      <c r="A67" s="2860" t="s">
        <v>2601</v>
      </c>
      <c r="B67" s="2828">
        <v>0.5</v>
      </c>
      <c r="C67" s="2828">
        <v>0.2</v>
      </c>
      <c r="D67" s="2828">
        <v>0.2</v>
      </c>
      <c r="E67" s="2828">
        <v>0.2</v>
      </c>
      <c r="F67" s="2828">
        <v>0.2</v>
      </c>
      <c r="G67" s="2828">
        <v>0.1</v>
      </c>
    </row>
    <row r="68" spans="1:7" ht="19.5" customHeight="1">
      <c r="A68" s="2860" t="s">
        <v>2602</v>
      </c>
      <c r="B68" s="2828">
        <v>0.5</v>
      </c>
      <c r="C68" s="2828">
        <v>0.2</v>
      </c>
      <c r="D68" s="2828">
        <v>0.2</v>
      </c>
      <c r="E68" s="2828">
        <v>0.2</v>
      </c>
      <c r="F68" s="2828">
        <v>0.2</v>
      </c>
      <c r="G68" s="2828">
        <v>0.1</v>
      </c>
    </row>
    <row r="70" spans="1:7" ht="19.5" customHeight="1">
      <c r="A70" s="2842"/>
      <c r="B70" s="2861"/>
      <c r="C70" s="2861"/>
      <c r="D70" s="2861" t="s">
        <v>2639</v>
      </c>
      <c r="E70" s="2861"/>
      <c r="F70" s="2861"/>
    </row>
    <row r="71" spans="1:7" ht="19.5" customHeight="1">
      <c r="A71" s="2854" t="s">
        <v>2640</v>
      </c>
      <c r="B71" s="2854" t="s">
        <v>2641</v>
      </c>
      <c r="C71" s="2854" t="s">
        <v>2642</v>
      </c>
      <c r="D71" s="2854" t="s">
        <v>2643</v>
      </c>
      <c r="E71" s="2854" t="s">
        <v>2644</v>
      </c>
      <c r="F71" s="2854" t="s">
        <v>2645</v>
      </c>
    </row>
    <row r="72" spans="1:7" ht="13.5">
      <c r="A72" s="2854"/>
      <c r="B72" s="2854"/>
      <c r="C72" s="2854" t="s">
        <v>2646</v>
      </c>
      <c r="D72" s="2854"/>
      <c r="E72" s="2854" t="s">
        <v>2617</v>
      </c>
      <c r="F72" s="2854" t="s">
        <v>2617</v>
      </c>
    </row>
    <row r="73" spans="1:7" ht="13.5">
      <c r="A73" s="2854">
        <v>1</v>
      </c>
      <c r="B73" s="3482" t="s">
        <v>2647</v>
      </c>
      <c r="C73" s="2828" t="s">
        <v>2648</v>
      </c>
      <c r="D73" s="2828" t="s">
        <v>2649</v>
      </c>
      <c r="E73" s="2854">
        <v>0.2</v>
      </c>
      <c r="F73" s="2854">
        <v>25</v>
      </c>
    </row>
    <row r="74" spans="1:7" ht="24">
      <c r="A74" s="2854">
        <v>2</v>
      </c>
      <c r="B74" s="3477"/>
      <c r="C74" s="2828" t="s">
        <v>2650</v>
      </c>
      <c r="D74" s="2828" t="s">
        <v>2651</v>
      </c>
      <c r="E74" s="2854">
        <v>0.2</v>
      </c>
      <c r="F74" s="2854">
        <v>25</v>
      </c>
    </row>
    <row r="75" spans="1:7" ht="24">
      <c r="A75" s="2854">
        <v>3</v>
      </c>
      <c r="B75" s="3477"/>
      <c r="C75" s="2828" t="s">
        <v>2652</v>
      </c>
      <c r="D75" s="2828" t="s">
        <v>2653</v>
      </c>
      <c r="E75" s="2854">
        <v>0.2</v>
      </c>
      <c r="F75" s="2854">
        <v>25</v>
      </c>
    </row>
    <row r="76" spans="1:7" ht="13.5">
      <c r="A76" s="2854">
        <v>4</v>
      </c>
      <c r="B76" s="3477"/>
      <c r="C76" s="2828" t="s">
        <v>2654</v>
      </c>
      <c r="D76" s="2828" t="s">
        <v>2655</v>
      </c>
      <c r="E76" s="2854">
        <v>0.15</v>
      </c>
      <c r="F76" s="2854">
        <v>20</v>
      </c>
    </row>
    <row r="77" spans="1:7" ht="24">
      <c r="A77" s="2854">
        <v>5</v>
      </c>
      <c r="B77" s="3477"/>
      <c r="C77" s="2828" t="s">
        <v>2656</v>
      </c>
      <c r="D77" s="2828" t="s">
        <v>2657</v>
      </c>
      <c r="E77" s="2854">
        <v>0.15</v>
      </c>
      <c r="F77" s="2854">
        <v>20</v>
      </c>
    </row>
    <row r="78" spans="1:7" ht="24">
      <c r="A78" s="2854">
        <v>6</v>
      </c>
      <c r="B78" s="3477"/>
      <c r="C78" s="2828" t="s">
        <v>2658</v>
      </c>
      <c r="D78" s="2828" t="s">
        <v>2659</v>
      </c>
      <c r="E78" s="2854">
        <v>0.15</v>
      </c>
      <c r="F78" s="2854">
        <v>20</v>
      </c>
    </row>
    <row r="79" spans="1:7" ht="24">
      <c r="A79" s="2854">
        <v>7</v>
      </c>
      <c r="B79" s="3477"/>
      <c r="C79" s="2828" t="s">
        <v>2660</v>
      </c>
      <c r="D79" s="2828" t="s">
        <v>2661</v>
      </c>
      <c r="E79" s="2854">
        <v>0.15</v>
      </c>
      <c r="F79" s="2854">
        <v>20</v>
      </c>
    </row>
    <row r="80" spans="1:7" ht="24">
      <c r="A80" s="2854">
        <v>8</v>
      </c>
      <c r="B80" s="3477"/>
      <c r="C80" s="2828" t="s">
        <v>2662</v>
      </c>
      <c r="D80" s="2828" t="s">
        <v>2663</v>
      </c>
      <c r="E80" s="2854">
        <v>0.1</v>
      </c>
      <c r="F80" s="2854">
        <v>15</v>
      </c>
    </row>
    <row r="81" spans="1:6" ht="24">
      <c r="A81" s="2854">
        <v>9</v>
      </c>
      <c r="B81" s="3477"/>
      <c r="C81" s="2828" t="s">
        <v>2664</v>
      </c>
      <c r="D81" s="2828" t="s">
        <v>2665</v>
      </c>
      <c r="E81" s="2854">
        <v>0.1</v>
      </c>
      <c r="F81" s="2854">
        <v>15</v>
      </c>
    </row>
    <row r="82" spans="1:6" ht="24">
      <c r="A82" s="2854">
        <v>10</v>
      </c>
      <c r="B82" s="3477"/>
      <c r="C82" s="2828" t="s">
        <v>2666</v>
      </c>
      <c r="D82" s="2828" t="s">
        <v>2667</v>
      </c>
      <c r="E82" s="2854">
        <v>0.1</v>
      </c>
      <c r="F82" s="2854">
        <v>15</v>
      </c>
    </row>
    <row r="83" spans="1:6" ht="24">
      <c r="A83" s="2854">
        <v>11</v>
      </c>
      <c r="B83" s="3477"/>
      <c r="C83" s="2828" t="s">
        <v>2668</v>
      </c>
      <c r="D83" s="2828" t="s">
        <v>2669</v>
      </c>
      <c r="E83" s="2854">
        <v>0.1</v>
      </c>
      <c r="F83" s="2854">
        <v>15</v>
      </c>
    </row>
    <row r="84" spans="1:6" ht="24">
      <c r="A84" s="2854">
        <v>12</v>
      </c>
      <c r="B84" s="3477"/>
      <c r="C84" s="2828" t="s">
        <v>2670</v>
      </c>
      <c r="D84" s="2828" t="s">
        <v>2671</v>
      </c>
      <c r="E84" s="2854">
        <v>0.1</v>
      </c>
      <c r="F84" s="2854">
        <v>15</v>
      </c>
    </row>
    <row r="85" spans="1:6" ht="13.5">
      <c r="A85" s="2854">
        <v>13</v>
      </c>
      <c r="B85" s="3477"/>
      <c r="C85" s="2828" t="s">
        <v>2672</v>
      </c>
      <c r="D85" s="2828" t="s">
        <v>2673</v>
      </c>
      <c r="E85" s="2854">
        <v>0.1</v>
      </c>
      <c r="F85" s="2854">
        <v>15</v>
      </c>
    </row>
    <row r="86" spans="1:6" ht="13.5">
      <c r="A86" s="2854">
        <v>14</v>
      </c>
      <c r="B86" s="3477"/>
      <c r="C86" s="2828" t="s">
        <v>2674</v>
      </c>
      <c r="D86" s="2828" t="s">
        <v>2675</v>
      </c>
      <c r="E86" s="2854">
        <v>0.1</v>
      </c>
      <c r="F86" s="2854">
        <v>15</v>
      </c>
    </row>
    <row r="87" spans="1:6" ht="13.5">
      <c r="A87" s="2854">
        <v>15</v>
      </c>
      <c r="B87" s="3477"/>
      <c r="C87" s="2828" t="s">
        <v>2676</v>
      </c>
      <c r="D87" s="2828" t="s">
        <v>2677</v>
      </c>
      <c r="E87" s="2854">
        <v>0.1</v>
      </c>
      <c r="F87" s="2854">
        <v>15</v>
      </c>
    </row>
    <row r="88" spans="1:6" ht="24">
      <c r="A88" s="2854">
        <v>16</v>
      </c>
      <c r="B88" s="3477"/>
      <c r="C88" s="2828" t="s">
        <v>2678</v>
      </c>
      <c r="D88" s="2828" t="s">
        <v>2679</v>
      </c>
      <c r="E88" s="2854">
        <v>0.1</v>
      </c>
      <c r="F88" s="2854">
        <v>15</v>
      </c>
    </row>
    <row r="89" spans="1:6" ht="24">
      <c r="A89" s="2854">
        <v>17</v>
      </c>
      <c r="B89" s="3486"/>
      <c r="C89" s="2828" t="s">
        <v>2680</v>
      </c>
      <c r="D89" s="2828" t="s">
        <v>2681</v>
      </c>
      <c r="E89" s="2854">
        <v>0.1</v>
      </c>
      <c r="F89" s="2854">
        <v>15</v>
      </c>
    </row>
    <row r="90" spans="1:6" ht="13.5">
      <c r="A90" s="2854">
        <v>18</v>
      </c>
      <c r="B90" s="3482" t="s">
        <v>2682</v>
      </c>
      <c r="C90" s="2828" t="s">
        <v>2683</v>
      </c>
      <c r="D90" s="2828" t="s">
        <v>2684</v>
      </c>
      <c r="E90" s="2854">
        <v>0.2</v>
      </c>
      <c r="F90" s="2854">
        <v>25</v>
      </c>
    </row>
    <row r="91" spans="1:6" ht="24">
      <c r="A91" s="2854">
        <v>19</v>
      </c>
      <c r="B91" s="3477"/>
      <c r="C91" s="2828" t="s">
        <v>2685</v>
      </c>
      <c r="D91" s="2828" t="s">
        <v>2686</v>
      </c>
      <c r="E91" s="2854">
        <v>0.2</v>
      </c>
      <c r="F91" s="2854">
        <v>25</v>
      </c>
    </row>
    <row r="92" spans="1:6" ht="13.5">
      <c r="A92" s="2854">
        <v>20</v>
      </c>
      <c r="B92" s="3477"/>
      <c r="C92" s="2828" t="s">
        <v>2687</v>
      </c>
      <c r="D92" s="2828" t="s">
        <v>2688</v>
      </c>
      <c r="E92" s="2854">
        <v>0.15</v>
      </c>
      <c r="F92" s="2854">
        <v>20</v>
      </c>
    </row>
    <row r="93" spans="1:6" ht="13.5">
      <c r="A93" s="2854">
        <v>21</v>
      </c>
      <c r="B93" s="3477"/>
      <c r="C93" s="2828" t="s">
        <v>2689</v>
      </c>
      <c r="D93" s="2828" t="s">
        <v>2690</v>
      </c>
      <c r="E93" s="2854">
        <v>0.15</v>
      </c>
      <c r="F93" s="2854">
        <v>20</v>
      </c>
    </row>
    <row r="94" spans="1:6" ht="13.5">
      <c r="A94" s="2854">
        <v>22</v>
      </c>
      <c r="B94" s="3477"/>
      <c r="C94" s="2828" t="s">
        <v>2691</v>
      </c>
      <c r="D94" s="2828" t="s">
        <v>2692</v>
      </c>
      <c r="E94" s="2854">
        <v>0.15</v>
      </c>
      <c r="F94" s="2854">
        <v>20</v>
      </c>
    </row>
    <row r="95" spans="1:6" ht="36">
      <c r="A95" s="2854">
        <v>23</v>
      </c>
      <c r="B95" s="3477"/>
      <c r="C95" s="2828" t="s">
        <v>2693</v>
      </c>
      <c r="D95" s="2828" t="s">
        <v>2694</v>
      </c>
      <c r="E95" s="2854">
        <v>0.15</v>
      </c>
      <c r="F95" s="2854">
        <v>20</v>
      </c>
    </row>
    <row r="96" spans="1:6" ht="13.5">
      <c r="A96" s="2854">
        <v>24</v>
      </c>
      <c r="B96" s="3477"/>
      <c r="C96" s="2828" t="s">
        <v>2695</v>
      </c>
      <c r="D96" s="2828" t="s">
        <v>2696</v>
      </c>
      <c r="E96" s="2854">
        <v>0.1</v>
      </c>
      <c r="F96" s="2854">
        <v>15</v>
      </c>
    </row>
    <row r="97" spans="1:6" ht="13.5">
      <c r="A97" s="2854">
        <v>25</v>
      </c>
      <c r="B97" s="3477"/>
      <c r="C97" s="2828" t="s">
        <v>2697</v>
      </c>
      <c r="D97" s="2828" t="s">
        <v>2698</v>
      </c>
      <c r="E97" s="2854">
        <v>0.1</v>
      </c>
      <c r="F97" s="2854">
        <v>15</v>
      </c>
    </row>
    <row r="98" spans="1:6" ht="24">
      <c r="A98" s="2854">
        <v>26</v>
      </c>
      <c r="B98" s="3477"/>
      <c r="C98" s="2828" t="s">
        <v>2699</v>
      </c>
      <c r="D98" s="2828" t="s">
        <v>2700</v>
      </c>
      <c r="E98" s="2854">
        <v>0.1</v>
      </c>
      <c r="F98" s="2854">
        <v>15</v>
      </c>
    </row>
    <row r="99" spans="1:6" ht="24">
      <c r="A99" s="2854">
        <v>27</v>
      </c>
      <c r="B99" s="3477"/>
      <c r="C99" s="2828" t="s">
        <v>2701</v>
      </c>
      <c r="D99" s="2828" t="s">
        <v>2702</v>
      </c>
      <c r="E99" s="2854">
        <v>0.1</v>
      </c>
      <c r="F99" s="2854">
        <v>15</v>
      </c>
    </row>
    <row r="100" spans="1:6" ht="13.5">
      <c r="A100" s="2854">
        <v>28</v>
      </c>
      <c r="B100" s="3477"/>
      <c r="C100" s="2828" t="s">
        <v>2703</v>
      </c>
      <c r="D100" s="2828" t="s">
        <v>2704</v>
      </c>
      <c r="E100" s="2854">
        <v>0.1</v>
      </c>
      <c r="F100" s="2854">
        <v>15</v>
      </c>
    </row>
    <row r="101" spans="1:6" ht="13.5">
      <c r="A101" s="2854">
        <v>29</v>
      </c>
      <c r="B101" s="3477"/>
      <c r="C101" s="2828" t="s">
        <v>2705</v>
      </c>
      <c r="D101" s="2828" t="s">
        <v>2706</v>
      </c>
      <c r="E101" s="2854">
        <v>0.1</v>
      </c>
      <c r="F101" s="2854">
        <v>15</v>
      </c>
    </row>
    <row r="102" spans="1:6" ht="13.5">
      <c r="A102" s="2854">
        <v>30</v>
      </c>
      <c r="B102" s="3477"/>
      <c r="C102" s="2828" t="s">
        <v>2707</v>
      </c>
      <c r="D102" s="2828" t="s">
        <v>2708</v>
      </c>
      <c r="E102" s="2854">
        <v>0.1</v>
      </c>
      <c r="F102" s="2854">
        <v>15</v>
      </c>
    </row>
    <row r="103" spans="1:6" ht="24">
      <c r="A103" s="2854">
        <v>31</v>
      </c>
      <c r="B103" s="3477"/>
      <c r="C103" s="2828" t="s">
        <v>2709</v>
      </c>
      <c r="D103" s="2828" t="s">
        <v>2710</v>
      </c>
      <c r="E103" s="2854">
        <v>0.1</v>
      </c>
      <c r="F103" s="2854">
        <v>15</v>
      </c>
    </row>
    <row r="104" spans="1:6" ht="24">
      <c r="A104" s="2854">
        <v>32</v>
      </c>
      <c r="B104" s="3477"/>
      <c r="C104" s="2828" t="s">
        <v>2711</v>
      </c>
      <c r="D104" s="2828" t="s">
        <v>2712</v>
      </c>
      <c r="E104" s="2854">
        <v>0.1</v>
      </c>
      <c r="F104" s="2854">
        <v>15</v>
      </c>
    </row>
    <row r="105" spans="1:6" ht="24">
      <c r="A105" s="2854">
        <v>33</v>
      </c>
      <c r="B105" s="3477"/>
      <c r="C105" s="2828" t="s">
        <v>2713</v>
      </c>
      <c r="D105" s="2828" t="s">
        <v>2714</v>
      </c>
      <c r="E105" s="2854">
        <v>0.1</v>
      </c>
      <c r="F105" s="2854">
        <v>15</v>
      </c>
    </row>
    <row r="106" spans="1:6" ht="24">
      <c r="A106" s="2854">
        <v>34</v>
      </c>
      <c r="B106" s="3486"/>
      <c r="C106" s="2828" t="s">
        <v>2715</v>
      </c>
      <c r="D106" s="2828" t="s">
        <v>2716</v>
      </c>
      <c r="E106" s="2854">
        <v>0.1</v>
      </c>
      <c r="F106" s="2854">
        <v>15</v>
      </c>
    </row>
    <row r="107" spans="1:6" ht="24">
      <c r="A107" s="2854">
        <v>35</v>
      </c>
      <c r="B107" s="3482" t="s">
        <v>2717</v>
      </c>
      <c r="C107" s="2854" t="s">
        <v>2718</v>
      </c>
      <c r="D107" s="2828" t="s">
        <v>2719</v>
      </c>
      <c r="E107" s="2854">
        <v>0.15</v>
      </c>
      <c r="F107" s="2854">
        <v>20</v>
      </c>
    </row>
    <row r="108" spans="1:6" ht="13.5">
      <c r="A108" s="2854">
        <v>36</v>
      </c>
      <c r="B108" s="3477"/>
      <c r="C108" s="2854" t="s">
        <v>2720</v>
      </c>
      <c r="D108" s="2828" t="s">
        <v>2721</v>
      </c>
      <c r="E108" s="2854">
        <v>0.15</v>
      </c>
      <c r="F108" s="2854">
        <v>20</v>
      </c>
    </row>
    <row r="109" spans="1:6" ht="13.5">
      <c r="A109" s="2854">
        <v>37</v>
      </c>
      <c r="B109" s="3477"/>
      <c r="C109" s="2854" t="s">
        <v>2722</v>
      </c>
      <c r="D109" s="2828" t="s">
        <v>2723</v>
      </c>
      <c r="E109" s="2854">
        <v>0.15</v>
      </c>
      <c r="F109" s="2854">
        <v>20</v>
      </c>
    </row>
    <row r="110" spans="1:6" ht="13.5">
      <c r="A110" s="2854">
        <v>38</v>
      </c>
      <c r="B110" s="3477"/>
      <c r="C110" s="2854" t="s">
        <v>2724</v>
      </c>
      <c r="D110" s="2828" t="s">
        <v>2725</v>
      </c>
      <c r="E110" s="2854">
        <v>0.1</v>
      </c>
      <c r="F110" s="2854">
        <v>15</v>
      </c>
    </row>
    <row r="111" spans="1:6" ht="24">
      <c r="A111" s="2854">
        <v>39</v>
      </c>
      <c r="B111" s="3477"/>
      <c r="C111" s="2854" t="s">
        <v>2726</v>
      </c>
      <c r="D111" s="2828" t="s">
        <v>2727</v>
      </c>
      <c r="E111" s="2854">
        <v>0.1</v>
      </c>
      <c r="F111" s="2854">
        <v>15</v>
      </c>
    </row>
    <row r="112" spans="1:6" ht="24">
      <c r="A112" s="2854">
        <v>40</v>
      </c>
      <c r="B112" s="3486"/>
      <c r="C112" s="2854" t="s">
        <v>2728</v>
      </c>
      <c r="D112" s="2828" t="s">
        <v>2729</v>
      </c>
      <c r="E112" s="2854">
        <v>0.1</v>
      </c>
      <c r="F112" s="2854">
        <v>15</v>
      </c>
    </row>
    <row r="113" spans="1:6" ht="13.5">
      <c r="A113" s="2854">
        <v>41</v>
      </c>
      <c r="B113" s="3487" t="s">
        <v>2730</v>
      </c>
      <c r="C113" s="2854" t="s">
        <v>2731</v>
      </c>
      <c r="D113" s="2828" t="s">
        <v>2732</v>
      </c>
      <c r="E113" s="2854">
        <v>0.1</v>
      </c>
      <c r="F113" s="2854">
        <v>15</v>
      </c>
    </row>
    <row r="114" spans="1:6" ht="13.5">
      <c r="A114" s="2854">
        <v>42</v>
      </c>
      <c r="B114" s="3487"/>
      <c r="C114" s="2854" t="s">
        <v>2733</v>
      </c>
      <c r="D114" s="2828" t="s">
        <v>2734</v>
      </c>
      <c r="E114" s="2854">
        <v>0.1</v>
      </c>
      <c r="F114" s="2854">
        <v>15</v>
      </c>
    </row>
    <row r="115" spans="1:6" ht="24">
      <c r="A115" s="2854">
        <v>43</v>
      </c>
      <c r="B115" s="3487"/>
      <c r="C115" s="2854" t="s">
        <v>2735</v>
      </c>
      <c r="D115" s="2828" t="s">
        <v>2736</v>
      </c>
      <c r="E115" s="2854">
        <v>0.1</v>
      </c>
      <c r="F115" s="2854">
        <v>15</v>
      </c>
    </row>
    <row r="116" spans="1:6" ht="13.5">
      <c r="A116" s="2854">
        <v>44</v>
      </c>
      <c r="B116" s="3482" t="s">
        <v>2737</v>
      </c>
      <c r="C116" s="2854" t="s">
        <v>2738</v>
      </c>
      <c r="D116" s="2828" t="s">
        <v>2739</v>
      </c>
      <c r="E116" s="2854">
        <v>0.1</v>
      </c>
      <c r="F116" s="2854">
        <v>15</v>
      </c>
    </row>
    <row r="117" spans="1:6" ht="24">
      <c r="A117" s="2854">
        <v>45</v>
      </c>
      <c r="B117" s="3486"/>
      <c r="C117" s="2828" t="s">
        <v>2740</v>
      </c>
      <c r="D117" s="2828" t="s">
        <v>2741</v>
      </c>
      <c r="E117" s="2854">
        <v>0.1</v>
      </c>
      <c r="F117" s="2854">
        <v>15</v>
      </c>
    </row>
    <row r="118" spans="1:6" ht="24">
      <c r="A118" s="2854">
        <v>46</v>
      </c>
      <c r="B118" s="3482" t="s">
        <v>2742</v>
      </c>
      <c r="C118" s="2854" t="s">
        <v>2743</v>
      </c>
      <c r="D118" s="2828" t="s">
        <v>2744</v>
      </c>
      <c r="E118" s="2854">
        <v>0.1</v>
      </c>
      <c r="F118" s="2854">
        <v>15</v>
      </c>
    </row>
    <row r="119" spans="1:6" ht="24">
      <c r="A119" s="2854">
        <v>47</v>
      </c>
      <c r="B119" s="3486"/>
      <c r="C119" s="2854" t="s">
        <v>2745</v>
      </c>
      <c r="D119" s="2828" t="s">
        <v>2746</v>
      </c>
      <c r="E119" s="2854">
        <v>0.1</v>
      </c>
      <c r="F119" s="2854">
        <v>15</v>
      </c>
    </row>
    <row r="120" spans="1:6" ht="13.5">
      <c r="A120" s="2854">
        <v>48</v>
      </c>
      <c r="B120" s="3482" t="s">
        <v>2747</v>
      </c>
      <c r="C120" s="2854" t="s">
        <v>2748</v>
      </c>
      <c r="D120" s="2828" t="s">
        <v>2749</v>
      </c>
      <c r="E120" s="2854">
        <v>0.1</v>
      </c>
      <c r="F120" s="2854">
        <v>15</v>
      </c>
    </row>
    <row r="121" spans="1:6" ht="13.5">
      <c r="A121" s="2854">
        <v>49</v>
      </c>
      <c r="B121" s="3486"/>
      <c r="C121" s="2854" t="s">
        <v>2750</v>
      </c>
      <c r="D121" s="2828" t="s">
        <v>2751</v>
      </c>
      <c r="E121" s="2854">
        <v>0.1</v>
      </c>
      <c r="F121" s="2854">
        <v>15</v>
      </c>
    </row>
    <row r="122" spans="1:6" ht="24">
      <c r="A122" s="2854">
        <v>50</v>
      </c>
      <c r="B122" s="3487" t="s">
        <v>2752</v>
      </c>
      <c r="C122" s="2854" t="s">
        <v>2753</v>
      </c>
      <c r="D122" s="2828" t="s">
        <v>2754</v>
      </c>
      <c r="E122" s="2854">
        <v>0.1</v>
      </c>
      <c r="F122" s="2854">
        <v>15</v>
      </c>
    </row>
    <row r="123" spans="1:6" ht="24">
      <c r="A123" s="2854">
        <v>51</v>
      </c>
      <c r="B123" s="3487"/>
      <c r="C123" s="2854" t="s">
        <v>2755</v>
      </c>
      <c r="D123" s="2828" t="s">
        <v>2756</v>
      </c>
      <c r="E123" s="2854">
        <v>0.1</v>
      </c>
      <c r="F123" s="2854">
        <v>15</v>
      </c>
    </row>
    <row r="124" spans="1:6" ht="24">
      <c r="A124" s="2854">
        <v>52</v>
      </c>
      <c r="B124" s="3487" t="s">
        <v>2757</v>
      </c>
      <c r="C124" s="2854" t="s">
        <v>2758</v>
      </c>
      <c r="D124" s="2828" t="s">
        <v>2759</v>
      </c>
      <c r="E124" s="2854">
        <v>0.1</v>
      </c>
      <c r="F124" s="2854">
        <v>15</v>
      </c>
    </row>
    <row r="125" spans="1:6" ht="24">
      <c r="A125" s="2854">
        <v>53</v>
      </c>
      <c r="B125" s="3487"/>
      <c r="C125" s="2854" t="s">
        <v>2760</v>
      </c>
      <c r="D125" s="2828" t="s">
        <v>2761</v>
      </c>
      <c r="E125" s="2854">
        <v>0.1</v>
      </c>
      <c r="F125" s="2854">
        <v>15</v>
      </c>
    </row>
    <row r="126" spans="1:6" ht="13.5">
      <c r="A126" s="2854">
        <v>54</v>
      </c>
      <c r="B126" s="2854" t="s">
        <v>2762</v>
      </c>
      <c r="C126" s="2854" t="s">
        <v>2763</v>
      </c>
      <c r="D126" s="2828" t="s">
        <v>2764</v>
      </c>
      <c r="E126" s="2854">
        <v>0.1</v>
      </c>
      <c r="F126" s="2854">
        <v>15</v>
      </c>
    </row>
    <row r="127" spans="1:6" ht="13.5">
      <c r="A127" s="2854">
        <v>55</v>
      </c>
      <c r="B127" s="3487" t="s">
        <v>2765</v>
      </c>
      <c r="C127" s="2854" t="s">
        <v>2766</v>
      </c>
      <c r="D127" s="2828" t="s">
        <v>2767</v>
      </c>
      <c r="E127" s="2854">
        <v>0.1</v>
      </c>
      <c r="F127" s="2854">
        <v>15</v>
      </c>
    </row>
    <row r="128" spans="1:6" ht="13.5">
      <c r="A128" s="2854">
        <v>56</v>
      </c>
      <c r="B128" s="3487"/>
      <c r="C128" s="2854" t="s">
        <v>2768</v>
      </c>
      <c r="D128" s="2828" t="s">
        <v>2769</v>
      </c>
      <c r="E128" s="2854">
        <v>0.1</v>
      </c>
      <c r="F128" s="2854">
        <v>15</v>
      </c>
    </row>
    <row r="129" spans="1:6" ht="24">
      <c r="A129" s="2854">
        <v>57</v>
      </c>
      <c r="B129" s="3487"/>
      <c r="C129" s="2854" t="s">
        <v>2770</v>
      </c>
      <c r="D129" s="2828" t="s">
        <v>2771</v>
      </c>
      <c r="E129" s="2854">
        <v>0.1</v>
      </c>
      <c r="F129" s="2854">
        <v>15</v>
      </c>
    </row>
    <row r="130" spans="1:6" ht="24">
      <c r="A130" s="2854">
        <v>58</v>
      </c>
      <c r="B130" s="3487" t="s">
        <v>2772</v>
      </c>
      <c r="C130" s="2854" t="s">
        <v>2773</v>
      </c>
      <c r="D130" s="2828" t="s">
        <v>2774</v>
      </c>
      <c r="E130" s="2854">
        <v>0.1</v>
      </c>
      <c r="F130" s="2854">
        <v>15</v>
      </c>
    </row>
    <row r="131" spans="1:6" ht="13.5">
      <c r="A131" s="2854">
        <v>59</v>
      </c>
      <c r="B131" s="3487"/>
      <c r="C131" s="2854" t="s">
        <v>2775</v>
      </c>
      <c r="D131" s="2828" t="s">
        <v>2776</v>
      </c>
      <c r="E131" s="2854">
        <v>0.1</v>
      </c>
      <c r="F131" s="2854">
        <v>15</v>
      </c>
    </row>
    <row r="132" spans="1:6" ht="13.5">
      <c r="A132" s="2854">
        <v>60</v>
      </c>
      <c r="B132" s="3482" t="s">
        <v>2777</v>
      </c>
      <c r="C132" s="2854" t="s">
        <v>2778</v>
      </c>
      <c r="D132" s="2828" t="s">
        <v>2779</v>
      </c>
      <c r="E132" s="2854">
        <v>0.1</v>
      </c>
      <c r="F132" s="2854">
        <v>15</v>
      </c>
    </row>
    <row r="133" spans="1:6" ht="13.5">
      <c r="A133" s="2854">
        <v>61</v>
      </c>
      <c r="B133" s="3486"/>
      <c r="C133" s="2854" t="s">
        <v>2780</v>
      </c>
      <c r="D133" s="2828" t="s">
        <v>2781</v>
      </c>
      <c r="E133" s="2854">
        <v>0.1</v>
      </c>
      <c r="F133" s="2854">
        <v>15</v>
      </c>
    </row>
    <row r="134" spans="1:6" ht="24">
      <c r="A134" s="2854">
        <v>62</v>
      </c>
      <c r="B134" s="2854" t="s">
        <v>2782</v>
      </c>
      <c r="C134" s="2854" t="s">
        <v>2783</v>
      </c>
      <c r="D134" s="2828" t="s">
        <v>2784</v>
      </c>
      <c r="E134" s="2854">
        <v>0.1</v>
      </c>
      <c r="F134" s="2854">
        <v>15</v>
      </c>
    </row>
    <row r="135" spans="1:6" ht="13.5">
      <c r="A135" s="2854">
        <v>63</v>
      </c>
      <c r="B135" s="3487" t="s">
        <v>2785</v>
      </c>
      <c r="C135" s="2854" t="s">
        <v>2786</v>
      </c>
      <c r="D135" s="2828" t="s">
        <v>2787</v>
      </c>
      <c r="E135" s="2854">
        <v>0.1</v>
      </c>
      <c r="F135" s="2854">
        <v>15</v>
      </c>
    </row>
    <row r="136" spans="1:6" ht="13.5">
      <c r="A136" s="2854">
        <v>64</v>
      </c>
      <c r="B136" s="3487"/>
      <c r="C136" s="2854" t="s">
        <v>2788</v>
      </c>
      <c r="D136" s="2828" t="s">
        <v>2789</v>
      </c>
      <c r="E136" s="2854">
        <v>0.1</v>
      </c>
      <c r="F136" s="2854">
        <v>15</v>
      </c>
    </row>
    <row r="137" spans="1:6" ht="13.5">
      <c r="A137" s="2854">
        <v>65</v>
      </c>
      <c r="B137" s="2854" t="s">
        <v>2790</v>
      </c>
      <c r="C137" s="2854" t="s">
        <v>2791</v>
      </c>
      <c r="D137" s="2828" t="s">
        <v>2792</v>
      </c>
      <c r="E137" s="2854">
        <v>0.1</v>
      </c>
      <c r="F137" s="2854">
        <v>15</v>
      </c>
    </row>
    <row r="138" spans="1:6" ht="13.5">
      <c r="A138" s="2854"/>
      <c r="B138" s="2854"/>
      <c r="C138" s="2854"/>
      <c r="D138" s="2854"/>
      <c r="E138" s="2854" t="s">
        <v>2793</v>
      </c>
      <c r="F138" s="285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2794</v>
      </c>
      <c r="B1" s="2862"/>
      <c r="C1" s="2862"/>
      <c r="D1" s="2862"/>
      <c r="E1" s="2862"/>
      <c r="F1" s="2862"/>
      <c r="G1" s="2862"/>
      <c r="H1" s="2862"/>
      <c r="I1" s="2862"/>
      <c r="J1" s="2862"/>
      <c r="K1" s="2862"/>
      <c r="L1" s="2862"/>
      <c r="M1" s="2862"/>
      <c r="N1" s="705"/>
    </row>
    <row r="2" spans="1:20">
      <c r="A2" s="2863" t="s">
        <v>2795</v>
      </c>
      <c r="B2" s="2864" t="s">
        <v>2591</v>
      </c>
      <c r="C2" s="2864" t="s">
        <v>2592</v>
      </c>
      <c r="D2" s="2864" t="s">
        <v>2593</v>
      </c>
      <c r="E2" s="2864" t="s">
        <v>2594</v>
      </c>
      <c r="F2" s="2864" t="s">
        <v>2595</v>
      </c>
      <c r="G2" s="2864" t="s">
        <v>2596</v>
      </c>
      <c r="H2" s="2865" t="s">
        <v>2597</v>
      </c>
      <c r="I2" s="2865" t="s">
        <v>2598</v>
      </c>
      <c r="J2" s="2866" t="s">
        <v>2599</v>
      </c>
      <c r="K2" s="2866" t="s">
        <v>2600</v>
      </c>
      <c r="L2" s="2866" t="s">
        <v>2601</v>
      </c>
      <c r="M2" s="2867" t="s">
        <v>2602</v>
      </c>
      <c r="Q2" s="2877" t="s">
        <v>2800</v>
      </c>
      <c r="R2" s="2877" t="s">
        <v>2801</v>
      </c>
      <c r="S2" s="2877" t="s">
        <v>2802</v>
      </c>
      <c r="T2" s="2877" t="s">
        <v>2803</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2796</v>
      </c>
      <c r="B93" s="2862"/>
      <c r="C93" s="2862"/>
      <c r="D93" s="2862"/>
      <c r="E93" s="2862"/>
      <c r="F93" s="2862"/>
      <c r="G93" s="2862"/>
      <c r="H93" s="2862"/>
      <c r="I93" s="2862"/>
      <c r="J93" s="2862"/>
      <c r="K93" s="2862"/>
      <c r="L93" s="2862"/>
      <c r="M93" s="2862"/>
    </row>
    <row r="94" spans="1:20">
      <c r="A94" s="2863" t="s">
        <v>2795</v>
      </c>
      <c r="B94" s="2864" t="s">
        <v>2591</v>
      </c>
      <c r="C94" s="2864" t="s">
        <v>2592</v>
      </c>
      <c r="D94" s="2864" t="s">
        <v>2593</v>
      </c>
      <c r="E94" s="2864" t="s">
        <v>2594</v>
      </c>
      <c r="F94" s="2864" t="s">
        <v>2595</v>
      </c>
      <c r="G94" s="2864" t="s">
        <v>2596</v>
      </c>
      <c r="H94" s="2865" t="s">
        <v>2597</v>
      </c>
      <c r="I94" s="2865" t="s">
        <v>2598</v>
      </c>
      <c r="J94" s="2866" t="s">
        <v>2599</v>
      </c>
      <c r="K94" s="2866" t="s">
        <v>2600</v>
      </c>
      <c r="L94" s="2866" t="s">
        <v>2601</v>
      </c>
      <c r="M94" s="2867" t="s">
        <v>2602</v>
      </c>
      <c r="N94">
        <f>SUMPRODUCT((A95:A184=ROUNDDOWN(基准地价修正!G3,1))*(B94:M94=基准地价修正!G2)*(B95:M184))</f>
        <v>0</v>
      </c>
      <c r="Q94" s="2877" t="s">
        <v>2800</v>
      </c>
      <c r="R94" s="2877" t="s">
        <v>2801</v>
      </c>
      <c r="S94" s="2877" t="s">
        <v>2802</v>
      </c>
      <c r="T94" s="2877" t="s">
        <v>2803</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2797</v>
      </c>
      <c r="B185" s="2862"/>
      <c r="C185" s="2862"/>
      <c r="D185" s="2862"/>
      <c r="E185" s="2862"/>
      <c r="F185" s="2862"/>
      <c r="G185" s="2862"/>
      <c r="H185" s="2862"/>
      <c r="I185" s="2862"/>
      <c r="J185" s="2862"/>
      <c r="K185" s="2862"/>
      <c r="L185" s="2862"/>
      <c r="M185" s="2862"/>
    </row>
    <row r="186" spans="1:20">
      <c r="A186" s="2863" t="s">
        <v>2795</v>
      </c>
      <c r="B186" s="2864" t="s">
        <v>2591</v>
      </c>
      <c r="C186" s="2864" t="s">
        <v>2592</v>
      </c>
      <c r="D186" s="2864" t="s">
        <v>2593</v>
      </c>
      <c r="E186" s="2864" t="s">
        <v>2594</v>
      </c>
      <c r="F186" s="2864" t="s">
        <v>2595</v>
      </c>
      <c r="G186" s="2864" t="s">
        <v>2596</v>
      </c>
      <c r="H186" s="2865" t="s">
        <v>2597</v>
      </c>
      <c r="I186" s="2865" t="s">
        <v>2598</v>
      </c>
      <c r="J186" s="2866" t="s">
        <v>2599</v>
      </c>
      <c r="K186" s="2866" t="s">
        <v>2600</v>
      </c>
      <c r="L186" s="2866" t="s">
        <v>2601</v>
      </c>
      <c r="M186" s="2867" t="s">
        <v>2602</v>
      </c>
      <c r="Q186" s="2877" t="s">
        <v>2800</v>
      </c>
      <c r="R186" s="2877" t="s">
        <v>2801</v>
      </c>
      <c r="S186" s="2877" t="s">
        <v>2802</v>
      </c>
      <c r="T186" s="2877" t="s">
        <v>2803</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2798</v>
      </c>
      <c r="B277" s="2862"/>
      <c r="C277" s="2862"/>
      <c r="D277" s="2862"/>
      <c r="E277" s="2862"/>
      <c r="F277" s="2862"/>
      <c r="G277" s="2862"/>
      <c r="H277" s="2862"/>
      <c r="I277" s="2862"/>
      <c r="J277" s="2862"/>
      <c r="K277" s="2862"/>
      <c r="L277" s="2862"/>
      <c r="M277" s="2862"/>
    </row>
    <row r="278" spans="1:21">
      <c r="A278" s="2863" t="s">
        <v>2795</v>
      </c>
      <c r="B278" s="2864" t="s">
        <v>2591</v>
      </c>
      <c r="C278" s="2864" t="s">
        <v>2592</v>
      </c>
      <c r="D278" s="2864" t="s">
        <v>2593</v>
      </c>
      <c r="E278" s="2864" t="s">
        <v>2594</v>
      </c>
      <c r="F278" s="2864" t="s">
        <v>2595</v>
      </c>
      <c r="G278" s="2864" t="s">
        <v>2596</v>
      </c>
      <c r="H278" s="2865" t="s">
        <v>2597</v>
      </c>
      <c r="I278" s="2865" t="s">
        <v>2598</v>
      </c>
      <c r="J278" s="2866" t="s">
        <v>2599</v>
      </c>
      <c r="K278" s="2866" t="s">
        <v>2600</v>
      </c>
      <c r="L278" s="2866" t="s">
        <v>2601</v>
      </c>
      <c r="M278" s="2867" t="s">
        <v>2602</v>
      </c>
      <c r="Q278" s="2877" t="s">
        <v>2800</v>
      </c>
      <c r="R278" s="2877" t="s">
        <v>2801</v>
      </c>
      <c r="S278" s="2877" t="s">
        <v>2804</v>
      </c>
      <c r="T278" s="2877" t="s">
        <v>2805</v>
      </c>
      <c r="U278" s="2877" t="s">
        <v>2803</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2799</v>
      </c>
      <c r="B369" s="2875"/>
      <c r="C369" s="2875"/>
      <c r="D369" s="2875"/>
      <c r="E369" s="2875"/>
      <c r="F369" s="2875"/>
      <c r="G369" s="2875"/>
      <c r="H369" s="2875"/>
      <c r="I369" s="2875"/>
      <c r="J369" s="2875"/>
      <c r="K369" s="2875"/>
      <c r="L369" s="2875"/>
      <c r="M369" s="2875"/>
    </row>
    <row r="370" spans="1:20">
      <c r="A370" s="2863" t="s">
        <v>2795</v>
      </c>
      <c r="B370" s="2864" t="s">
        <v>2591</v>
      </c>
      <c r="C370" s="2864" t="s">
        <v>2592</v>
      </c>
      <c r="D370" s="2864" t="s">
        <v>2593</v>
      </c>
      <c r="E370" s="2864" t="s">
        <v>2594</v>
      </c>
      <c r="F370" s="2864" t="s">
        <v>2595</v>
      </c>
      <c r="G370" s="2864" t="s">
        <v>2596</v>
      </c>
      <c r="H370" s="2865" t="s">
        <v>2597</v>
      </c>
      <c r="I370" s="2865" t="s">
        <v>2598</v>
      </c>
      <c r="J370" s="2866" t="s">
        <v>2599</v>
      </c>
      <c r="K370" s="2866" t="s">
        <v>2600</v>
      </c>
      <c r="L370" s="2866" t="s">
        <v>2601</v>
      </c>
      <c r="M370" s="2867" t="s">
        <v>2602</v>
      </c>
      <c r="N370">
        <f>SUMPRODUCT((A371:A460=ROUNDDOWN(基准地价修正!G3,1))*(B370:M370=基准地价修正!G2)*(B371:M460))</f>
        <v>0</v>
      </c>
      <c r="Q370" s="2877" t="s">
        <v>2800</v>
      </c>
      <c r="R370" s="2877" t="s">
        <v>2801</v>
      </c>
      <c r="S370" s="2877" t="s">
        <v>2802</v>
      </c>
      <c r="T370" s="2877" t="s">
        <v>2803</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89"/>
      <c r="B4" s="3175" t="s">
        <v>917</v>
      </c>
      <c r="C4" s="3175"/>
      <c r="D4" s="3175"/>
      <c r="E4" s="1389"/>
    </row>
    <row r="5" spans="1:5" ht="16.5" thickTop="1">
      <c r="B5" s="3173" t="s">
        <v>909</v>
      </c>
      <c r="C5" s="1390" t="s">
        <v>910</v>
      </c>
      <c r="D5" s="795" t="e">
        <f ca="1">结果表!H101</f>
        <v>#REF!</v>
      </c>
    </row>
    <row r="6" spans="1:5" ht="15.75">
      <c r="B6" s="3173"/>
      <c r="C6" s="1390" t="s">
        <v>911</v>
      </c>
      <c r="D6" s="795" t="e">
        <f ca="1">NUMBERSTRING(INT(D5*10000),2)&amp;"元整"</f>
        <v>#REF!</v>
      </c>
    </row>
    <row r="7" spans="1:5" ht="15.75">
      <c r="B7" s="3178"/>
      <c r="C7" s="1391" t="s">
        <v>912</v>
      </c>
      <c r="D7" s="796" t="e">
        <f ca="1">结果表!H102</f>
        <v>#REF!</v>
      </c>
    </row>
    <row r="8" spans="1:5" ht="15.75">
      <c r="B8" s="3179" t="str">
        <f>结果表!E103</f>
        <v>2.估价师知悉的法定优先受偿款</v>
      </c>
      <c r="C8" s="1392" t="s">
        <v>913</v>
      </c>
      <c r="D8" s="796">
        <f>结果表!H103</f>
        <v>0</v>
      </c>
    </row>
    <row r="9" spans="1:5" ht="15.75">
      <c r="B9" s="3181"/>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72" t="str">
        <f>结果表!E107</f>
        <v>3.房地产抵押价值</v>
      </c>
      <c r="C13" s="1395" t="s">
        <v>910</v>
      </c>
      <c r="D13" s="798" t="e">
        <f ca="1">结果表!H107</f>
        <v>#REF!</v>
      </c>
    </row>
    <row r="14" spans="1:5" ht="15.75">
      <c r="B14" s="3173"/>
      <c r="C14" s="1390" t="s">
        <v>911</v>
      </c>
      <c r="D14" s="795" t="e">
        <f ca="1">NUMBERSTRING(INT(D13*10000),2)&amp;"元整"</f>
        <v>#REF!</v>
      </c>
    </row>
    <row r="15" spans="1:5" ht="15">
      <c r="B15" s="3178"/>
      <c r="C15" s="1391" t="s">
        <v>921</v>
      </c>
      <c r="D15" s="804" t="e">
        <f ca="1">结果表!H108</f>
        <v>#REF!</v>
      </c>
    </row>
    <row r="16" spans="1:5" ht="15">
      <c r="B16" s="3179" t="str">
        <f>结果表!E109</f>
        <v>——</v>
      </c>
      <c r="C16" s="1395" t="s">
        <v>922</v>
      </c>
      <c r="D16" s="1396" t="str">
        <f>结果表!H109</f>
        <v>——</v>
      </c>
    </row>
    <row r="17" spans="1:5" ht="15.75">
      <c r="B17" s="3180"/>
      <c r="C17" s="1390" t="s">
        <v>923</v>
      </c>
      <c r="D17" s="795" t="e">
        <f>NUMBERSTRING(INT(D16*10000),2)&amp;"元整"</f>
        <v>#VALUE!</v>
      </c>
    </row>
    <row r="18" spans="1:5" ht="15">
      <c r="B18" s="3181"/>
      <c r="C18" s="1391" t="s">
        <v>912</v>
      </c>
      <c r="D18" s="804" t="str">
        <f>结果表!H110</f>
        <v>——</v>
      </c>
    </row>
    <row r="19" spans="1:5" ht="15.75">
      <c r="B19" s="3172" t="str">
        <f>结果表!E111</f>
        <v>——</v>
      </c>
      <c r="C19" s="1395" t="s">
        <v>910</v>
      </c>
      <c r="D19" s="796" t="str">
        <f>结果表!H111</f>
        <v>——</v>
      </c>
    </row>
    <row r="20" spans="1:5" ht="15.75">
      <c r="B20" s="3173"/>
      <c r="C20" s="1390" t="s">
        <v>923</v>
      </c>
      <c r="D20" s="795" t="e">
        <f>NUMBERSTRING(INT(D19*10000),2)&amp;"元整"</f>
        <v>#VALUE!</v>
      </c>
    </row>
    <row r="21" spans="1:5" ht="15.75" thickBot="1">
      <c r="B21" s="3174"/>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27689</v>
      </c>
      <c r="C2" s="2" t="s">
        <v>106</v>
      </c>
      <c r="D2" s="189"/>
      <c r="E2" s="189"/>
      <c r="F2" s="189"/>
      <c r="G2" s="189"/>
    </row>
    <row r="3" spans="1:7" s="190" customFormat="1" ht="18" customHeight="1" thickBot="1">
      <c r="A3" s="193" t="s">
        <v>58</v>
      </c>
      <c r="B3" s="194">
        <f ca="1">ROUND(B2*10000/'数据-汇总表'!E3,0)</f>
        <v>1932105</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2</v>
      </c>
      <c r="D9" s="793">
        <f>'数据-汇总表'!E5</f>
        <v>143.31</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3</v>
      </c>
      <c r="D19" s="202">
        <f>'数据-汇总表'!E3</f>
        <v>143.31</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1311</v>
      </c>
      <c r="D22" s="225">
        <f ca="1">C26</f>
        <v>5.9999999999999995E-4</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1298</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13</v>
      </c>
      <c r="D25" s="228"/>
      <c r="E25" s="231"/>
      <c r="F25" s="229"/>
      <c r="G25" s="232" t="s">
        <v>83</v>
      </c>
    </row>
    <row r="26" spans="1:7" s="204" customFormat="1">
      <c r="A26" s="732" t="s">
        <v>350</v>
      </c>
      <c r="B26" s="205" t="s">
        <v>422</v>
      </c>
      <c r="C26" s="228">
        <f ca="1">ROUND(IF('数据-取费表'!B22&lt;=1,F21*F22*'数据-取费表'!B23/2,F21*(POWER((1+F22),'数据-取费表'!B23/2)-1)),4)</f>
        <v>5.9999999999999995E-4</v>
      </c>
      <c r="D26" s="228"/>
      <c r="E26" s="231"/>
      <c r="F26" s="229"/>
      <c r="G26" s="233"/>
    </row>
    <row r="27" spans="1:7" s="204" customFormat="1" ht="24.75">
      <c r="A27" s="729" t="s">
        <v>342</v>
      </c>
      <c r="B27" s="234" t="s">
        <v>85</v>
      </c>
      <c r="C27" s="235">
        <f>C28</f>
        <v>3154</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3154</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27614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66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57</v>
      </c>
      <c r="D34" s="207"/>
      <c r="E34" s="210"/>
      <c r="F34" s="247">
        <f>IF('数据-取费表'!B24=0,1,'数据-取费表'!N16)</f>
        <v>1</v>
      </c>
      <c r="G34" s="209" t="s">
        <v>89</v>
      </c>
    </row>
    <row r="35" spans="1:7" ht="13.5" customHeight="1">
      <c r="A35" s="732" t="s">
        <v>351</v>
      </c>
      <c r="B35" s="205" t="s">
        <v>33</v>
      </c>
      <c r="C35" s="210">
        <f>ROUND(C34*F35,0)</f>
        <v>2</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3</v>
      </c>
      <c r="D36" s="210"/>
      <c r="E36" s="210"/>
      <c r="F36" s="249">
        <f>'数据-取费表'!B34</f>
        <v>0.05</v>
      </c>
      <c r="G36" s="250" t="s">
        <v>35</v>
      </c>
    </row>
    <row r="37" spans="1:7" s="248" customFormat="1" ht="13.5" customHeight="1">
      <c r="A37" s="732" t="s">
        <v>353</v>
      </c>
      <c r="B37" s="205" t="s">
        <v>91</v>
      </c>
      <c r="C37" s="239">
        <f>ROUND(E37*D37*F34/10000,0)</f>
        <v>3</v>
      </c>
      <c r="D37" s="207">
        <f>'数据-汇总表'!E3</f>
        <v>143.31</v>
      </c>
      <c r="E37" s="239">
        <f>'数据-取费表'!B35</f>
        <v>200</v>
      </c>
      <c r="F37" s="249"/>
      <c r="G37" s="251" t="s">
        <v>92</v>
      </c>
    </row>
    <row r="38" spans="1:7" ht="13.5" customHeight="1">
      <c r="A38" s="732" t="s">
        <v>354</v>
      </c>
      <c r="B38" s="205" t="s">
        <v>36</v>
      </c>
      <c r="C38" s="210">
        <f>ROUND(C34*F38,0)</f>
        <v>1</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2</v>
      </c>
      <c r="D41" s="225">
        <f ca="1">C44</f>
        <v>5.9999999999999995E-4</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2</v>
      </c>
      <c r="D42" s="228"/>
      <c r="E42" s="228"/>
      <c r="F42" s="229"/>
      <c r="G42" s="3353" t="s">
        <v>94</v>
      </c>
    </row>
    <row r="43" spans="1:7" ht="13.5" customHeight="1">
      <c r="A43" s="732" t="s">
        <v>347</v>
      </c>
      <c r="B43" s="205" t="s">
        <v>426</v>
      </c>
      <c r="C43" s="228">
        <f ca="1">ROUND(IF('数据-取费表'!B22&lt;=1,C39*F22*'数据-取费表'!B21/2,C39*(POWER((1+F22),'数据-取费表'!B21/2)-1)),0)</f>
        <v>0</v>
      </c>
      <c r="D43" s="228"/>
      <c r="E43" s="228"/>
      <c r="F43" s="229"/>
      <c r="G43" s="3354"/>
    </row>
    <row r="44" spans="1:7" ht="13.5" customHeight="1">
      <c r="A44" s="732" t="s">
        <v>348</v>
      </c>
      <c r="B44" s="205" t="s">
        <v>428</v>
      </c>
      <c r="C44" s="228">
        <f ca="1">ROUND(IF('数据-取费表'!B22&lt;=1,C40*F22*'数据-取费表'!B21/2,C40*(POWER((1+F22),'数据-取费表'!B21/2)-1)),4)</f>
        <v>5.9999999999999995E-4</v>
      </c>
      <c r="D44" s="228"/>
      <c r="E44" s="228"/>
      <c r="F44" s="229"/>
      <c r="G44" s="3355"/>
    </row>
    <row r="45" spans="1:7" s="204" customFormat="1" ht="13.5" customHeight="1">
      <c r="A45" s="729" t="s">
        <v>341</v>
      </c>
      <c r="B45" s="234" t="s">
        <v>85</v>
      </c>
      <c r="C45" s="235">
        <f>C46</f>
        <v>10</v>
      </c>
      <c r="D45" s="225">
        <f>C47</f>
        <v>3.0000000000000001E-3</v>
      </c>
      <c r="E45" s="226" t="s">
        <v>102</v>
      </c>
      <c r="F45" s="236"/>
      <c r="G45" s="237" t="s">
        <v>434</v>
      </c>
    </row>
    <row r="46" spans="1:7" s="204" customFormat="1" ht="13.5" customHeight="1">
      <c r="A46" s="732" t="s">
        <v>349</v>
      </c>
      <c r="B46" s="238" t="s">
        <v>427</v>
      </c>
      <c r="C46" s="239">
        <f>ROUND((C33+C39)*F27,0)</f>
        <v>10</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5.6000000000000001E-2</v>
      </c>
      <c r="D48" s="226" t="s">
        <v>103</v>
      </c>
      <c r="E48" s="222"/>
      <c r="F48" s="227"/>
      <c r="G48" s="224" t="s">
        <v>96</v>
      </c>
    </row>
    <row r="49" spans="1:7" ht="16.5" customHeight="1">
      <c r="A49" s="729" t="s">
        <v>343</v>
      </c>
      <c r="B49" s="200" t="s">
        <v>104</v>
      </c>
      <c r="C49" s="222">
        <f ca="1">ROUND((C33+C39+C41+C45)/(1-C40-D41-D45-C48/(1+'数据-取费表'!B42)),0)</f>
        <v>86</v>
      </c>
      <c r="D49" s="222"/>
      <c r="E49" s="222"/>
      <c r="F49" s="254"/>
      <c r="G49" s="224" t="s">
        <v>435</v>
      </c>
    </row>
    <row r="50" spans="1:7" s="248" customFormat="1" ht="24">
      <c r="A50" s="729" t="s">
        <v>344</v>
      </c>
      <c r="B50" s="200" t="s">
        <v>97</v>
      </c>
      <c r="C50" s="222"/>
      <c r="D50" s="222"/>
      <c r="E50" s="222"/>
      <c r="F50" s="254">
        <f>IF('数据-取费表'!B24=0,'数据-取费表'!N16,1)</f>
        <v>0.87</v>
      </c>
      <c r="G50" s="237" t="s">
        <v>98</v>
      </c>
    </row>
    <row r="51" spans="1:7" ht="16.5" customHeight="1">
      <c r="A51" s="729" t="s">
        <v>345</v>
      </c>
      <c r="B51" s="200" t="s">
        <v>105</v>
      </c>
      <c r="C51" s="222">
        <f ca="1">ROUND(C49*F50,0)</f>
        <v>75</v>
      </c>
      <c r="D51" s="222"/>
      <c r="E51" s="222"/>
      <c r="F51" s="254"/>
      <c r="G51" s="224" t="s">
        <v>37</v>
      </c>
    </row>
    <row r="52" spans="1:7" s="198" customFormat="1" ht="16.5" thickBot="1">
      <c r="A52" s="255" t="s">
        <v>38</v>
      </c>
      <c r="B52" s="256"/>
      <c r="C52" s="257">
        <f ca="1">C31+C51</f>
        <v>27689</v>
      </c>
      <c r="D52" s="256"/>
      <c r="E52" s="256"/>
      <c r="F52" s="256"/>
      <c r="G52" s="258"/>
    </row>
    <row r="55" spans="1:7" ht="15">
      <c r="B55" s="260" t="s">
        <v>39</v>
      </c>
      <c r="C55" s="261"/>
    </row>
    <row r="56" spans="1:7">
      <c r="B56" s="263" t="s">
        <v>40</v>
      </c>
      <c r="C56" s="264">
        <f ca="1">ROUND(C51/C52,3)</f>
        <v>3.0000000000000001E-3</v>
      </c>
    </row>
    <row r="57" spans="1:7">
      <c r="B57" s="263" t="s">
        <v>41</v>
      </c>
      <c r="C57" s="26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8" t="s">
        <v>3177</v>
      </c>
      <c r="B1" s="3488"/>
    </row>
    <row r="2" spans="1:7" ht="14.25" thickBot="1">
      <c r="A2" s="2965"/>
      <c r="B2" s="2965"/>
    </row>
    <row r="3" spans="1:7" ht="14.25" thickBot="1">
      <c r="A3" s="2965"/>
      <c r="B3" s="2965"/>
      <c r="C3" s="2966" t="s">
        <v>2807</v>
      </c>
      <c r="D3" s="2966" t="s">
        <v>2863</v>
      </c>
      <c r="E3" s="2966" t="s">
        <v>2809</v>
      </c>
      <c r="F3" s="2966" t="s">
        <v>2864</v>
      </c>
      <c r="G3" s="2966" t="s">
        <v>2627</v>
      </c>
    </row>
    <row r="4" spans="1:7" ht="14.25" thickBot="1">
      <c r="A4" s="2967" t="s">
        <v>2862</v>
      </c>
      <c r="B4" s="2968" t="s">
        <v>2868</v>
      </c>
      <c r="C4" s="2966"/>
      <c r="D4" s="2966"/>
      <c r="E4" s="2966"/>
      <c r="F4" s="2966"/>
      <c r="G4" s="2966"/>
    </row>
    <row r="5" spans="1:7">
      <c r="A5" s="2969" t="s">
        <v>2836</v>
      </c>
      <c r="B5" s="2970" t="s">
        <v>2850</v>
      </c>
      <c r="C5" s="2971">
        <v>9.8000000000000004E-2</v>
      </c>
      <c r="D5" s="2971">
        <v>8.6999999999999994E-2</v>
      </c>
      <c r="E5" s="2971">
        <v>8.6999999999999994E-2</v>
      </c>
      <c r="F5" s="2971">
        <v>9.8000000000000004E-2</v>
      </c>
      <c r="G5" s="2972">
        <v>9.5000000000000001E-2</v>
      </c>
    </row>
    <row r="6" spans="1:7">
      <c r="A6" s="2973" t="s">
        <v>144</v>
      </c>
      <c r="B6" s="2974" t="s">
        <v>2865</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2851</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2901</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2919</v>
      </c>
      <c r="C29" s="2983"/>
      <c r="D29" s="2979">
        <v>5.1999999999999998E-2</v>
      </c>
      <c r="E29" s="2979">
        <v>7.0000000000000007E-2</v>
      </c>
      <c r="F29" s="2983"/>
      <c r="G29" s="2981">
        <v>7.0999999999999994E-2</v>
      </c>
    </row>
    <row r="30" spans="1:7">
      <c r="A30" s="2984" t="s">
        <v>296</v>
      </c>
      <c r="B30" s="2970" t="s">
        <v>2852</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2838</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2922</v>
      </c>
      <c r="C50" s="2975">
        <v>9.8000000000000004E-2</v>
      </c>
      <c r="D50" s="2975">
        <v>7.2999999999999995E-2</v>
      </c>
      <c r="E50" s="2975">
        <v>7.0999999999999994E-2</v>
      </c>
      <c r="F50" s="2986"/>
      <c r="G50" s="2976">
        <v>7.2999999999999995E-2</v>
      </c>
    </row>
    <row r="51" spans="1:7">
      <c r="A51" s="2985" t="s">
        <v>296</v>
      </c>
      <c r="B51" s="2974" t="s">
        <v>2924</v>
      </c>
      <c r="C51" s="2975">
        <v>9.9000000000000005E-2</v>
      </c>
      <c r="D51" s="2975">
        <v>8.5000000000000006E-2</v>
      </c>
      <c r="E51" s="2975">
        <v>6.3E-2</v>
      </c>
      <c r="F51" s="2986"/>
      <c r="G51" s="2976">
        <v>9.6000000000000002E-2</v>
      </c>
    </row>
    <row r="52" spans="1:7">
      <c r="A52" s="2985" t="s">
        <v>296</v>
      </c>
      <c r="B52" s="2974" t="s">
        <v>2928</v>
      </c>
      <c r="C52" s="2975">
        <v>7.3999999999999996E-2</v>
      </c>
      <c r="D52" s="2975">
        <v>9.6000000000000002E-2</v>
      </c>
      <c r="E52" s="2975">
        <v>0.05</v>
      </c>
      <c r="F52" s="2986"/>
      <c r="G52" s="2976">
        <v>9.8000000000000004E-2</v>
      </c>
    </row>
    <row r="53" spans="1:7">
      <c r="A53" s="2985" t="s">
        <v>296</v>
      </c>
      <c r="B53" s="2974" t="s">
        <v>2933</v>
      </c>
      <c r="C53" s="2975">
        <v>8.5999999999999993E-2</v>
      </c>
      <c r="D53" s="2986"/>
      <c r="E53" s="2975">
        <v>9.1999999999999998E-2</v>
      </c>
      <c r="F53" s="2986"/>
      <c r="G53" s="2987"/>
    </row>
    <row r="54" spans="1:7" ht="14.25" thickBot="1">
      <c r="A54" s="2988" t="s">
        <v>296</v>
      </c>
      <c r="B54" s="2978" t="s">
        <v>2936</v>
      </c>
      <c r="C54" s="2979">
        <v>9.6000000000000002E-2</v>
      </c>
      <c r="D54" s="2980"/>
      <c r="E54" s="2989"/>
      <c r="F54" s="2980"/>
      <c r="G54" s="2990"/>
    </row>
    <row r="55" spans="1:7">
      <c r="A55" s="2984" t="s">
        <v>110</v>
      </c>
      <c r="B55" s="2970" t="s">
        <v>2853</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2934</v>
      </c>
      <c r="C78" s="2975">
        <v>0.1</v>
      </c>
      <c r="D78" s="2975">
        <v>8.5000000000000006E-2</v>
      </c>
      <c r="E78" s="2975">
        <v>9.6000000000000002E-2</v>
      </c>
      <c r="F78" s="2986"/>
      <c r="G78" s="2976">
        <v>9.6000000000000002E-2</v>
      </c>
    </row>
    <row r="79" spans="1:7">
      <c r="A79" s="2985" t="s">
        <v>110</v>
      </c>
      <c r="B79" s="2974" t="s">
        <v>2937</v>
      </c>
      <c r="C79" s="2975">
        <v>0.05</v>
      </c>
      <c r="D79" s="2975">
        <v>9.6000000000000002E-2</v>
      </c>
      <c r="E79" s="2975">
        <v>9.5000000000000001E-2</v>
      </c>
      <c r="F79" s="2986"/>
      <c r="G79" s="2976">
        <v>9.8000000000000004E-2</v>
      </c>
    </row>
    <row r="80" spans="1:7">
      <c r="A80" s="2985" t="s">
        <v>110</v>
      </c>
      <c r="B80" s="2974" t="s">
        <v>2941</v>
      </c>
      <c r="C80" s="2975">
        <v>8.5999999999999993E-2</v>
      </c>
      <c r="D80" s="2991"/>
      <c r="E80" s="2975">
        <v>0.1</v>
      </c>
      <c r="F80" s="2986"/>
      <c r="G80" s="2987"/>
    </row>
    <row r="81" spans="1:7">
      <c r="A81" s="2985" t="s">
        <v>110</v>
      </c>
      <c r="B81" s="2974" t="s">
        <v>2946</v>
      </c>
      <c r="C81" s="2975">
        <v>9.6000000000000002E-2</v>
      </c>
      <c r="D81" s="2986"/>
      <c r="E81" s="2975">
        <v>9.8000000000000004E-2</v>
      </c>
      <c r="F81" s="2986"/>
      <c r="G81" s="2987"/>
    </row>
    <row r="82" spans="1:7">
      <c r="A82" s="2985" t="s">
        <v>110</v>
      </c>
      <c r="B82" s="2974" t="s">
        <v>2953</v>
      </c>
      <c r="C82" s="2991"/>
      <c r="D82" s="2986"/>
      <c r="E82" s="2975">
        <v>7.6999999999999999E-2</v>
      </c>
      <c r="F82" s="2986"/>
      <c r="G82" s="2987"/>
    </row>
    <row r="83" spans="1:7">
      <c r="A83" s="2985" t="s">
        <v>110</v>
      </c>
      <c r="B83" s="2974" t="s">
        <v>2959</v>
      </c>
      <c r="C83" s="2986"/>
      <c r="D83" s="2986"/>
      <c r="E83" s="2986"/>
      <c r="F83" s="2975">
        <v>0.1</v>
      </c>
      <c r="G83" s="2992"/>
    </row>
    <row r="84" spans="1:7">
      <c r="A84" s="2985" t="s">
        <v>110</v>
      </c>
      <c r="B84" s="2974" t="s">
        <v>2966</v>
      </c>
      <c r="C84" s="2986"/>
      <c r="D84" s="2986"/>
      <c r="E84" s="2986"/>
      <c r="F84" s="2975">
        <v>0.1</v>
      </c>
      <c r="G84" s="2992"/>
    </row>
    <row r="85" spans="1:7">
      <c r="A85" s="2985" t="s">
        <v>110</v>
      </c>
      <c r="B85" s="2974" t="s">
        <v>2973</v>
      </c>
      <c r="C85" s="2986"/>
      <c r="D85" s="2986"/>
      <c r="E85" s="2986"/>
      <c r="F85" s="2975">
        <v>0.1</v>
      </c>
      <c r="G85" s="2992"/>
    </row>
    <row r="86" spans="1:7" ht="14.25" thickBot="1">
      <c r="A86" s="2988" t="s">
        <v>110</v>
      </c>
      <c r="B86" s="2978" t="s">
        <v>2978</v>
      </c>
      <c r="C86" s="2979">
        <v>9.8000000000000004E-2</v>
      </c>
      <c r="D86" s="2979">
        <v>9.8000000000000004E-2</v>
      </c>
      <c r="E86" s="2979">
        <v>9.6000000000000002E-2</v>
      </c>
      <c r="F86" s="2989"/>
      <c r="G86" s="2981">
        <v>0.1</v>
      </c>
    </row>
    <row r="87" spans="1:7">
      <c r="A87" s="2984" t="s">
        <v>303</v>
      </c>
      <c r="B87" s="2970" t="s">
        <v>2854</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2947</v>
      </c>
      <c r="C113" s="2975">
        <v>0.1</v>
      </c>
      <c r="D113" s="2975">
        <v>0.1</v>
      </c>
      <c r="E113" s="2986"/>
      <c r="F113" s="2986"/>
      <c r="G113" s="2976">
        <v>0.1</v>
      </c>
    </row>
    <row r="114" spans="1:7">
      <c r="A114" s="2985" t="s">
        <v>303</v>
      </c>
      <c r="B114" s="2974" t="s">
        <v>2954</v>
      </c>
      <c r="C114" s="2975">
        <v>9.7000000000000003E-2</v>
      </c>
      <c r="D114" s="2975">
        <v>9.7000000000000003E-2</v>
      </c>
      <c r="E114" s="2986"/>
      <c r="F114" s="2986"/>
      <c r="G114" s="2976">
        <v>9.9000000000000005E-2</v>
      </c>
    </row>
    <row r="115" spans="1:7">
      <c r="A115" s="2985" t="s">
        <v>303</v>
      </c>
      <c r="B115" s="2974" t="s">
        <v>2960</v>
      </c>
      <c r="C115" s="2975">
        <v>0.1</v>
      </c>
      <c r="D115" s="2975">
        <v>0.1</v>
      </c>
      <c r="E115" s="2986"/>
      <c r="F115" s="2986"/>
      <c r="G115" s="2976">
        <v>0.1</v>
      </c>
    </row>
    <row r="116" spans="1:7">
      <c r="A116" s="2985" t="s">
        <v>303</v>
      </c>
      <c r="B116" s="2974" t="s">
        <v>2967</v>
      </c>
      <c r="C116" s="2975">
        <v>0.1</v>
      </c>
      <c r="D116" s="2975">
        <v>0.1</v>
      </c>
      <c r="E116" s="2986"/>
      <c r="F116" s="2986"/>
      <c r="G116" s="2976">
        <v>0.1</v>
      </c>
    </row>
    <row r="117" spans="1:7">
      <c r="A117" s="2985" t="s">
        <v>303</v>
      </c>
      <c r="B117" s="2974" t="s">
        <v>2974</v>
      </c>
      <c r="C117" s="2975">
        <v>9.7000000000000003E-2</v>
      </c>
      <c r="D117" s="2975">
        <v>9.7000000000000003E-2</v>
      </c>
      <c r="E117" s="2986"/>
      <c r="F117" s="2986"/>
      <c r="G117" s="2976">
        <v>9.7000000000000003E-2</v>
      </c>
    </row>
    <row r="118" spans="1:7">
      <c r="A118" s="2985" t="s">
        <v>303</v>
      </c>
      <c r="B118" s="2974" t="s">
        <v>2979</v>
      </c>
      <c r="C118" s="2975">
        <v>0.1</v>
      </c>
      <c r="D118" s="2975">
        <v>0.1</v>
      </c>
      <c r="E118" s="2986"/>
      <c r="F118" s="2986"/>
      <c r="G118" s="2976">
        <v>0.1</v>
      </c>
    </row>
    <row r="119" spans="1:7">
      <c r="A119" s="2985" t="s">
        <v>303</v>
      </c>
      <c r="B119" s="2974" t="s">
        <v>2983</v>
      </c>
      <c r="C119" s="2975">
        <v>5.0999999999999997E-2</v>
      </c>
      <c r="D119" s="2975">
        <v>5.1999999999999998E-2</v>
      </c>
      <c r="E119" s="2986"/>
      <c r="F119" s="2991"/>
      <c r="G119" s="2976">
        <v>0.06</v>
      </c>
    </row>
    <row r="120" spans="1:7">
      <c r="A120" s="2985" t="s">
        <v>303</v>
      </c>
      <c r="B120" s="2974" t="s">
        <v>2987</v>
      </c>
      <c r="C120" s="2986"/>
      <c r="D120" s="2986"/>
      <c r="E120" s="2986"/>
      <c r="F120" s="2975">
        <v>0.1</v>
      </c>
      <c r="G120" s="2992"/>
    </row>
    <row r="121" spans="1:7">
      <c r="A121" s="2985" t="s">
        <v>303</v>
      </c>
      <c r="B121" s="2974" t="s">
        <v>2992</v>
      </c>
      <c r="C121" s="2986"/>
      <c r="D121" s="2986"/>
      <c r="E121" s="2986"/>
      <c r="F121" s="2975">
        <v>0.1</v>
      </c>
      <c r="G121" s="2992"/>
    </row>
    <row r="122" spans="1:7">
      <c r="A122" s="2985" t="s">
        <v>303</v>
      </c>
      <c r="B122" s="2974" t="s">
        <v>2997</v>
      </c>
      <c r="C122" s="2975">
        <v>0.1</v>
      </c>
      <c r="D122" s="2975">
        <v>0.1</v>
      </c>
      <c r="E122" s="2975">
        <v>9.8000000000000004E-2</v>
      </c>
      <c r="F122" s="2975">
        <v>0.1</v>
      </c>
      <c r="G122" s="2976">
        <v>0.1</v>
      </c>
    </row>
    <row r="123" spans="1:7">
      <c r="A123" s="2985" t="s">
        <v>303</v>
      </c>
      <c r="B123" s="2974" t="s">
        <v>3002</v>
      </c>
      <c r="C123" s="2975">
        <v>0.1</v>
      </c>
      <c r="D123" s="2975">
        <v>0.1</v>
      </c>
      <c r="E123" s="2975">
        <v>9.8000000000000004E-2</v>
      </c>
      <c r="F123" s="2975">
        <v>0.1</v>
      </c>
      <c r="G123" s="2976">
        <v>0.1</v>
      </c>
    </row>
    <row r="124" spans="1:7">
      <c r="A124" s="2985" t="s">
        <v>303</v>
      </c>
      <c r="B124" s="2974" t="s">
        <v>3007</v>
      </c>
      <c r="C124" s="2975">
        <v>0.1</v>
      </c>
      <c r="D124" s="2975">
        <v>0.1</v>
      </c>
      <c r="E124" s="2975">
        <v>9.8000000000000004E-2</v>
      </c>
      <c r="F124" s="2991"/>
      <c r="G124" s="2976">
        <v>0.1</v>
      </c>
    </row>
    <row r="125" spans="1:7">
      <c r="A125" s="2985" t="s">
        <v>303</v>
      </c>
      <c r="B125" s="2974" t="s">
        <v>3012</v>
      </c>
      <c r="C125" s="2975">
        <v>9.8000000000000004E-2</v>
      </c>
      <c r="D125" s="2975">
        <v>9.8000000000000004E-2</v>
      </c>
      <c r="E125" s="2975">
        <v>9.6000000000000002E-2</v>
      </c>
      <c r="F125" s="2991"/>
      <c r="G125" s="2976">
        <v>0.1</v>
      </c>
    </row>
    <row r="126" spans="1:7" ht="14.25" thickBot="1">
      <c r="A126" s="2988" t="s">
        <v>303</v>
      </c>
      <c r="B126" s="2978" t="s">
        <v>3178</v>
      </c>
      <c r="C126" s="2979">
        <v>0.1</v>
      </c>
      <c r="D126" s="2979">
        <v>0.1</v>
      </c>
      <c r="E126" s="2979">
        <v>9.8000000000000004E-2</v>
      </c>
      <c r="F126" s="2979">
        <v>0.1</v>
      </c>
      <c r="G126" s="2981">
        <v>0.1</v>
      </c>
    </row>
    <row r="127" spans="1:7">
      <c r="A127" s="2984" t="s">
        <v>29</v>
      </c>
      <c r="B127" s="2970" t="s">
        <v>2855</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2925</v>
      </c>
      <c r="C148" s="2975">
        <v>0.13</v>
      </c>
      <c r="D148" s="2975">
        <v>0.13</v>
      </c>
      <c r="E148" s="2975">
        <v>0.13</v>
      </c>
      <c r="F148" s="2986"/>
      <c r="G148" s="2976">
        <v>0.13</v>
      </c>
    </row>
    <row r="149" spans="1:7">
      <c r="A149" s="2985" t="s">
        <v>29</v>
      </c>
      <c r="B149" s="2974" t="s">
        <v>2929</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2948</v>
      </c>
      <c r="C153" s="2975">
        <v>0.13</v>
      </c>
      <c r="D153" s="2975">
        <v>0.13</v>
      </c>
      <c r="E153" s="2975">
        <v>0.13</v>
      </c>
      <c r="F153" s="2975">
        <v>0.13</v>
      </c>
      <c r="G153" s="2976">
        <v>0.13</v>
      </c>
    </row>
    <row r="154" spans="1:7">
      <c r="A154" s="2985" t="s">
        <v>29</v>
      </c>
      <c r="B154" s="2974" t="s">
        <v>2955</v>
      </c>
      <c r="C154" s="2975">
        <v>0.121</v>
      </c>
      <c r="D154" s="2975">
        <v>0.121</v>
      </c>
      <c r="E154" s="2975">
        <v>0.105</v>
      </c>
      <c r="F154" s="2975">
        <v>0.121</v>
      </c>
      <c r="G154" s="2976">
        <v>0.123</v>
      </c>
    </row>
    <row r="155" spans="1:7">
      <c r="A155" s="2985" t="s">
        <v>29</v>
      </c>
      <c r="B155" s="2974" t="s">
        <v>2961</v>
      </c>
      <c r="C155" s="2975">
        <v>0.1</v>
      </c>
      <c r="D155" s="2975">
        <v>0.1</v>
      </c>
      <c r="E155" s="2975">
        <v>0.1</v>
      </c>
      <c r="F155" s="2975">
        <v>0.1</v>
      </c>
      <c r="G155" s="2976">
        <v>0.1</v>
      </c>
    </row>
    <row r="156" spans="1:7">
      <c r="A156" s="2985" t="s">
        <v>29</v>
      </c>
      <c r="B156" s="2974" t="s">
        <v>2968</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2988</v>
      </c>
      <c r="C160" s="2975">
        <v>0.13</v>
      </c>
      <c r="D160" s="2975">
        <v>0.13</v>
      </c>
      <c r="E160" s="2975">
        <v>0.124</v>
      </c>
      <c r="F160" s="2975">
        <v>0.126</v>
      </c>
      <c r="G160" s="2976">
        <v>0.13</v>
      </c>
    </row>
    <row r="161" spans="1:7">
      <c r="A161" s="2985" t="s">
        <v>29</v>
      </c>
      <c r="B161" s="2974" t="s">
        <v>2993</v>
      </c>
      <c r="C161" s="2975">
        <v>0.13</v>
      </c>
      <c r="D161" s="2975">
        <v>0.13</v>
      </c>
      <c r="E161" s="2975">
        <v>0.124</v>
      </c>
      <c r="F161" s="2975">
        <v>0.127</v>
      </c>
      <c r="G161" s="2976">
        <v>0.13</v>
      </c>
    </row>
    <row r="162" spans="1:7">
      <c r="A162" s="2985" t="s">
        <v>29</v>
      </c>
      <c r="B162" s="2974" t="s">
        <v>2998</v>
      </c>
      <c r="C162" s="2975">
        <v>0.1</v>
      </c>
      <c r="D162" s="2975">
        <v>0.1</v>
      </c>
      <c r="E162" s="2975">
        <v>0.1</v>
      </c>
      <c r="F162" s="2975">
        <v>0.121</v>
      </c>
      <c r="G162" s="2976">
        <v>0.105</v>
      </c>
    </row>
    <row r="163" spans="1:7">
      <c r="A163" s="2985" t="s">
        <v>29</v>
      </c>
      <c r="B163" s="2974" t="s">
        <v>3003</v>
      </c>
      <c r="C163" s="2975">
        <v>0.1</v>
      </c>
      <c r="D163" s="2975">
        <v>0.1</v>
      </c>
      <c r="E163" s="2975">
        <v>0.1</v>
      </c>
      <c r="F163" s="2975">
        <v>0.1</v>
      </c>
      <c r="G163" s="2976">
        <v>0.1</v>
      </c>
    </row>
    <row r="164" spans="1:7">
      <c r="A164" s="2985" t="s">
        <v>29</v>
      </c>
      <c r="B164" s="2974" t="s">
        <v>3008</v>
      </c>
      <c r="C164" s="2991"/>
      <c r="D164" s="2991"/>
      <c r="E164" s="2991"/>
      <c r="F164" s="2975">
        <v>0.1</v>
      </c>
      <c r="G164" s="2987"/>
    </row>
    <row r="165" spans="1:7">
      <c r="A165" s="2985" t="s">
        <v>29</v>
      </c>
      <c r="B165" s="2974" t="s">
        <v>3179</v>
      </c>
      <c r="C165" s="2975">
        <v>0.126</v>
      </c>
      <c r="D165" s="2975">
        <v>0.126</v>
      </c>
      <c r="E165" s="2975">
        <v>0.11899999999999999</v>
      </c>
      <c r="F165" s="2975">
        <v>0.13</v>
      </c>
      <c r="G165" s="2976">
        <v>0.128</v>
      </c>
    </row>
    <row r="166" spans="1:7">
      <c r="A166" s="2985" t="s">
        <v>29</v>
      </c>
      <c r="B166" s="2974" t="s">
        <v>3018</v>
      </c>
      <c r="C166" s="2975">
        <v>0.129</v>
      </c>
      <c r="D166" s="2975">
        <v>0.129</v>
      </c>
      <c r="E166" s="2975">
        <v>0.123</v>
      </c>
      <c r="F166" s="2975">
        <v>0.128</v>
      </c>
      <c r="G166" s="2976">
        <v>0.13</v>
      </c>
    </row>
    <row r="167" spans="1:7">
      <c r="A167" s="2985" t="s">
        <v>29</v>
      </c>
      <c r="B167" s="2974" t="s">
        <v>3022</v>
      </c>
      <c r="C167" s="2975">
        <v>0.125</v>
      </c>
      <c r="D167" s="2975">
        <v>0.125</v>
      </c>
      <c r="E167" s="2975">
        <v>0.11700000000000001</v>
      </c>
      <c r="F167" s="2975">
        <v>0.13</v>
      </c>
      <c r="G167" s="2976">
        <v>0.126</v>
      </c>
    </row>
    <row r="168" spans="1:7">
      <c r="A168" s="2985" t="s">
        <v>29</v>
      </c>
      <c r="B168" s="2974" t="s">
        <v>3027</v>
      </c>
      <c r="C168" s="2975">
        <v>0.128</v>
      </c>
      <c r="D168" s="2975">
        <v>0.128</v>
      </c>
      <c r="E168" s="2975">
        <v>0.123</v>
      </c>
      <c r="F168" s="2986"/>
      <c r="G168" s="2976">
        <v>0.13</v>
      </c>
    </row>
    <row r="169" spans="1:7">
      <c r="A169" s="2985" t="s">
        <v>29</v>
      </c>
      <c r="B169" s="2974" t="s">
        <v>3180</v>
      </c>
      <c r="C169" s="2991"/>
      <c r="D169" s="2991"/>
      <c r="E169" s="2991"/>
      <c r="F169" s="2975">
        <v>0.05</v>
      </c>
      <c r="G169" s="2987"/>
    </row>
    <row r="170" spans="1:7">
      <c r="A170" s="2985" t="s">
        <v>29</v>
      </c>
      <c r="B170" s="2974" t="s">
        <v>3181</v>
      </c>
      <c r="C170" s="2991"/>
      <c r="D170" s="2991"/>
      <c r="E170" s="2991"/>
      <c r="F170" s="2975">
        <v>0.05</v>
      </c>
      <c r="G170" s="2987"/>
    </row>
    <row r="171" spans="1:7">
      <c r="A171" s="2985" t="s">
        <v>29</v>
      </c>
      <c r="B171" s="2974" t="s">
        <v>3182</v>
      </c>
      <c r="C171" s="2991"/>
      <c r="D171" s="2991"/>
      <c r="E171" s="2991"/>
      <c r="F171" s="2975">
        <v>0.05</v>
      </c>
      <c r="G171" s="2992"/>
    </row>
    <row r="172" spans="1:7">
      <c r="A172" s="2985" t="s">
        <v>29</v>
      </c>
      <c r="B172" s="2974" t="s">
        <v>3183</v>
      </c>
      <c r="C172" s="2991"/>
      <c r="D172" s="2991"/>
      <c r="E172" s="2991"/>
      <c r="F172" s="2975">
        <v>0.05</v>
      </c>
      <c r="G172" s="2992"/>
    </row>
    <row r="173" spans="1:7">
      <c r="A173" s="2985" t="s">
        <v>29</v>
      </c>
      <c r="B173" s="2974" t="s">
        <v>3184</v>
      </c>
      <c r="C173" s="2991"/>
      <c r="D173" s="2991"/>
      <c r="E173" s="2991"/>
      <c r="F173" s="2975">
        <v>0.05</v>
      </c>
      <c r="G173" s="2987"/>
    </row>
    <row r="174" spans="1:7">
      <c r="A174" s="2985" t="s">
        <v>29</v>
      </c>
      <c r="B174" s="2974" t="s">
        <v>3185</v>
      </c>
      <c r="C174" s="2991"/>
      <c r="D174" s="2991"/>
      <c r="E174" s="2991"/>
      <c r="F174" s="2975">
        <v>0.05</v>
      </c>
      <c r="G174" s="2987"/>
    </row>
    <row r="175" spans="1:7">
      <c r="A175" s="2985" t="s">
        <v>29</v>
      </c>
      <c r="B175" s="2974" t="s">
        <v>3186</v>
      </c>
      <c r="C175" s="2991"/>
      <c r="D175" s="2991"/>
      <c r="E175" s="2991"/>
      <c r="F175" s="2975">
        <v>0.05</v>
      </c>
      <c r="G175" s="2987"/>
    </row>
    <row r="176" spans="1:7">
      <c r="A176" s="2985" t="s">
        <v>29</v>
      </c>
      <c r="B176" s="2974" t="s">
        <v>3187</v>
      </c>
      <c r="C176" s="2991"/>
      <c r="D176" s="2991"/>
      <c r="E176" s="2991"/>
      <c r="F176" s="2975">
        <v>0.05</v>
      </c>
      <c r="G176" s="2987"/>
    </row>
    <row r="177" spans="1:7">
      <c r="A177" s="2985" t="s">
        <v>29</v>
      </c>
      <c r="B177" s="2974" t="s">
        <v>3188</v>
      </c>
      <c r="C177" s="2986"/>
      <c r="D177" s="2986"/>
      <c r="E177" s="2986"/>
      <c r="F177" s="2975">
        <v>0.05</v>
      </c>
      <c r="G177" s="2992"/>
    </row>
    <row r="178" spans="1:7">
      <c r="A178" s="2985" t="s">
        <v>29</v>
      </c>
      <c r="B178" s="2974" t="s">
        <v>3189</v>
      </c>
      <c r="C178" s="2986"/>
      <c r="D178" s="2986"/>
      <c r="E178" s="2986"/>
      <c r="F178" s="2975">
        <v>0.05</v>
      </c>
      <c r="G178" s="2992"/>
    </row>
    <row r="179" spans="1:7">
      <c r="A179" s="2985" t="s">
        <v>29</v>
      </c>
      <c r="B179" s="2974" t="s">
        <v>3190</v>
      </c>
      <c r="C179" s="2986"/>
      <c r="D179" s="2986"/>
      <c r="E179" s="2986"/>
      <c r="F179" s="2975">
        <v>0.05</v>
      </c>
      <c r="G179" s="2992"/>
    </row>
    <row r="180" spans="1:7">
      <c r="A180" s="2985" t="s">
        <v>29</v>
      </c>
      <c r="B180" s="2974" t="s">
        <v>3191</v>
      </c>
      <c r="C180" s="2986"/>
      <c r="D180" s="2986"/>
      <c r="E180" s="2986"/>
      <c r="F180" s="2975">
        <v>0.05</v>
      </c>
      <c r="G180" s="2992"/>
    </row>
    <row r="181" spans="1:7">
      <c r="A181" s="2985" t="s">
        <v>29</v>
      </c>
      <c r="B181" s="2974" t="s">
        <v>3192</v>
      </c>
      <c r="C181" s="2986"/>
      <c r="D181" s="2986"/>
      <c r="E181" s="2986"/>
      <c r="F181" s="2975">
        <v>0.05</v>
      </c>
      <c r="G181" s="2992"/>
    </row>
    <row r="182" spans="1:7">
      <c r="A182" s="2985" t="s">
        <v>29</v>
      </c>
      <c r="B182" s="2974" t="s">
        <v>3193</v>
      </c>
      <c r="C182" s="2986"/>
      <c r="D182" s="2986"/>
      <c r="E182" s="2986"/>
      <c r="F182" s="2975">
        <v>0.05</v>
      </c>
      <c r="G182" s="2992"/>
    </row>
    <row r="183" spans="1:7">
      <c r="A183" s="2985" t="s">
        <v>29</v>
      </c>
      <c r="B183" s="2974" t="s">
        <v>3194</v>
      </c>
      <c r="C183" s="2986"/>
      <c r="D183" s="2986"/>
      <c r="E183" s="2986"/>
      <c r="F183" s="2975">
        <v>0.05</v>
      </c>
      <c r="G183" s="2992"/>
    </row>
    <row r="184" spans="1:7">
      <c r="A184" s="2985" t="s">
        <v>29</v>
      </c>
      <c r="B184" s="2974" t="s">
        <v>3195</v>
      </c>
      <c r="C184" s="2986"/>
      <c r="D184" s="2986"/>
      <c r="E184" s="2986"/>
      <c r="F184" s="2975">
        <v>0.05</v>
      </c>
      <c r="G184" s="2992"/>
    </row>
    <row r="185" spans="1:7">
      <c r="A185" s="2985" t="s">
        <v>29</v>
      </c>
      <c r="B185" s="2974" t="s">
        <v>3196</v>
      </c>
      <c r="C185" s="2986"/>
      <c r="D185" s="2986"/>
      <c r="E185" s="2986"/>
      <c r="F185" s="2975">
        <v>0.05</v>
      </c>
      <c r="G185" s="2992"/>
    </row>
    <row r="186" spans="1:7">
      <c r="A186" s="2985" t="s">
        <v>29</v>
      </c>
      <c r="B186" s="2974" t="s">
        <v>3197</v>
      </c>
      <c r="C186" s="2986"/>
      <c r="D186" s="2986"/>
      <c r="E186" s="2986"/>
      <c r="F186" s="2975">
        <v>0.05</v>
      </c>
      <c r="G186" s="2992"/>
    </row>
    <row r="187" spans="1:7">
      <c r="A187" s="2985" t="s">
        <v>29</v>
      </c>
      <c r="B187" s="2974" t="s">
        <v>3198</v>
      </c>
      <c r="C187" s="2986"/>
      <c r="D187" s="2986"/>
      <c r="E187" s="2986"/>
      <c r="F187" s="2975">
        <v>0.05</v>
      </c>
      <c r="G187" s="2992"/>
    </row>
    <row r="188" spans="1:7">
      <c r="A188" s="2985" t="s">
        <v>29</v>
      </c>
      <c r="B188" s="2974" t="s">
        <v>3199</v>
      </c>
      <c r="C188" s="2986"/>
      <c r="D188" s="2986"/>
      <c r="E188" s="2986"/>
      <c r="F188" s="2975">
        <v>0.05</v>
      </c>
      <c r="G188" s="2992"/>
    </row>
    <row r="189" spans="1:7" ht="14.25" thickBot="1">
      <c r="A189" s="2988" t="s">
        <v>29</v>
      </c>
      <c r="B189" s="2978" t="s">
        <v>3200</v>
      </c>
      <c r="C189" s="2980"/>
      <c r="D189" s="2980"/>
      <c r="E189" s="2980"/>
      <c r="F189" s="2979">
        <v>0.05</v>
      </c>
      <c r="G189" s="2993"/>
    </row>
    <row r="190" spans="1:7">
      <c r="A190" s="2984" t="s">
        <v>304</v>
      </c>
      <c r="B190" s="2970" t="s">
        <v>2856</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2892</v>
      </c>
      <c r="C199" s="2975">
        <v>0.13</v>
      </c>
      <c r="D199" s="2975">
        <v>0.13</v>
      </c>
      <c r="E199" s="2975">
        <v>0.13</v>
      </c>
      <c r="F199" s="2975">
        <v>0.13</v>
      </c>
      <c r="G199" s="2976">
        <v>0.13</v>
      </c>
    </row>
    <row r="200" spans="1:7">
      <c r="A200" s="2985" t="s">
        <v>304</v>
      </c>
      <c r="B200" s="2974" t="s">
        <v>2895</v>
      </c>
      <c r="C200" s="2991"/>
      <c r="D200" s="2991"/>
      <c r="E200" s="2991"/>
      <c r="F200" s="2975">
        <v>0.13</v>
      </c>
      <c r="G200" s="2987"/>
    </row>
    <row r="201" spans="1:7">
      <c r="A201" s="2985" t="s">
        <v>304</v>
      </c>
      <c r="B201" s="2974" t="s">
        <v>2900</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2903</v>
      </c>
      <c r="C203" s="2975">
        <v>0.129</v>
      </c>
      <c r="D203" s="2975">
        <v>0.129</v>
      </c>
      <c r="E203" s="2975">
        <v>0.13</v>
      </c>
      <c r="F203" s="2975">
        <v>0.13</v>
      </c>
      <c r="G203" s="2976">
        <v>0.13</v>
      </c>
    </row>
    <row r="204" spans="1:7">
      <c r="A204" s="2985" t="s">
        <v>304</v>
      </c>
      <c r="B204" s="2974" t="s">
        <v>2906</v>
      </c>
      <c r="C204" s="2975">
        <v>0.129</v>
      </c>
      <c r="D204" s="2975">
        <v>0.129</v>
      </c>
      <c r="E204" s="2975">
        <v>0.123</v>
      </c>
      <c r="F204" s="2975">
        <v>0.13</v>
      </c>
      <c r="G204" s="2976">
        <v>0.13</v>
      </c>
    </row>
    <row r="205" spans="1:7">
      <c r="A205" s="2985" t="s">
        <v>304</v>
      </c>
      <c r="B205" s="2974" t="s">
        <v>2908</v>
      </c>
      <c r="C205" s="2975">
        <v>0.13</v>
      </c>
      <c r="D205" s="2975">
        <v>0.13</v>
      </c>
      <c r="E205" s="2975">
        <v>0.13</v>
      </c>
      <c r="F205" s="2975">
        <v>0.13</v>
      </c>
      <c r="G205" s="2976">
        <v>0.13</v>
      </c>
    </row>
    <row r="206" spans="1:7">
      <c r="A206" s="2985" t="s">
        <v>304</v>
      </c>
      <c r="B206" s="2974" t="s">
        <v>2911</v>
      </c>
      <c r="C206" s="2975">
        <v>0.13</v>
      </c>
      <c r="D206" s="2975">
        <v>0.13</v>
      </c>
      <c r="E206" s="2975">
        <v>0.13</v>
      </c>
      <c r="F206" s="2975">
        <v>0.128</v>
      </c>
      <c r="G206" s="2976">
        <v>0.13</v>
      </c>
    </row>
    <row r="207" spans="1:7">
      <c r="A207" s="2985" t="s">
        <v>304</v>
      </c>
      <c r="B207" s="2974" t="s">
        <v>2913</v>
      </c>
      <c r="C207" s="2975">
        <v>0.13</v>
      </c>
      <c r="D207" s="2975">
        <v>0.13</v>
      </c>
      <c r="E207" s="2975">
        <v>0.13</v>
      </c>
      <c r="F207" s="2975">
        <v>0.13</v>
      </c>
      <c r="G207" s="2976">
        <v>0.13</v>
      </c>
    </row>
    <row r="208" spans="1:7">
      <c r="A208" s="2985" t="s">
        <v>304</v>
      </c>
      <c r="B208" s="2974" t="s">
        <v>2916</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2923</v>
      </c>
      <c r="C210" s="2975">
        <v>0.121</v>
      </c>
      <c r="D210" s="2975">
        <v>0.121</v>
      </c>
      <c r="E210" s="2975">
        <v>0.125</v>
      </c>
      <c r="F210" s="2975">
        <v>0.13</v>
      </c>
      <c r="G210" s="2976">
        <v>0.123</v>
      </c>
    </row>
    <row r="211" spans="1:7">
      <c r="A211" s="2985" t="s">
        <v>304</v>
      </c>
      <c r="B211" s="2974" t="s">
        <v>2926</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2938</v>
      </c>
      <c r="C214" s="2975">
        <v>0.128</v>
      </c>
      <c r="D214" s="2975">
        <v>0.128</v>
      </c>
      <c r="E214" s="2975">
        <v>0.13</v>
      </c>
      <c r="F214" s="2975">
        <v>0.13</v>
      </c>
      <c r="G214" s="2976">
        <v>0.13</v>
      </c>
    </row>
    <row r="215" spans="1:7">
      <c r="A215" s="2985" t="s">
        <v>304</v>
      </c>
      <c r="B215" s="2974" t="s">
        <v>2942</v>
      </c>
      <c r="C215" s="2975">
        <v>0.13</v>
      </c>
      <c r="D215" s="2975">
        <v>0.13</v>
      </c>
      <c r="E215" s="2975">
        <v>0.13</v>
      </c>
      <c r="F215" s="2975">
        <v>0.129</v>
      </c>
      <c r="G215" s="2976">
        <v>0.13</v>
      </c>
    </row>
    <row r="216" spans="1:7">
      <c r="A216" s="2985" t="s">
        <v>304</v>
      </c>
      <c r="B216" s="2974" t="s">
        <v>2949</v>
      </c>
      <c r="C216" s="2975">
        <v>0.13</v>
      </c>
      <c r="D216" s="2975">
        <v>0.13</v>
      </c>
      <c r="E216" s="2975">
        <v>0.13</v>
      </c>
      <c r="F216" s="2975">
        <v>0.13</v>
      </c>
      <c r="G216" s="2976">
        <v>0.13</v>
      </c>
    </row>
    <row r="217" spans="1:7">
      <c r="A217" s="2985" t="s">
        <v>304</v>
      </c>
      <c r="B217" s="2974" t="s">
        <v>2956</v>
      </c>
      <c r="C217" s="2975">
        <v>0.129</v>
      </c>
      <c r="D217" s="2975">
        <v>0.129</v>
      </c>
      <c r="E217" s="2975">
        <v>0.13</v>
      </c>
      <c r="F217" s="2975">
        <v>0.13</v>
      </c>
      <c r="G217" s="2976">
        <v>0.13</v>
      </c>
    </row>
    <row r="218" spans="1:7">
      <c r="A218" s="2985" t="s">
        <v>304</v>
      </c>
      <c r="B218" s="2974" t="s">
        <v>2962</v>
      </c>
      <c r="C218" s="2986"/>
      <c r="D218" s="2986"/>
      <c r="E218" s="2986"/>
      <c r="F218" s="2975">
        <v>0.05</v>
      </c>
      <c r="G218" s="2992"/>
    </row>
    <row r="219" spans="1:7">
      <c r="A219" s="2985" t="s">
        <v>304</v>
      </c>
      <c r="B219" s="2974" t="s">
        <v>2969</v>
      </c>
      <c r="C219" s="2986"/>
      <c r="D219" s="2986"/>
      <c r="E219" s="2986"/>
      <c r="F219" s="2975">
        <v>0.05</v>
      </c>
      <c r="G219" s="2992"/>
    </row>
    <row r="220" spans="1:7">
      <c r="A220" s="2985" t="s">
        <v>304</v>
      </c>
      <c r="B220" s="2974" t="s">
        <v>2975</v>
      </c>
      <c r="C220" s="2986"/>
      <c r="D220" s="2986"/>
      <c r="E220" s="2986"/>
      <c r="F220" s="2975">
        <v>0.05</v>
      </c>
      <c r="G220" s="2992"/>
    </row>
    <row r="221" spans="1:7">
      <c r="A221" s="2985" t="s">
        <v>304</v>
      </c>
      <c r="B221" s="2974" t="s">
        <v>2980</v>
      </c>
      <c r="C221" s="2986"/>
      <c r="D221" s="2986"/>
      <c r="E221" s="2986"/>
      <c r="F221" s="2975">
        <v>0.05</v>
      </c>
      <c r="G221" s="2992"/>
    </row>
    <row r="222" spans="1:7">
      <c r="A222" s="2985" t="s">
        <v>304</v>
      </c>
      <c r="B222" s="2974" t="s">
        <v>2984</v>
      </c>
      <c r="C222" s="2986"/>
      <c r="D222" s="2986"/>
      <c r="E222" s="2986"/>
      <c r="F222" s="2975">
        <v>0.05</v>
      </c>
      <c r="G222" s="2992"/>
    </row>
    <row r="223" spans="1:7">
      <c r="A223" s="2985" t="s">
        <v>304</v>
      </c>
      <c r="B223" s="2974" t="s">
        <v>2989</v>
      </c>
      <c r="C223" s="2986"/>
      <c r="D223" s="2986"/>
      <c r="E223" s="2986"/>
      <c r="F223" s="2975">
        <v>0.05</v>
      </c>
      <c r="G223" s="2992"/>
    </row>
    <row r="224" spans="1:7">
      <c r="A224" s="2985" t="s">
        <v>304</v>
      </c>
      <c r="B224" s="2974" t="s">
        <v>2994</v>
      </c>
      <c r="C224" s="2986"/>
      <c r="D224" s="2986"/>
      <c r="E224" s="2986"/>
      <c r="F224" s="2975">
        <v>0.05</v>
      </c>
      <c r="G224" s="2992"/>
    </row>
    <row r="225" spans="1:7">
      <c r="A225" s="2985" t="s">
        <v>304</v>
      </c>
      <c r="B225" s="2974" t="s">
        <v>2999</v>
      </c>
      <c r="C225" s="2986"/>
      <c r="D225" s="2986"/>
      <c r="E225" s="2986"/>
      <c r="F225" s="2975">
        <v>0.05</v>
      </c>
      <c r="G225" s="2992"/>
    </row>
    <row r="226" spans="1:7">
      <c r="A226" s="2985" t="s">
        <v>304</v>
      </c>
      <c r="B226" s="2974" t="s">
        <v>3201</v>
      </c>
      <c r="C226" s="2986"/>
      <c r="D226" s="2986"/>
      <c r="E226" s="2986"/>
      <c r="F226" s="2975">
        <v>0.05</v>
      </c>
      <c r="G226" s="2992"/>
    </row>
    <row r="227" spans="1:7">
      <c r="A227" s="2985" t="s">
        <v>304</v>
      </c>
      <c r="B227" s="2974" t="s">
        <v>3202</v>
      </c>
      <c r="C227" s="2986"/>
      <c r="D227" s="2986"/>
      <c r="E227" s="2986"/>
      <c r="F227" s="2975">
        <v>0.05</v>
      </c>
      <c r="G227" s="2992"/>
    </row>
    <row r="228" spans="1:7">
      <c r="A228" s="2985" t="s">
        <v>304</v>
      </c>
      <c r="B228" s="2974" t="s">
        <v>3203</v>
      </c>
      <c r="C228" s="2986"/>
      <c r="D228" s="2986"/>
      <c r="E228" s="2986"/>
      <c r="F228" s="2975">
        <v>0.05</v>
      </c>
      <c r="G228" s="2992"/>
    </row>
    <row r="229" spans="1:7">
      <c r="A229" s="2985" t="s">
        <v>304</v>
      </c>
      <c r="B229" s="2974" t="s">
        <v>3204</v>
      </c>
      <c r="C229" s="2986"/>
      <c r="D229" s="2986"/>
      <c r="E229" s="2986"/>
      <c r="F229" s="2975">
        <v>0.05</v>
      </c>
      <c r="G229" s="2992"/>
    </row>
    <row r="230" spans="1:7">
      <c r="A230" s="2985" t="s">
        <v>304</v>
      </c>
      <c r="B230" s="2974" t="s">
        <v>3205</v>
      </c>
      <c r="C230" s="2986"/>
      <c r="D230" s="2986"/>
      <c r="E230" s="2986"/>
      <c r="F230" s="2975">
        <v>0.05</v>
      </c>
      <c r="G230" s="2992"/>
    </row>
    <row r="231" spans="1:7">
      <c r="A231" s="2985" t="s">
        <v>304</v>
      </c>
      <c r="B231" s="2974" t="s">
        <v>3206</v>
      </c>
      <c r="C231" s="2986"/>
      <c r="D231" s="2986"/>
      <c r="E231" s="2986"/>
      <c r="F231" s="2975">
        <v>0.05</v>
      </c>
      <c r="G231" s="2992"/>
    </row>
    <row r="232" spans="1:7">
      <c r="A232" s="2985" t="s">
        <v>304</v>
      </c>
      <c r="B232" s="2974" t="s">
        <v>3207</v>
      </c>
      <c r="C232" s="2986"/>
      <c r="D232" s="2986"/>
      <c r="E232" s="2986"/>
      <c r="F232" s="2975">
        <v>0.05</v>
      </c>
      <c r="G232" s="2992"/>
    </row>
    <row r="233" spans="1:7" ht="14.25" thickBot="1">
      <c r="A233" s="2988" t="s">
        <v>304</v>
      </c>
      <c r="B233" s="2978" t="s">
        <v>3208</v>
      </c>
      <c r="C233" s="2980"/>
      <c r="D233" s="2980"/>
      <c r="E233" s="2980"/>
      <c r="F233" s="2979">
        <v>0.05</v>
      </c>
      <c r="G233" s="2993"/>
    </row>
    <row r="234" spans="1:7">
      <c r="A234" s="2984" t="s">
        <v>305</v>
      </c>
      <c r="B234" s="2970" t="s">
        <v>2857</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2877</v>
      </c>
      <c r="C238" s="2975">
        <v>0.14899999999999999</v>
      </c>
      <c r="D238" s="2975">
        <v>0.14899999999999999</v>
      </c>
      <c r="E238" s="2975">
        <v>0.15</v>
      </c>
      <c r="F238" s="2975">
        <v>0.15</v>
      </c>
      <c r="G238" s="2976">
        <v>0.15</v>
      </c>
    </row>
    <row r="239" spans="1:7">
      <c r="A239" s="2985" t="s">
        <v>305</v>
      </c>
      <c r="B239" s="2974" t="s">
        <v>2881</v>
      </c>
      <c r="C239" s="2975">
        <v>0.15</v>
      </c>
      <c r="D239" s="2975">
        <v>0.15</v>
      </c>
      <c r="E239" s="2975">
        <v>0.15</v>
      </c>
      <c r="F239" s="2975">
        <v>0.15</v>
      </c>
      <c r="G239" s="2976">
        <v>0.15</v>
      </c>
    </row>
    <row r="240" spans="1:7">
      <c r="A240" s="2985" t="s">
        <v>305</v>
      </c>
      <c r="B240" s="2974" t="s">
        <v>2886</v>
      </c>
      <c r="C240" s="2975">
        <v>0.15</v>
      </c>
      <c r="D240" s="2975">
        <v>0.15</v>
      </c>
      <c r="E240" s="2975">
        <v>0.15</v>
      </c>
      <c r="F240" s="2975">
        <v>0.15</v>
      </c>
      <c r="G240" s="2976">
        <v>0.15</v>
      </c>
    </row>
    <row r="241" spans="1:7">
      <c r="A241" s="2985" t="s">
        <v>305</v>
      </c>
      <c r="B241" s="2974" t="s">
        <v>2890</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2896</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2904</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2909</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2917</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2930</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2939</v>
      </c>
      <c r="C258" s="2975">
        <v>0.14299999999999999</v>
      </c>
      <c r="D258" s="2975">
        <v>0.14299999999999999</v>
      </c>
      <c r="E258" s="2975">
        <v>0.15</v>
      </c>
      <c r="F258" s="2975">
        <v>0.14799999999999999</v>
      </c>
      <c r="G258" s="2976">
        <v>0.14599999999999999</v>
      </c>
    </row>
    <row r="259" spans="1:7">
      <c r="A259" s="2985" t="s">
        <v>305</v>
      </c>
      <c r="B259" s="2974" t="s">
        <v>2943</v>
      </c>
      <c r="C259" s="2975">
        <v>0.14399999999999999</v>
      </c>
      <c r="D259" s="2975">
        <v>0.14399999999999999</v>
      </c>
      <c r="E259" s="2975">
        <v>0.14899999999999999</v>
      </c>
      <c r="F259" s="2975">
        <v>0.14699999999999999</v>
      </c>
      <c r="G259" s="2976">
        <v>0.14599999999999999</v>
      </c>
    </row>
    <row r="260" spans="1:7">
      <c r="A260" s="2985" t="s">
        <v>305</v>
      </c>
      <c r="B260" s="2974" t="s">
        <v>2950</v>
      </c>
      <c r="C260" s="2975">
        <v>0.109</v>
      </c>
      <c r="D260" s="2975">
        <v>0.111</v>
      </c>
      <c r="E260" s="2975">
        <v>0.13100000000000001</v>
      </c>
      <c r="F260" s="2975">
        <v>0.126</v>
      </c>
      <c r="G260" s="2976">
        <v>0.11899999999999999</v>
      </c>
    </row>
    <row r="261" spans="1:7">
      <c r="A261" s="2985" t="s">
        <v>305</v>
      </c>
      <c r="B261" s="2974" t="s">
        <v>2957</v>
      </c>
      <c r="C261" s="2975">
        <v>0.1</v>
      </c>
      <c r="D261" s="2975">
        <v>0.1</v>
      </c>
      <c r="E261" s="2975">
        <v>0.11799999999999999</v>
      </c>
      <c r="F261" s="2975">
        <v>0.108</v>
      </c>
      <c r="G261" s="2976">
        <v>0.107</v>
      </c>
    </row>
    <row r="262" spans="1:7">
      <c r="A262" s="2985" t="s">
        <v>305</v>
      </c>
      <c r="B262" s="2974" t="s">
        <v>2963</v>
      </c>
      <c r="C262" s="2975">
        <v>0.1</v>
      </c>
      <c r="D262" s="2975">
        <v>0.1</v>
      </c>
      <c r="E262" s="2975">
        <v>0.1</v>
      </c>
      <c r="F262" s="2975">
        <v>0.14099999999999999</v>
      </c>
      <c r="G262" s="2976">
        <v>0.1</v>
      </c>
    </row>
    <row r="263" spans="1:7">
      <c r="A263" s="2985" t="s">
        <v>305</v>
      </c>
      <c r="B263" s="2974" t="s">
        <v>2970</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2981</v>
      </c>
      <c r="C265" s="2986"/>
      <c r="D265" s="2986"/>
      <c r="E265" s="2986"/>
      <c r="F265" s="2975">
        <v>0.05</v>
      </c>
      <c r="G265" s="2992"/>
    </row>
    <row r="266" spans="1:7">
      <c r="A266" s="2985" t="s">
        <v>305</v>
      </c>
      <c r="B266" s="2974" t="s">
        <v>2985</v>
      </c>
      <c r="C266" s="2986"/>
      <c r="D266" s="2986"/>
      <c r="E266" s="2986"/>
      <c r="F266" s="2975">
        <v>0.05</v>
      </c>
      <c r="G266" s="2992"/>
    </row>
    <row r="267" spans="1:7">
      <c r="A267" s="2985" t="s">
        <v>305</v>
      </c>
      <c r="B267" s="2974" t="s">
        <v>2990</v>
      </c>
      <c r="C267" s="2986"/>
      <c r="D267" s="2986"/>
      <c r="E267" s="2986"/>
      <c r="F267" s="2975">
        <v>0.05</v>
      </c>
      <c r="G267" s="2992"/>
    </row>
    <row r="268" spans="1:7">
      <c r="A268" s="2985" t="s">
        <v>305</v>
      </c>
      <c r="B268" s="2974" t="s">
        <v>2995</v>
      </c>
      <c r="C268" s="2986"/>
      <c r="D268" s="2986"/>
      <c r="E268" s="2986"/>
      <c r="F268" s="2975">
        <v>0.05</v>
      </c>
      <c r="G268" s="2992"/>
    </row>
    <row r="269" spans="1:7">
      <c r="A269" s="2985" t="s">
        <v>305</v>
      </c>
      <c r="B269" s="2974" t="s">
        <v>3000</v>
      </c>
      <c r="C269" s="2986"/>
      <c r="D269" s="2986"/>
      <c r="E269" s="2986"/>
      <c r="F269" s="2975">
        <v>0.05</v>
      </c>
      <c r="G269" s="2992"/>
    </row>
    <row r="270" spans="1:7">
      <c r="A270" s="2985" t="s">
        <v>305</v>
      </c>
      <c r="B270" s="2974" t="s">
        <v>3005</v>
      </c>
      <c r="C270" s="2986"/>
      <c r="D270" s="2986"/>
      <c r="E270" s="2986"/>
      <c r="F270" s="2975">
        <v>0.05</v>
      </c>
      <c r="G270" s="2992"/>
    </row>
    <row r="271" spans="1:7">
      <c r="A271" s="2985" t="s">
        <v>305</v>
      </c>
      <c r="B271" s="2974" t="s">
        <v>3209</v>
      </c>
      <c r="C271" s="2986"/>
      <c r="D271" s="2986"/>
      <c r="E271" s="2986"/>
      <c r="F271" s="2975">
        <v>0.05</v>
      </c>
      <c r="G271" s="2992"/>
    </row>
    <row r="272" spans="1:7">
      <c r="A272" s="2985" t="s">
        <v>305</v>
      </c>
      <c r="B272" s="2974" t="s">
        <v>3210</v>
      </c>
      <c r="C272" s="2986"/>
      <c r="D272" s="2986"/>
      <c r="E272" s="2986"/>
      <c r="F272" s="2975">
        <v>0.05</v>
      </c>
      <c r="G272" s="2992"/>
    </row>
    <row r="273" spans="1:7">
      <c r="A273" s="2985" t="s">
        <v>305</v>
      </c>
      <c r="B273" s="2974" t="s">
        <v>3211</v>
      </c>
      <c r="C273" s="2986"/>
      <c r="D273" s="2986"/>
      <c r="E273" s="2986"/>
      <c r="F273" s="2975">
        <v>0.05</v>
      </c>
      <c r="G273" s="2992"/>
    </row>
    <row r="274" spans="1:7">
      <c r="A274" s="2985" t="s">
        <v>305</v>
      </c>
      <c r="B274" s="2974" t="s">
        <v>3212</v>
      </c>
      <c r="C274" s="2986"/>
      <c r="D274" s="2986"/>
      <c r="E274" s="2986"/>
      <c r="F274" s="2975">
        <v>0.05</v>
      </c>
      <c r="G274" s="2992"/>
    </row>
    <row r="275" spans="1:7">
      <c r="A275" s="2985" t="s">
        <v>305</v>
      </c>
      <c r="B275" s="2974" t="s">
        <v>3213</v>
      </c>
      <c r="C275" s="2986"/>
      <c r="D275" s="2986"/>
      <c r="E275" s="2986"/>
      <c r="F275" s="2975">
        <v>0.05</v>
      </c>
      <c r="G275" s="2992"/>
    </row>
    <row r="276" spans="1:7" ht="14.25" thickBot="1">
      <c r="A276" s="2988" t="s">
        <v>305</v>
      </c>
      <c r="B276" s="2978" t="s">
        <v>3214</v>
      </c>
      <c r="C276" s="2980"/>
      <c r="D276" s="2980"/>
      <c r="E276" s="2980"/>
      <c r="F276" s="2979">
        <v>0.05</v>
      </c>
      <c r="G276" s="2993"/>
    </row>
    <row r="277" spans="1:7">
      <c r="A277" s="2984" t="s">
        <v>306</v>
      </c>
      <c r="B277" s="2970" t="s">
        <v>2858</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2870</v>
      </c>
      <c r="C279" s="2975">
        <v>0.15</v>
      </c>
      <c r="D279" s="2975">
        <v>0.15</v>
      </c>
      <c r="E279" s="2975">
        <v>0.15</v>
      </c>
      <c r="F279" s="2975">
        <v>0.15</v>
      </c>
      <c r="G279" s="2976">
        <v>0.15</v>
      </c>
    </row>
    <row r="280" spans="1:7">
      <c r="A280" s="2985" t="s">
        <v>306</v>
      </c>
      <c r="B280" s="2974" t="s">
        <v>2874</v>
      </c>
      <c r="C280" s="2975">
        <v>0.15</v>
      </c>
      <c r="D280" s="2975">
        <v>0.15</v>
      </c>
      <c r="E280" s="2975">
        <v>0.15</v>
      </c>
      <c r="F280" s="2975">
        <v>0.15</v>
      </c>
      <c r="G280" s="2976">
        <v>0.15</v>
      </c>
    </row>
    <row r="281" spans="1:7">
      <c r="A281" s="2985" t="s">
        <v>306</v>
      </c>
      <c r="B281" s="2974" t="s">
        <v>2878</v>
      </c>
      <c r="C281" s="2975">
        <v>0.15</v>
      </c>
      <c r="D281" s="2975">
        <v>0.15</v>
      </c>
      <c r="E281" s="2975">
        <v>0.15</v>
      </c>
      <c r="F281" s="2975">
        <v>0.15</v>
      </c>
      <c r="G281" s="2976">
        <v>0.15</v>
      </c>
    </row>
    <row r="282" spans="1:7">
      <c r="A282" s="2985" t="s">
        <v>306</v>
      </c>
      <c r="B282" s="2974" t="s">
        <v>2882</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2897</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2902</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2912</v>
      </c>
      <c r="C293" s="2975">
        <v>0.15</v>
      </c>
      <c r="D293" s="2975">
        <v>0.15</v>
      </c>
      <c r="E293" s="2975">
        <v>0.15</v>
      </c>
      <c r="F293" s="2975">
        <v>0.14499999999999999</v>
      </c>
      <c r="G293" s="2976">
        <v>0.15</v>
      </c>
    </row>
    <row r="294" spans="1:7">
      <c r="A294" s="2985" t="s">
        <v>306</v>
      </c>
      <c r="B294" s="2974" t="s">
        <v>2914</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2931</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2944</v>
      </c>
      <c r="C302" s="2975">
        <v>0.15</v>
      </c>
      <c r="D302" s="2975">
        <v>0.15</v>
      </c>
      <c r="E302" s="2975">
        <v>0.15</v>
      </c>
      <c r="F302" s="2975">
        <v>0.14699999999999999</v>
      </c>
      <c r="G302" s="2976">
        <v>0.15</v>
      </c>
    </row>
    <row r="303" spans="1:7">
      <c r="A303" s="2985" t="s">
        <v>306</v>
      </c>
      <c r="B303" s="2974" t="s">
        <v>2951</v>
      </c>
      <c r="C303" s="2975">
        <v>0.15</v>
      </c>
      <c r="D303" s="2975">
        <v>0.15</v>
      </c>
      <c r="E303" s="2975">
        <v>0.15</v>
      </c>
      <c r="F303" s="2975">
        <v>0.14199999999999999</v>
      </c>
      <c r="G303" s="2976">
        <v>0.15</v>
      </c>
    </row>
    <row r="304" spans="1:7">
      <c r="A304" s="2985" t="s">
        <v>306</v>
      </c>
      <c r="B304" s="2974" t="s">
        <v>2958</v>
      </c>
      <c r="C304" s="2975">
        <v>0.15</v>
      </c>
      <c r="D304" s="2975">
        <v>0.15</v>
      </c>
      <c r="E304" s="2975">
        <v>0.15</v>
      </c>
      <c r="F304" s="2975">
        <v>0.14499999999999999</v>
      </c>
      <c r="G304" s="2976">
        <v>0.15</v>
      </c>
    </row>
    <row r="305" spans="1:7">
      <c r="A305" s="2985" t="s">
        <v>306</v>
      </c>
      <c r="B305" s="2974" t="s">
        <v>2964</v>
      </c>
      <c r="C305" s="2975">
        <v>0.15</v>
      </c>
      <c r="D305" s="2975">
        <v>0.15</v>
      </c>
      <c r="E305" s="2975">
        <v>0.15</v>
      </c>
      <c r="F305" s="2975">
        <v>0.111</v>
      </c>
      <c r="G305" s="2976">
        <v>0.15</v>
      </c>
    </row>
    <row r="306" spans="1:7">
      <c r="A306" s="2985" t="s">
        <v>306</v>
      </c>
      <c r="B306" s="2974" t="s">
        <v>2971</v>
      </c>
      <c r="C306" s="2975">
        <v>0.15</v>
      </c>
      <c r="D306" s="2975">
        <v>0.15</v>
      </c>
      <c r="E306" s="2975">
        <v>0.15</v>
      </c>
      <c r="F306" s="2975">
        <v>0.126</v>
      </c>
      <c r="G306" s="2976">
        <v>0.15</v>
      </c>
    </row>
    <row r="307" spans="1:7">
      <c r="A307" s="2985" t="s">
        <v>306</v>
      </c>
      <c r="B307" s="2974" t="s">
        <v>2976</v>
      </c>
      <c r="C307" s="2975">
        <v>0.15</v>
      </c>
      <c r="D307" s="2975">
        <v>0.15</v>
      </c>
      <c r="E307" s="2975">
        <v>0.15</v>
      </c>
      <c r="F307" s="2975">
        <v>0.12</v>
      </c>
      <c r="G307" s="2976">
        <v>0.15</v>
      </c>
    </row>
    <row r="308" spans="1:7">
      <c r="A308" s="2985" t="s">
        <v>306</v>
      </c>
      <c r="B308" s="2974" t="s">
        <v>2982</v>
      </c>
      <c r="C308" s="2975">
        <v>0.15</v>
      </c>
      <c r="D308" s="2975">
        <v>0.15</v>
      </c>
      <c r="E308" s="2975">
        <v>0.15</v>
      </c>
      <c r="F308" s="2975">
        <v>0.13</v>
      </c>
      <c r="G308" s="2976">
        <v>0.15</v>
      </c>
    </row>
    <row r="309" spans="1:7">
      <c r="A309" s="2985" t="s">
        <v>306</v>
      </c>
      <c r="B309" s="2974" t="s">
        <v>2986</v>
      </c>
      <c r="C309" s="2975">
        <v>0.15</v>
      </c>
      <c r="D309" s="2975">
        <v>0.15</v>
      </c>
      <c r="E309" s="2975">
        <v>0.15</v>
      </c>
      <c r="F309" s="2975">
        <v>0.14099999999999999</v>
      </c>
      <c r="G309" s="2976">
        <v>0.15</v>
      </c>
    </row>
    <row r="310" spans="1:7">
      <c r="A310" s="2985" t="s">
        <v>306</v>
      </c>
      <c r="B310" s="2974" t="s">
        <v>2991</v>
      </c>
      <c r="C310" s="2975">
        <v>0.15</v>
      </c>
      <c r="D310" s="2975">
        <v>0.15</v>
      </c>
      <c r="E310" s="2975">
        <v>0.15</v>
      </c>
      <c r="F310" s="2975">
        <v>0.15</v>
      </c>
      <c r="G310" s="2976">
        <v>0.15</v>
      </c>
    </row>
    <row r="311" spans="1:7">
      <c r="A311" s="2985" t="s">
        <v>306</v>
      </c>
      <c r="B311" s="2974" t="s">
        <v>2996</v>
      </c>
      <c r="C311" s="2975">
        <v>0.13200000000000001</v>
      </c>
      <c r="D311" s="2975">
        <v>0.13300000000000001</v>
      </c>
      <c r="E311" s="2975">
        <v>0.14499999999999999</v>
      </c>
      <c r="F311" s="2975">
        <v>0.14199999999999999</v>
      </c>
      <c r="G311" s="2976">
        <v>0.14000000000000001</v>
      </c>
    </row>
    <row r="312" spans="1:7">
      <c r="A312" s="2985" t="s">
        <v>306</v>
      </c>
      <c r="B312" s="2974" t="s">
        <v>3001</v>
      </c>
      <c r="C312" s="2975">
        <v>0.13800000000000001</v>
      </c>
      <c r="D312" s="2975">
        <v>0.14000000000000001</v>
      </c>
      <c r="E312" s="2975">
        <v>0.14599999999999999</v>
      </c>
      <c r="F312" s="2975">
        <v>0.14899999999999999</v>
      </c>
      <c r="G312" s="2976">
        <v>0.14199999999999999</v>
      </c>
    </row>
    <row r="313" spans="1:7">
      <c r="A313" s="2985" t="s">
        <v>306</v>
      </c>
      <c r="B313" s="2974" t="s">
        <v>3006</v>
      </c>
      <c r="C313" s="2975">
        <v>0.125</v>
      </c>
      <c r="D313" s="2975">
        <v>0.127</v>
      </c>
      <c r="E313" s="2975">
        <v>0.14399999999999999</v>
      </c>
      <c r="F313" s="2975">
        <v>0.115</v>
      </c>
      <c r="G313" s="2976">
        <v>0.13600000000000001</v>
      </c>
    </row>
    <row r="314" spans="1:7">
      <c r="A314" s="2985" t="s">
        <v>306</v>
      </c>
      <c r="B314" s="2974" t="s">
        <v>3215</v>
      </c>
      <c r="C314" s="2991"/>
      <c r="D314" s="2991"/>
      <c r="E314" s="2991"/>
      <c r="F314" s="2975">
        <v>0.05</v>
      </c>
      <c r="G314" s="2992"/>
    </row>
    <row r="315" spans="1:7">
      <c r="A315" s="2985" t="s">
        <v>306</v>
      </c>
      <c r="B315" s="2974" t="s">
        <v>3216</v>
      </c>
      <c r="C315" s="2991"/>
      <c r="D315" s="2991"/>
      <c r="E315" s="2991"/>
      <c r="F315" s="2975">
        <v>0.05</v>
      </c>
      <c r="G315" s="2992"/>
    </row>
    <row r="316" spans="1:7">
      <c r="A316" s="2985" t="s">
        <v>306</v>
      </c>
      <c r="B316" s="2974" t="s">
        <v>3217</v>
      </c>
      <c r="C316" s="2986"/>
      <c r="D316" s="2986"/>
      <c r="E316" s="2986"/>
      <c r="F316" s="2975">
        <v>0.05</v>
      </c>
      <c r="G316" s="2992"/>
    </row>
    <row r="317" spans="1:7">
      <c r="A317" s="2985" t="s">
        <v>306</v>
      </c>
      <c r="B317" s="2974" t="s">
        <v>3218</v>
      </c>
      <c r="C317" s="2986"/>
      <c r="D317" s="2986"/>
      <c r="E317" s="2986"/>
      <c r="F317" s="2975">
        <v>0.05</v>
      </c>
      <c r="G317" s="2992"/>
    </row>
    <row r="318" spans="1:7">
      <c r="A318" s="2985" t="s">
        <v>306</v>
      </c>
      <c r="B318" s="2974" t="s">
        <v>3219</v>
      </c>
      <c r="C318" s="2986"/>
      <c r="D318" s="2986"/>
      <c r="E318" s="2986"/>
      <c r="F318" s="2975">
        <v>0.05</v>
      </c>
      <c r="G318" s="2992"/>
    </row>
    <row r="319" spans="1:7">
      <c r="A319" s="2985" t="s">
        <v>306</v>
      </c>
      <c r="B319" s="2974" t="s">
        <v>3220</v>
      </c>
      <c r="C319" s="2986"/>
      <c r="D319" s="2986"/>
      <c r="E319" s="2986"/>
      <c r="F319" s="2975">
        <v>0.05</v>
      </c>
      <c r="G319" s="2992"/>
    </row>
    <row r="320" spans="1:7">
      <c r="A320" s="2985" t="s">
        <v>306</v>
      </c>
      <c r="B320" s="2974" t="s">
        <v>3221</v>
      </c>
      <c r="C320" s="2986"/>
      <c r="D320" s="2986"/>
      <c r="E320" s="2986"/>
      <c r="F320" s="2975">
        <v>0.05</v>
      </c>
      <c r="G320" s="2992"/>
    </row>
    <row r="321" spans="1:7">
      <c r="A321" s="2985" t="s">
        <v>306</v>
      </c>
      <c r="B321" s="2974" t="s">
        <v>3222</v>
      </c>
      <c r="C321" s="2986"/>
      <c r="D321" s="2986"/>
      <c r="E321" s="2986"/>
      <c r="F321" s="2975">
        <v>0.05</v>
      </c>
      <c r="G321" s="2992"/>
    </row>
    <row r="322" spans="1:7">
      <c r="A322" s="2985" t="s">
        <v>306</v>
      </c>
      <c r="B322" s="2974" t="s">
        <v>3223</v>
      </c>
      <c r="C322" s="2986"/>
      <c r="D322" s="2986"/>
      <c r="E322" s="2986"/>
      <c r="F322" s="2975">
        <v>0.05</v>
      </c>
      <c r="G322" s="2992"/>
    </row>
    <row r="323" spans="1:7">
      <c r="A323" s="2985" t="s">
        <v>306</v>
      </c>
      <c r="B323" s="2974" t="s">
        <v>3224</v>
      </c>
      <c r="C323" s="2986"/>
      <c r="D323" s="2986"/>
      <c r="E323" s="2986"/>
      <c r="F323" s="2975">
        <v>0.05</v>
      </c>
      <c r="G323" s="2992"/>
    </row>
    <row r="324" spans="1:7">
      <c r="A324" s="2985" t="s">
        <v>306</v>
      </c>
      <c r="B324" s="2974" t="s">
        <v>3225</v>
      </c>
      <c r="C324" s="2986"/>
      <c r="D324" s="2986"/>
      <c r="E324" s="2986"/>
      <c r="F324" s="2975">
        <v>0.05</v>
      </c>
      <c r="G324" s="2992"/>
    </row>
    <row r="325" spans="1:7">
      <c r="A325" s="2985" t="s">
        <v>306</v>
      </c>
      <c r="B325" s="2974" t="s">
        <v>3226</v>
      </c>
      <c r="C325" s="2986"/>
      <c r="D325" s="2986"/>
      <c r="E325" s="2986"/>
      <c r="F325" s="2975">
        <v>0.05</v>
      </c>
      <c r="G325" s="2992"/>
    </row>
    <row r="326" spans="1:7" ht="14.25" thickBot="1">
      <c r="A326" s="2988" t="s">
        <v>306</v>
      </c>
      <c r="B326" s="2978" t="s">
        <v>3227</v>
      </c>
      <c r="C326" s="2980"/>
      <c r="D326" s="2980"/>
      <c r="E326" s="2980"/>
      <c r="F326" s="2979">
        <v>0.05</v>
      </c>
      <c r="G326" s="2993"/>
    </row>
    <row r="327" spans="1:7">
      <c r="A327" s="2984" t="s">
        <v>307</v>
      </c>
      <c r="B327" s="2970" t="s">
        <v>2859</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2871</v>
      </c>
      <c r="C329" s="2975">
        <v>0.15</v>
      </c>
      <c r="D329" s="2975">
        <v>0.15</v>
      </c>
      <c r="E329" s="2975">
        <v>0.15</v>
      </c>
      <c r="F329" s="2975">
        <v>0.15</v>
      </c>
      <c r="G329" s="2976">
        <v>0.15</v>
      </c>
    </row>
    <row r="330" spans="1:7">
      <c r="A330" s="2985" t="s">
        <v>307</v>
      </c>
      <c r="B330" s="2974" t="s">
        <v>2875</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2883</v>
      </c>
      <c r="C332" s="2975">
        <v>0.15</v>
      </c>
      <c r="D332" s="2975">
        <v>0.15</v>
      </c>
      <c r="E332" s="2975">
        <v>0.15</v>
      </c>
      <c r="F332" s="2975">
        <v>0.15</v>
      </c>
      <c r="G332" s="2976">
        <v>0.15</v>
      </c>
    </row>
    <row r="333" spans="1:7">
      <c r="A333" s="2985" t="s">
        <v>307</v>
      </c>
      <c r="B333" s="2974" t="s">
        <v>2887</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2893</v>
      </c>
      <c r="C336" s="2975">
        <v>0.15</v>
      </c>
      <c r="D336" s="2975">
        <v>0.15</v>
      </c>
      <c r="E336" s="2975">
        <v>0.15</v>
      </c>
      <c r="F336" s="2975">
        <v>0.14199999999999999</v>
      </c>
      <c r="G336" s="2976">
        <v>0.15</v>
      </c>
    </row>
    <row r="337" spans="1:7">
      <c r="A337" s="2985" t="s">
        <v>307</v>
      </c>
      <c r="B337" s="2974" t="s">
        <v>2898</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2905</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2910</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2918</v>
      </c>
      <c r="C345" s="2975">
        <v>0.15</v>
      </c>
      <c r="D345" s="2975">
        <v>0.15</v>
      </c>
      <c r="E345" s="2975">
        <v>0.15</v>
      </c>
      <c r="F345" s="2975">
        <v>0.13800000000000001</v>
      </c>
      <c r="G345" s="2976">
        <v>0.15</v>
      </c>
    </row>
    <row r="346" spans="1:7">
      <c r="A346" s="2985" t="s">
        <v>307</v>
      </c>
      <c r="B346" s="2974" t="s">
        <v>2920</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2927</v>
      </c>
      <c r="C348" s="2975">
        <v>0.15</v>
      </c>
      <c r="D348" s="2975">
        <v>0.15</v>
      </c>
      <c r="E348" s="2975">
        <v>0.15</v>
      </c>
      <c r="F348" s="2975">
        <v>0.14399999999999999</v>
      </c>
      <c r="G348" s="2976">
        <v>0.15</v>
      </c>
    </row>
    <row r="349" spans="1:7">
      <c r="A349" s="2985" t="s">
        <v>307</v>
      </c>
      <c r="B349" s="2974" t="s">
        <v>2932</v>
      </c>
      <c r="C349" s="2975">
        <v>0.15</v>
      </c>
      <c r="D349" s="2975">
        <v>0.15</v>
      </c>
      <c r="E349" s="2975">
        <v>0.15</v>
      </c>
      <c r="F349" s="2975">
        <v>0.15</v>
      </c>
      <c r="G349" s="2976">
        <v>0.15</v>
      </c>
    </row>
    <row r="350" spans="1:7">
      <c r="A350" s="2985" t="s">
        <v>307</v>
      </c>
      <c r="B350" s="2974" t="s">
        <v>2935</v>
      </c>
      <c r="C350" s="2975">
        <v>0.15</v>
      </c>
      <c r="D350" s="2975">
        <v>0.15</v>
      </c>
      <c r="E350" s="2975">
        <v>0.15</v>
      </c>
      <c r="F350" s="2975">
        <v>0.14699999999999999</v>
      </c>
      <c r="G350" s="2976">
        <v>0.15</v>
      </c>
    </row>
    <row r="351" spans="1:7">
      <c r="A351" s="2985" t="s">
        <v>307</v>
      </c>
      <c r="B351" s="2974" t="s">
        <v>2940</v>
      </c>
      <c r="C351" s="2975">
        <v>0.15</v>
      </c>
      <c r="D351" s="2975">
        <v>0.15</v>
      </c>
      <c r="E351" s="2975">
        <v>0.15</v>
      </c>
      <c r="F351" s="2975">
        <v>0.13</v>
      </c>
      <c r="G351" s="2976">
        <v>0.15</v>
      </c>
    </row>
    <row r="352" spans="1:7">
      <c r="A352" s="2985" t="s">
        <v>307</v>
      </c>
      <c r="B352" s="2974" t="s">
        <v>2945</v>
      </c>
      <c r="C352" s="2975">
        <v>0.15</v>
      </c>
      <c r="D352" s="2975">
        <v>0.15</v>
      </c>
      <c r="E352" s="2975">
        <v>0.15</v>
      </c>
      <c r="F352" s="2975">
        <v>0.14599999999999999</v>
      </c>
      <c r="G352" s="2976">
        <v>0.15</v>
      </c>
    </row>
    <row r="353" spans="1:7">
      <c r="A353" s="2985" t="s">
        <v>307</v>
      </c>
      <c r="B353" s="2974" t="s">
        <v>2952</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2965</v>
      </c>
      <c r="C355" s="2975">
        <v>0.15</v>
      </c>
      <c r="D355" s="2975">
        <v>0.15</v>
      </c>
      <c r="E355" s="2975">
        <v>0.15</v>
      </c>
      <c r="F355" s="2975">
        <v>0.15</v>
      </c>
      <c r="G355" s="2976">
        <v>0.15</v>
      </c>
    </row>
    <row r="356" spans="1:7">
      <c r="A356" s="2985" t="s">
        <v>307</v>
      </c>
      <c r="B356" s="2974" t="s">
        <v>2972</v>
      </c>
      <c r="C356" s="2975">
        <v>0.15</v>
      </c>
      <c r="D356" s="2975">
        <v>0.15</v>
      </c>
      <c r="E356" s="2975">
        <v>0.15</v>
      </c>
      <c r="F356" s="2975">
        <v>0.15</v>
      </c>
      <c r="G356" s="2976">
        <v>0.15</v>
      </c>
    </row>
    <row r="357" spans="1:7" ht="14.25" thickBot="1">
      <c r="A357" s="2988" t="s">
        <v>307</v>
      </c>
      <c r="B357" s="2978" t="s">
        <v>2977</v>
      </c>
      <c r="C357" s="2979">
        <v>0.126</v>
      </c>
      <c r="D357" s="2979">
        <v>0.127</v>
      </c>
      <c r="E357" s="2979">
        <v>0.14299999999999999</v>
      </c>
      <c r="F357" s="2979">
        <v>0.125</v>
      </c>
      <c r="G357" s="2981">
        <v>0.129</v>
      </c>
    </row>
    <row r="358" spans="1:7">
      <c r="A358" s="2984" t="s">
        <v>2846</v>
      </c>
      <c r="B358" s="2970" t="s">
        <v>2860</v>
      </c>
      <c r="C358" s="2971">
        <v>0.15</v>
      </c>
      <c r="D358" s="2971">
        <v>0.15</v>
      </c>
      <c r="E358" s="2971">
        <v>0.15</v>
      </c>
      <c r="F358" s="2971">
        <v>0.15</v>
      </c>
      <c r="G358" s="2972">
        <v>0.15</v>
      </c>
    </row>
    <row r="359" spans="1:7">
      <c r="A359" s="2985" t="s">
        <v>2846</v>
      </c>
      <c r="B359" s="2974" t="s">
        <v>2866</v>
      </c>
      <c r="C359" s="2975">
        <v>0.1</v>
      </c>
      <c r="D359" s="2975">
        <v>0.1</v>
      </c>
      <c r="E359" s="2975">
        <v>0.1</v>
      </c>
      <c r="F359" s="2975">
        <v>0.1</v>
      </c>
      <c r="G359" s="2976">
        <v>0.1</v>
      </c>
    </row>
    <row r="360" spans="1:7">
      <c r="A360" s="2985" t="s">
        <v>2846</v>
      </c>
      <c r="B360" s="2974" t="s">
        <v>2872</v>
      </c>
      <c r="C360" s="2975">
        <v>0.15</v>
      </c>
      <c r="D360" s="2975">
        <v>0.15</v>
      </c>
      <c r="E360" s="2975">
        <v>0.15</v>
      </c>
      <c r="F360" s="2975">
        <v>0.14899999999999999</v>
      </c>
      <c r="G360" s="2976">
        <v>0.15</v>
      </c>
    </row>
    <row r="361" spans="1:7">
      <c r="A361" s="2985" t="s">
        <v>2846</v>
      </c>
      <c r="B361" s="2974" t="s">
        <v>153</v>
      </c>
      <c r="C361" s="2975">
        <v>0.15</v>
      </c>
      <c r="D361" s="2975">
        <v>0.15</v>
      </c>
      <c r="E361" s="2975">
        <v>0.15</v>
      </c>
      <c r="F361" s="2975">
        <v>0.115</v>
      </c>
      <c r="G361" s="2976">
        <v>0.15</v>
      </c>
    </row>
    <row r="362" spans="1:7">
      <c r="A362" s="2985" t="s">
        <v>2846</v>
      </c>
      <c r="B362" s="2974" t="s">
        <v>2879</v>
      </c>
      <c r="C362" s="2975">
        <v>0.15</v>
      </c>
      <c r="D362" s="2975">
        <v>0.15</v>
      </c>
      <c r="E362" s="2975">
        <v>0.15</v>
      </c>
      <c r="F362" s="2975">
        <v>0.106</v>
      </c>
      <c r="G362" s="2976">
        <v>0.15</v>
      </c>
    </row>
    <row r="363" spans="1:7">
      <c r="A363" s="2985" t="s">
        <v>2846</v>
      </c>
      <c r="B363" s="2974" t="s">
        <v>2884</v>
      </c>
      <c r="C363" s="2975">
        <v>0.15</v>
      </c>
      <c r="D363" s="2975">
        <v>0.15</v>
      </c>
      <c r="E363" s="2975">
        <v>0.15</v>
      </c>
      <c r="F363" s="2975">
        <v>0.14699999999999999</v>
      </c>
      <c r="G363" s="2976">
        <v>0.15</v>
      </c>
    </row>
    <row r="364" spans="1:7">
      <c r="A364" s="2985" t="s">
        <v>2846</v>
      </c>
      <c r="B364" s="2974" t="s">
        <v>2888</v>
      </c>
      <c r="C364" s="2975">
        <v>0.15</v>
      </c>
      <c r="D364" s="2975">
        <v>0.15</v>
      </c>
      <c r="E364" s="2975">
        <v>0.15</v>
      </c>
      <c r="F364" s="2975">
        <v>0.14799999999999999</v>
      </c>
      <c r="G364" s="2976">
        <v>0.15</v>
      </c>
    </row>
    <row r="365" spans="1:7">
      <c r="A365" s="2985" t="s">
        <v>2846</v>
      </c>
      <c r="B365" s="2974" t="s">
        <v>200</v>
      </c>
      <c r="C365" s="2975">
        <v>0.15</v>
      </c>
      <c r="D365" s="2975">
        <v>0.15</v>
      </c>
      <c r="E365" s="2975">
        <v>0.15</v>
      </c>
      <c r="F365" s="2975">
        <v>0.15</v>
      </c>
      <c r="G365" s="2976">
        <v>0.15</v>
      </c>
    </row>
    <row r="366" spans="1:7">
      <c r="A366" s="2985" t="s">
        <v>2846</v>
      </c>
      <c r="B366" s="2974" t="s">
        <v>2891</v>
      </c>
      <c r="C366" s="2975">
        <v>0.15</v>
      </c>
      <c r="D366" s="2975">
        <v>0.15</v>
      </c>
      <c r="E366" s="2975">
        <v>0.15</v>
      </c>
      <c r="F366" s="2975">
        <v>0.15</v>
      </c>
      <c r="G366" s="2976">
        <v>0.15</v>
      </c>
    </row>
    <row r="367" spans="1:7">
      <c r="A367" s="2985" t="s">
        <v>2846</v>
      </c>
      <c r="B367" s="2974" t="s">
        <v>2894</v>
      </c>
      <c r="C367" s="2975">
        <v>0.15</v>
      </c>
      <c r="D367" s="2975">
        <v>0.15</v>
      </c>
      <c r="E367" s="2975">
        <v>0.15</v>
      </c>
      <c r="F367" s="2975">
        <v>0.14699999999999999</v>
      </c>
      <c r="G367" s="2976">
        <v>0.15</v>
      </c>
    </row>
    <row r="368" spans="1:7">
      <c r="A368" s="2985" t="s">
        <v>2846</v>
      </c>
      <c r="B368" s="2974" t="s">
        <v>2899</v>
      </c>
      <c r="C368" s="2975">
        <v>0.15</v>
      </c>
      <c r="D368" s="2975">
        <v>0.15</v>
      </c>
      <c r="E368" s="2975">
        <v>0.15</v>
      </c>
      <c r="F368" s="2975">
        <v>0.13600000000000001</v>
      </c>
      <c r="G368" s="2976">
        <v>0.15</v>
      </c>
    </row>
    <row r="369" spans="1:7">
      <c r="A369" s="2985" t="s">
        <v>2846</v>
      </c>
      <c r="B369" s="2974" t="s">
        <v>214</v>
      </c>
      <c r="C369" s="2975">
        <v>0.15</v>
      </c>
      <c r="D369" s="2975">
        <v>0.15</v>
      </c>
      <c r="E369" s="2975">
        <v>0.15</v>
      </c>
      <c r="F369" s="2975">
        <v>0.14399999999999999</v>
      </c>
      <c r="G369" s="2976">
        <v>0.15</v>
      </c>
    </row>
    <row r="370" spans="1:7">
      <c r="A370" s="2985" t="s">
        <v>2846</v>
      </c>
      <c r="B370" s="2974" t="s">
        <v>221</v>
      </c>
      <c r="C370" s="2975">
        <v>0.15</v>
      </c>
      <c r="D370" s="2975">
        <v>0.15</v>
      </c>
      <c r="E370" s="2975">
        <v>0.15</v>
      </c>
      <c r="F370" s="2975">
        <v>0.14599999999999999</v>
      </c>
      <c r="G370" s="2976">
        <v>0.15</v>
      </c>
    </row>
    <row r="371" spans="1:7">
      <c r="A371" s="2985" t="s">
        <v>2846</v>
      </c>
      <c r="B371" s="2974" t="s">
        <v>229</v>
      </c>
      <c r="C371" s="2975">
        <v>0.15</v>
      </c>
      <c r="D371" s="2975">
        <v>0.15</v>
      </c>
      <c r="E371" s="2975">
        <v>0.15</v>
      </c>
      <c r="F371" s="2975">
        <v>0.12</v>
      </c>
      <c r="G371" s="2976">
        <v>0.15</v>
      </c>
    </row>
    <row r="372" spans="1:7">
      <c r="A372" s="2985" t="s">
        <v>2846</v>
      </c>
      <c r="B372" s="2974" t="s">
        <v>2907</v>
      </c>
      <c r="C372" s="2975">
        <v>0.15</v>
      </c>
      <c r="D372" s="2975">
        <v>0.15</v>
      </c>
      <c r="E372" s="2975">
        <v>0.15</v>
      </c>
      <c r="F372" s="2975">
        <v>0.14299999999999999</v>
      </c>
      <c r="G372" s="2976">
        <v>0.15</v>
      </c>
    </row>
    <row r="373" spans="1:7">
      <c r="A373" s="2985" t="s">
        <v>2846</v>
      </c>
      <c r="B373" s="2974" t="s">
        <v>258</v>
      </c>
      <c r="C373" s="2975">
        <v>0.15</v>
      </c>
      <c r="D373" s="2975">
        <v>0.15</v>
      </c>
      <c r="E373" s="2975">
        <v>0.15</v>
      </c>
      <c r="F373" s="2975">
        <v>0.14599999999999999</v>
      </c>
      <c r="G373" s="2976">
        <v>0.15</v>
      </c>
    </row>
    <row r="374" spans="1:7">
      <c r="A374" s="2985" t="s">
        <v>2846</v>
      </c>
      <c r="B374" s="2974" t="s">
        <v>266</v>
      </c>
      <c r="C374" s="2975">
        <v>0.15</v>
      </c>
      <c r="D374" s="2975">
        <v>0.15</v>
      </c>
      <c r="E374" s="2975">
        <v>0.15</v>
      </c>
      <c r="F374" s="2975">
        <v>0.14399999999999999</v>
      </c>
      <c r="G374" s="2976">
        <v>0.15</v>
      </c>
    </row>
    <row r="375" spans="1:7">
      <c r="A375" s="2985" t="s">
        <v>2846</v>
      </c>
      <c r="B375" s="2974" t="s">
        <v>2915</v>
      </c>
      <c r="C375" s="2975">
        <v>0.15</v>
      </c>
      <c r="D375" s="2975">
        <v>0.15</v>
      </c>
      <c r="E375" s="2975">
        <v>0.15</v>
      </c>
      <c r="F375" s="2975">
        <v>0.13</v>
      </c>
      <c r="G375" s="2976">
        <v>0.15</v>
      </c>
    </row>
    <row r="376" spans="1:7">
      <c r="A376" s="2985" t="s">
        <v>2846</v>
      </c>
      <c r="B376" s="2974" t="s">
        <v>277</v>
      </c>
      <c r="C376" s="2975">
        <v>0.15</v>
      </c>
      <c r="D376" s="2975">
        <v>0.15</v>
      </c>
      <c r="E376" s="2975">
        <v>0.15</v>
      </c>
      <c r="F376" s="2975">
        <v>0.14199999999999999</v>
      </c>
      <c r="G376" s="2976">
        <v>0.15</v>
      </c>
    </row>
    <row r="377" spans="1:7" ht="14.25" thickBot="1">
      <c r="A377" s="2988" t="s">
        <v>2846</v>
      </c>
      <c r="B377" s="2978" t="s">
        <v>2921</v>
      </c>
      <c r="C377" s="2979">
        <v>0.15</v>
      </c>
      <c r="D377" s="2979">
        <v>0.15</v>
      </c>
      <c r="E377" s="2979">
        <v>0.15</v>
      </c>
      <c r="F377" s="2979">
        <v>0.14000000000000001</v>
      </c>
      <c r="G377" s="2981">
        <v>0.15</v>
      </c>
    </row>
    <row r="378" spans="1:7">
      <c r="A378" s="2984" t="s">
        <v>2847</v>
      </c>
      <c r="B378" s="2970" t="s">
        <v>2861</v>
      </c>
      <c r="C378" s="2971">
        <v>0.15</v>
      </c>
      <c r="D378" s="2971">
        <v>0.15</v>
      </c>
      <c r="E378" s="2971">
        <v>0.15</v>
      </c>
      <c r="F378" s="2971">
        <v>0.107</v>
      </c>
      <c r="G378" s="2972">
        <v>0.15</v>
      </c>
    </row>
    <row r="379" spans="1:7">
      <c r="A379" s="2985" t="s">
        <v>2847</v>
      </c>
      <c r="B379" s="2974" t="s">
        <v>2867</v>
      </c>
      <c r="C379" s="2975">
        <v>0.15</v>
      </c>
      <c r="D379" s="2975">
        <v>0.15</v>
      </c>
      <c r="E379" s="2975">
        <v>0.15</v>
      </c>
      <c r="F379" s="2975">
        <v>0.115</v>
      </c>
      <c r="G379" s="2976">
        <v>0.14899999999999999</v>
      </c>
    </row>
    <row r="380" spans="1:7">
      <c r="A380" s="2985" t="s">
        <v>2847</v>
      </c>
      <c r="B380" s="2974" t="s">
        <v>2873</v>
      </c>
      <c r="C380" s="2975">
        <v>0.15</v>
      </c>
      <c r="D380" s="2975">
        <v>0.15</v>
      </c>
      <c r="E380" s="2975">
        <v>0.15</v>
      </c>
      <c r="F380" s="2975">
        <v>0.1</v>
      </c>
      <c r="G380" s="2976">
        <v>0.14799999999999999</v>
      </c>
    </row>
    <row r="381" spans="1:7">
      <c r="A381" s="2985" t="s">
        <v>2847</v>
      </c>
      <c r="B381" s="2974" t="s">
        <v>2876</v>
      </c>
      <c r="C381" s="2975">
        <v>0.15</v>
      </c>
      <c r="D381" s="2975">
        <v>0.15</v>
      </c>
      <c r="E381" s="2975">
        <v>0.15</v>
      </c>
      <c r="F381" s="2975">
        <v>0.126</v>
      </c>
      <c r="G381" s="2976">
        <v>0.15</v>
      </c>
    </row>
    <row r="382" spans="1:7">
      <c r="A382" s="2985" t="s">
        <v>2847</v>
      </c>
      <c r="B382" s="2974" t="s">
        <v>2880</v>
      </c>
      <c r="C382" s="2975">
        <v>0.15</v>
      </c>
      <c r="D382" s="2975">
        <v>0.15</v>
      </c>
      <c r="E382" s="2975">
        <v>0.15</v>
      </c>
      <c r="F382" s="2975">
        <v>0.15</v>
      </c>
      <c r="G382" s="2976">
        <v>0.15</v>
      </c>
    </row>
    <row r="383" spans="1:7">
      <c r="A383" s="2985" t="s">
        <v>2847</v>
      </c>
      <c r="B383" s="2974" t="s">
        <v>2885</v>
      </c>
      <c r="C383" s="2975">
        <v>0.15</v>
      </c>
      <c r="D383" s="2975">
        <v>0.15</v>
      </c>
      <c r="E383" s="2975">
        <v>0.15</v>
      </c>
      <c r="F383" s="2975">
        <v>0.14699999999999999</v>
      </c>
      <c r="G383" s="2976">
        <v>0.15</v>
      </c>
    </row>
    <row r="384" spans="1:7" ht="14.25" thickBot="1">
      <c r="A384" s="2995" t="s">
        <v>2847</v>
      </c>
      <c r="B384" s="2996" t="s">
        <v>2889</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0"/>
  </cols>
  <sheetData>
    <row r="1" spans="1:6" ht="14.25">
      <c r="A1" s="3489" t="s">
        <v>3228</v>
      </c>
      <c r="B1" s="3489"/>
      <c r="C1" s="3489"/>
      <c r="D1" s="3489"/>
      <c r="E1" s="3489"/>
      <c r="F1" s="3490"/>
    </row>
    <row r="2" spans="1:6" ht="14.25">
      <c r="A2" s="2999" t="s">
        <v>3229</v>
      </c>
    </row>
    <row r="3" spans="1:6" ht="14.25">
      <c r="A3" s="2999" t="s">
        <v>3230</v>
      </c>
      <c r="F3" s="3000" t="s">
        <v>3231</v>
      </c>
    </row>
    <row r="4" spans="1:6">
      <c r="A4" s="3001" t="s">
        <v>672</v>
      </c>
      <c r="B4" s="3001" t="s">
        <v>673</v>
      </c>
      <c r="C4" s="3001" t="s">
        <v>21</v>
      </c>
      <c r="D4" s="3001" t="s">
        <v>674</v>
      </c>
      <c r="E4" s="3001" t="s">
        <v>3</v>
      </c>
      <c r="F4" s="3001" t="s">
        <v>3232</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4">
        <f>基准地价修正!G23</f>
        <v>45755</v>
      </c>
      <c r="B1" s="2926" t="s">
        <v>3374</v>
      </c>
      <c r="C1" s="2927"/>
      <c r="D1" s="2927"/>
      <c r="E1" s="2927"/>
      <c r="F1" s="2927"/>
      <c r="G1" s="2927"/>
      <c r="H1" s="2927"/>
      <c r="I1" s="2927"/>
      <c r="J1" s="2893"/>
      <c r="K1" s="2927" t="s">
        <v>454</v>
      </c>
      <c r="L1" s="2927"/>
      <c r="M1" s="2927"/>
      <c r="N1" s="2927"/>
      <c r="O1" s="2927"/>
      <c r="P1" s="2927"/>
      <c r="Q1" s="2893"/>
      <c r="R1" s="3491" t="s">
        <v>456</v>
      </c>
      <c r="S1" s="3492"/>
      <c r="T1" s="3492"/>
      <c r="U1" s="3492"/>
      <c r="V1" s="3492"/>
      <c r="W1" s="3492"/>
      <c r="X1" s="2893"/>
      <c r="Y1" s="3491" t="s">
        <v>457</v>
      </c>
      <c r="Z1" s="3492"/>
      <c r="AA1" s="3492"/>
      <c r="AB1" s="3492"/>
      <c r="AC1" s="3492"/>
      <c r="AD1" s="3492"/>
    </row>
    <row r="2" spans="1:44" s="2007" customFormat="1" ht="14.25" thickBot="1">
      <c r="B2" s="2878"/>
      <c r="C2" s="2879"/>
      <c r="D2" s="2008" t="s">
        <v>2806</v>
      </c>
      <c r="E2" s="2009" t="s">
        <v>2807</v>
      </c>
      <c r="F2" s="2009" t="s">
        <v>2808</v>
      </c>
      <c r="G2" s="2009" t="s">
        <v>2809</v>
      </c>
      <c r="H2" s="2009" t="s">
        <v>2810</v>
      </c>
      <c r="I2" s="2009" t="s">
        <v>2627</v>
      </c>
      <c r="J2" s="2880"/>
      <c r="K2" s="2008" t="s">
        <v>2806</v>
      </c>
      <c r="L2" s="2009" t="s">
        <v>2807</v>
      </c>
      <c r="M2" s="2009" t="s">
        <v>2808</v>
      </c>
      <c r="N2" s="2009" t="s">
        <v>2809</v>
      </c>
      <c r="O2" s="2009" t="s">
        <v>2811</v>
      </c>
      <c r="P2" s="2009" t="s">
        <v>2627</v>
      </c>
      <c r="Q2" s="2880"/>
      <c r="R2" s="2008" t="s">
        <v>2806</v>
      </c>
      <c r="S2" s="2009" t="s">
        <v>2807</v>
      </c>
      <c r="T2" s="2009" t="s">
        <v>2808</v>
      </c>
      <c r="U2" s="2009" t="s">
        <v>2812</v>
      </c>
      <c r="V2" s="2009" t="s">
        <v>2813</v>
      </c>
      <c r="W2" s="2009" t="s">
        <v>2627</v>
      </c>
      <c r="X2" s="2880"/>
      <c r="Y2" s="2008" t="s">
        <v>2806</v>
      </c>
      <c r="Z2" s="2009" t="s">
        <v>2807</v>
      </c>
      <c r="AA2" s="2009" t="s">
        <v>2808</v>
      </c>
      <c r="AB2" s="2009" t="s">
        <v>2814</v>
      </c>
      <c r="AC2" s="2009" t="s">
        <v>2813</v>
      </c>
      <c r="AD2" s="2009" t="s">
        <v>2627</v>
      </c>
      <c r="AF2" t="s">
        <v>3401</v>
      </c>
      <c r="AG2" t="s">
        <v>673</v>
      </c>
      <c r="AH2" t="s">
        <v>21</v>
      </c>
      <c r="AI2" t="s">
        <v>3402</v>
      </c>
      <c r="AJ2" t="s">
        <v>3</v>
      </c>
      <c r="AK2" t="s">
        <v>3403</v>
      </c>
      <c r="AM2" t="s">
        <v>3401</v>
      </c>
      <c r="AN2" t="s">
        <v>673</v>
      </c>
      <c r="AO2" t="s">
        <v>21</v>
      </c>
      <c r="AP2" t="s">
        <v>3402</v>
      </c>
      <c r="AQ2" t="s">
        <v>3</v>
      </c>
      <c r="AR2" t="s">
        <v>3403</v>
      </c>
    </row>
    <row r="3" spans="1:44" s="2883" customFormat="1" ht="12.75">
      <c r="A3" s="2881" t="s">
        <v>2815</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6" customFormat="1" ht="12.75">
      <c r="B4" s="2022"/>
      <c r="J4" s="2893"/>
      <c r="K4" s="2894"/>
      <c r="L4" s="2895"/>
      <c r="M4" s="2895"/>
      <c r="N4" s="2895"/>
      <c r="O4" s="2895"/>
      <c r="P4" s="2895"/>
      <c r="Q4" s="2893"/>
      <c r="R4" s="2024"/>
      <c r="S4" s="2896"/>
      <c r="T4" s="2897"/>
      <c r="U4" s="2024"/>
      <c r="V4" s="2898"/>
      <c r="W4" s="2024"/>
      <c r="X4" s="2893"/>
      <c r="Y4" s="2025"/>
      <c r="Z4" s="2899"/>
      <c r="AA4" s="2900"/>
      <c r="AB4" s="2025"/>
      <c r="AC4" s="2901"/>
      <c r="AD4" s="2025"/>
    </row>
    <row r="5" spans="1:44" s="2042" customFormat="1">
      <c r="A5" s="2037" t="s">
        <v>3400</v>
      </c>
      <c r="B5" s="2028">
        <v>2025</v>
      </c>
      <c r="C5" s="2039">
        <v>4</v>
      </c>
      <c r="D5" s="2004">
        <v>0</v>
      </c>
      <c r="E5" s="2004">
        <v>0</v>
      </c>
      <c r="F5" s="2004">
        <v>0</v>
      </c>
      <c r="G5" s="2004">
        <v>0</v>
      </c>
      <c r="H5" s="2004">
        <v>0</v>
      </c>
      <c r="I5" s="2005">
        <f t="shared" ref="I5" si="4">F5</f>
        <v>0</v>
      </c>
      <c r="J5" s="2903"/>
      <c r="K5" s="2040">
        <f t="shared" ref="K5" si="5">D5/100</f>
        <v>0</v>
      </c>
      <c r="L5" s="2025">
        <f t="shared" ref="L5" si="6">E5/100</f>
        <v>0</v>
      </c>
      <c r="M5" s="2025">
        <f t="shared" ref="M5" si="7">F5/100</f>
        <v>0</v>
      </c>
      <c r="N5" s="2025">
        <f t="shared" ref="N5" si="8">G5/100</f>
        <v>0</v>
      </c>
      <c r="O5" s="2025">
        <f t="shared" ref="O5" si="9">H5/100</f>
        <v>0</v>
      </c>
      <c r="P5" s="2025">
        <f t="shared" ref="P5:P11" si="10">M5</f>
        <v>0</v>
      </c>
      <c r="Q5" s="2903"/>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3"/>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2" customFormat="1" ht="12.75">
      <c r="A6" s="2037" t="s">
        <v>3399</v>
      </c>
      <c r="B6" s="2028">
        <v>2025</v>
      </c>
      <c r="C6" s="2039">
        <v>3</v>
      </c>
      <c r="D6" s="2004">
        <v>0</v>
      </c>
      <c r="E6" s="2004">
        <v>0</v>
      </c>
      <c r="F6" s="2004">
        <v>0</v>
      </c>
      <c r="G6" s="2004">
        <v>0</v>
      </c>
      <c r="H6" s="2004">
        <v>0</v>
      </c>
      <c r="I6" s="2005">
        <f t="shared" ref="I6" si="19">F6</f>
        <v>0</v>
      </c>
      <c r="J6" s="2903"/>
      <c r="K6" s="2040">
        <f t="shared" ref="K6" si="20">D6/100</f>
        <v>0</v>
      </c>
      <c r="L6" s="2025">
        <f t="shared" ref="L6" si="21">E6/100</f>
        <v>0</v>
      </c>
      <c r="M6" s="2025">
        <f t="shared" ref="M6" si="22">F6/100</f>
        <v>0</v>
      </c>
      <c r="N6" s="2025">
        <f t="shared" ref="N6" si="23">G6/100</f>
        <v>0</v>
      </c>
      <c r="O6" s="2025">
        <f t="shared" ref="O6" si="24">H6/100</f>
        <v>0</v>
      </c>
      <c r="P6" s="2025">
        <f t="shared" si="10"/>
        <v>0</v>
      </c>
      <c r="Q6" s="2903"/>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3"/>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3398</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2" customFormat="1" ht="12.75">
      <c r="A8" s="2037" t="s">
        <v>3406</v>
      </c>
      <c r="B8" s="2028">
        <v>2025</v>
      </c>
      <c r="C8" s="2039">
        <v>1</v>
      </c>
      <c r="D8" s="2004">
        <v>0.56999999999999995</v>
      </c>
      <c r="E8" s="2004">
        <v>-0.56999999999999995</v>
      </c>
      <c r="F8" s="2004">
        <v>-0.9</v>
      </c>
      <c r="G8" s="2004">
        <v>1.1200000000000001</v>
      </c>
      <c r="H8" s="2004">
        <v>0.42</v>
      </c>
      <c r="I8" s="2005">
        <f t="shared" ref="I8" si="54">F8</f>
        <v>-0.9</v>
      </c>
      <c r="J8" s="2903"/>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3"/>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3"/>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2" customFormat="1" ht="12.75">
      <c r="A9" s="2037" t="s">
        <v>3405</v>
      </c>
      <c r="B9" s="2028">
        <v>2024</v>
      </c>
      <c r="C9" s="2039">
        <v>4</v>
      </c>
      <c r="D9" s="2004">
        <v>-1.02</v>
      </c>
      <c r="E9" s="2004">
        <v>-0.48</v>
      </c>
      <c r="F9" s="2004">
        <v>-0.75</v>
      </c>
      <c r="G9" s="2004">
        <v>-1.05</v>
      </c>
      <c r="H9" s="2004">
        <v>0.08</v>
      </c>
      <c r="I9" s="2005">
        <f t="shared" ref="I9" si="65">F9</f>
        <v>-0.75</v>
      </c>
      <c r="J9" s="2903"/>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3"/>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3"/>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2" customFormat="1" ht="12.75">
      <c r="A10" s="2037" t="s">
        <v>3378</v>
      </c>
      <c r="B10" s="2028">
        <v>2024</v>
      </c>
      <c r="C10" s="2039">
        <v>3</v>
      </c>
      <c r="D10" s="2004">
        <v>-1.19</v>
      </c>
      <c r="E10" s="2004">
        <v>-0.47</v>
      </c>
      <c r="F10" s="2004">
        <v>-0.28999999999999998</v>
      </c>
      <c r="G10" s="2004">
        <v>-0.74</v>
      </c>
      <c r="H10" s="2004">
        <v>-0.21</v>
      </c>
      <c r="I10" s="2005">
        <f t="shared" ref="I10" si="76">F10</f>
        <v>-0.28999999999999998</v>
      </c>
      <c r="J10" s="2903"/>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3"/>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3"/>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2" customFormat="1" ht="12.75">
      <c r="A11" s="2902" t="s">
        <v>3372</v>
      </c>
      <c r="B11" s="2028">
        <v>2024</v>
      </c>
      <c r="C11" s="2039">
        <v>2</v>
      </c>
      <c r="D11" s="2004">
        <v>-0.59</v>
      </c>
      <c r="E11" s="2004">
        <v>-0.21</v>
      </c>
      <c r="F11" s="2004">
        <v>-1.38</v>
      </c>
      <c r="G11" s="2004">
        <v>-1.24</v>
      </c>
      <c r="H11" s="2914">
        <v>0.34</v>
      </c>
      <c r="I11" s="2005">
        <f t="shared" ref="I11:I24" si="87">F11</f>
        <v>-1.38</v>
      </c>
      <c r="J11" s="2903"/>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3"/>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3"/>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2" customFormat="1" ht="12.75">
      <c r="A12" s="2902" t="s">
        <v>3371</v>
      </c>
      <c r="B12" s="2028">
        <v>2024</v>
      </c>
      <c r="C12" s="2039">
        <v>1</v>
      </c>
      <c r="D12" s="2004">
        <v>0.08</v>
      </c>
      <c r="E12" s="2004">
        <v>0.46</v>
      </c>
      <c r="F12" s="2004">
        <v>-0.16</v>
      </c>
      <c r="G12" s="2004">
        <v>0.26</v>
      </c>
      <c r="H12" s="2914">
        <v>0.59</v>
      </c>
      <c r="I12" s="2005">
        <f t="shared" si="87"/>
        <v>-0.16</v>
      </c>
      <c r="J12" s="2903"/>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3"/>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3"/>
      <c r="Y12" s="2025"/>
      <c r="Z12" s="2025"/>
      <c r="AA12" s="2025"/>
      <c r="AB12" s="2025"/>
      <c r="AC12" s="2025"/>
      <c r="AD12" s="2025"/>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2" customFormat="1" ht="12.75">
      <c r="A13" s="2902" t="s">
        <v>3367</v>
      </c>
      <c r="B13" s="2028">
        <v>2023</v>
      </c>
      <c r="C13" s="2039">
        <v>4</v>
      </c>
      <c r="D13" s="2004">
        <v>0.19</v>
      </c>
      <c r="E13" s="2004">
        <v>0.24</v>
      </c>
      <c r="F13" s="2004">
        <v>-0.16</v>
      </c>
      <c r="G13" s="2004">
        <v>0.17</v>
      </c>
      <c r="H13" s="2914">
        <v>0.61</v>
      </c>
      <c r="I13" s="2005">
        <f>F13</f>
        <v>-0.16</v>
      </c>
      <c r="J13" s="2903"/>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3"/>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3"/>
      <c r="Y13" s="2025"/>
      <c r="Z13" s="2025"/>
      <c r="AA13" s="2025"/>
      <c r="AB13" s="2025"/>
      <c r="AC13" s="2025"/>
      <c r="AD13" s="2025"/>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2" customFormat="1" ht="12.75">
      <c r="A14" s="2902" t="s">
        <v>3366</v>
      </c>
      <c r="B14" s="2028">
        <v>2023</v>
      </c>
      <c r="C14" s="2039">
        <v>3</v>
      </c>
      <c r="D14" s="2004">
        <v>0.25</v>
      </c>
      <c r="E14" s="2004">
        <v>0.5</v>
      </c>
      <c r="F14" s="2004">
        <v>0.31</v>
      </c>
      <c r="G14" s="2004">
        <v>0.21</v>
      </c>
      <c r="H14" s="2914">
        <v>0.43</v>
      </c>
      <c r="I14" s="2005">
        <f t="shared" si="87"/>
        <v>0.31</v>
      </c>
      <c r="J14" s="2903"/>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3"/>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3"/>
      <c r="Y14" s="2025"/>
      <c r="Z14" s="2025"/>
      <c r="AA14" s="2025"/>
      <c r="AB14" s="2025"/>
      <c r="AC14" s="2025"/>
      <c r="AD14" s="2025"/>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2" customFormat="1" ht="12.75">
      <c r="A15" s="2902" t="s">
        <v>3364</v>
      </c>
      <c r="B15" s="2028">
        <v>2023</v>
      </c>
      <c r="C15" s="2039">
        <v>2</v>
      </c>
      <c r="D15" s="2004">
        <v>0.91</v>
      </c>
      <c r="E15" s="2004">
        <v>0.66</v>
      </c>
      <c r="F15" s="2004">
        <v>0.47</v>
      </c>
      <c r="G15" s="2004">
        <v>0.96</v>
      </c>
      <c r="H15" s="2914">
        <v>0.71</v>
      </c>
      <c r="I15" s="2005">
        <f t="shared" si="87"/>
        <v>0.47</v>
      </c>
      <c r="J15" s="2903"/>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3"/>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3"/>
      <c r="Y15" s="2025"/>
      <c r="Z15" s="2025"/>
      <c r="AA15" s="2025"/>
      <c r="AB15" s="2025"/>
      <c r="AC15" s="2025"/>
      <c r="AD15" s="2025"/>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2" customFormat="1" ht="12.75">
      <c r="A16" s="2902" t="s">
        <v>3363</v>
      </c>
      <c r="B16" s="2028">
        <v>2023</v>
      </c>
      <c r="C16" s="2039">
        <v>1</v>
      </c>
      <c r="D16" s="2004">
        <v>0.89</v>
      </c>
      <c r="E16" s="2004">
        <v>0.74</v>
      </c>
      <c r="F16" s="2004">
        <v>0.56999999999999995</v>
      </c>
      <c r="G16" s="2004">
        <v>0.92</v>
      </c>
      <c r="H16" s="2914">
        <v>0.5</v>
      </c>
      <c r="I16" s="2005">
        <f t="shared" si="87"/>
        <v>0.56999999999999995</v>
      </c>
      <c r="J16" s="2903"/>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3"/>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3"/>
      <c r="Y16" s="2025"/>
      <c r="Z16" s="2025"/>
      <c r="AA16" s="2025"/>
      <c r="AB16" s="2025"/>
      <c r="AC16" s="2025"/>
      <c r="AD16" s="2025"/>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2" customFormat="1" ht="12.75">
      <c r="A17" s="2902" t="s">
        <v>3362</v>
      </c>
      <c r="B17" s="2028">
        <v>2022</v>
      </c>
      <c r="C17" s="2039">
        <v>4</v>
      </c>
      <c r="D17" s="2004">
        <v>0.62</v>
      </c>
      <c r="E17" s="2004">
        <v>0.2</v>
      </c>
      <c r="F17" s="2004">
        <v>0.11</v>
      </c>
      <c r="G17" s="2004">
        <v>0.69</v>
      </c>
      <c r="H17" s="2914">
        <v>0.53</v>
      </c>
      <c r="I17" s="2005">
        <f t="shared" si="87"/>
        <v>0.11</v>
      </c>
      <c r="J17" s="2903"/>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3"/>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3"/>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2" customFormat="1" ht="12.75">
      <c r="A18" s="2902" t="s">
        <v>3360</v>
      </c>
      <c r="B18" s="2028">
        <v>2022</v>
      </c>
      <c r="C18" s="2039">
        <v>3</v>
      </c>
      <c r="D18" s="2004">
        <v>0.66</v>
      </c>
      <c r="E18" s="2004">
        <v>0.32</v>
      </c>
      <c r="F18" s="2004">
        <v>0.23</v>
      </c>
      <c r="G18" s="2004">
        <v>0.72</v>
      </c>
      <c r="H18" s="2914">
        <v>0.63</v>
      </c>
      <c r="I18" s="2005">
        <f t="shared" si="87"/>
        <v>0.23</v>
      </c>
      <c r="J18" s="2903"/>
      <c r="K18" s="2040">
        <f t="shared" si="88"/>
        <v>6.6E-3</v>
      </c>
      <c r="L18" s="2025">
        <f t="shared" si="88"/>
        <v>3.2000000000000002E-3</v>
      </c>
      <c r="M18" s="2025">
        <f t="shared" si="88"/>
        <v>2.3E-3</v>
      </c>
      <c r="N18" s="2025">
        <f t="shared" si="88"/>
        <v>7.1999999999999998E-3</v>
      </c>
      <c r="O18" s="2025">
        <f t="shared" si="88"/>
        <v>6.3E-3</v>
      </c>
      <c r="P18" s="2025">
        <f t="shared" si="108"/>
        <v>2.3E-3</v>
      </c>
      <c r="Q18" s="2903"/>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3"/>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2" customFormat="1" ht="12.75">
      <c r="A19" s="2902" t="s">
        <v>3351</v>
      </c>
      <c r="B19" s="2028">
        <v>2022</v>
      </c>
      <c r="C19" s="2039">
        <v>2</v>
      </c>
      <c r="D19" s="2004">
        <v>0.93</v>
      </c>
      <c r="E19" s="2004">
        <v>0.15</v>
      </c>
      <c r="F19" s="2004">
        <v>0.01</v>
      </c>
      <c r="G19" s="2004">
        <v>1.05</v>
      </c>
      <c r="H19" s="2914">
        <v>1.08</v>
      </c>
      <c r="I19" s="2005">
        <f t="shared" si="87"/>
        <v>0.01</v>
      </c>
      <c r="J19" s="2903"/>
      <c r="K19" s="2040">
        <f t="shared" si="88"/>
        <v>9.300000000000001E-3</v>
      </c>
      <c r="L19" s="2025">
        <f t="shared" si="88"/>
        <v>1.5E-3</v>
      </c>
      <c r="M19" s="2025">
        <f t="shared" si="88"/>
        <v>1E-4</v>
      </c>
      <c r="N19" s="2025">
        <f t="shared" si="88"/>
        <v>1.0500000000000001E-2</v>
      </c>
      <c r="O19" s="2025">
        <f t="shared" si="88"/>
        <v>1.0800000000000001E-2</v>
      </c>
      <c r="P19" s="2025">
        <f t="shared" si="108"/>
        <v>1E-4</v>
      </c>
      <c r="Q19" s="2903"/>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3"/>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2" customFormat="1" ht="12.75">
      <c r="A20" s="2902" t="s">
        <v>2816</v>
      </c>
      <c r="B20" s="2028">
        <v>2022</v>
      </c>
      <c r="C20" s="2039">
        <v>1</v>
      </c>
      <c r="D20" s="2004">
        <v>0.89</v>
      </c>
      <c r="E20" s="2004">
        <v>0.44</v>
      </c>
      <c r="F20" s="2004">
        <v>0.37</v>
      </c>
      <c r="G20" s="2004">
        <v>0.96</v>
      </c>
      <c r="H20" s="2914">
        <v>0.64</v>
      </c>
      <c r="I20" s="2005">
        <f t="shared" si="87"/>
        <v>0.37</v>
      </c>
      <c r="J20" s="2903"/>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3"/>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3"/>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2" customFormat="1" ht="12.75">
      <c r="A21" s="2902" t="s">
        <v>2817</v>
      </c>
      <c r="B21" s="2028">
        <v>2021</v>
      </c>
      <c r="C21" s="2039">
        <v>4</v>
      </c>
      <c r="D21" s="2004">
        <v>1.03</v>
      </c>
      <c r="E21" s="2004">
        <v>0.24</v>
      </c>
      <c r="F21" s="2004">
        <v>7.0000000000000007E-2</v>
      </c>
      <c r="G21" s="2004">
        <v>1.17</v>
      </c>
      <c r="H21" s="2914">
        <v>0.55000000000000004</v>
      </c>
      <c r="I21" s="2005">
        <f t="shared" si="87"/>
        <v>7.0000000000000007E-2</v>
      </c>
      <c r="J21" s="2903"/>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3"/>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3"/>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2" customFormat="1" ht="12.75">
      <c r="A22" s="2902" t="s">
        <v>2818</v>
      </c>
      <c r="B22" s="2028">
        <v>2021</v>
      </c>
      <c r="C22" s="2039">
        <v>3</v>
      </c>
      <c r="D22" s="2004">
        <v>0.47</v>
      </c>
      <c r="E22" s="2004">
        <v>0.41</v>
      </c>
      <c r="F22" s="2004">
        <v>0.24</v>
      </c>
      <c r="G22" s="2004">
        <v>0.48</v>
      </c>
      <c r="H22" s="2914">
        <v>0.48</v>
      </c>
      <c r="I22" s="2005">
        <f t="shared" si="87"/>
        <v>0.24</v>
      </c>
      <c r="J22" s="2903"/>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3"/>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3"/>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2" customFormat="1" ht="12.75">
      <c r="A23" s="2902" t="s">
        <v>2819</v>
      </c>
      <c r="B23" s="2028">
        <v>2021</v>
      </c>
      <c r="C23" s="2039">
        <v>2</v>
      </c>
      <c r="D23" s="2004">
        <v>0.92</v>
      </c>
      <c r="E23" s="2004">
        <v>0.72</v>
      </c>
      <c r="F23" s="2004">
        <v>0.41</v>
      </c>
      <c r="G23" s="2004">
        <v>0.95</v>
      </c>
      <c r="H23" s="2914">
        <v>1.01</v>
      </c>
      <c r="I23" s="2005">
        <f t="shared" si="87"/>
        <v>0.41</v>
      </c>
      <c r="J23" s="2903"/>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3"/>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3"/>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2820</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3377</v>
      </c>
    </row>
    <row r="27" spans="1:44">
      <c r="I27" s="1403" t="s">
        <v>2821</v>
      </c>
    </row>
    <row r="29" spans="1:44" s="2006" customFormat="1" ht="12.75">
      <c r="B29" s="2926" t="s">
        <v>3375</v>
      </c>
      <c r="C29" s="2927"/>
      <c r="D29" s="2927"/>
      <c r="E29" s="2927"/>
      <c r="F29" s="2927"/>
      <c r="G29" s="2927"/>
      <c r="H29" s="2927"/>
      <c r="I29" s="2927"/>
      <c r="J29" s="2893"/>
      <c r="K29" s="2927" t="s">
        <v>2822</v>
      </c>
      <c r="L29" s="2927"/>
      <c r="M29" s="2927"/>
      <c r="N29" s="2927"/>
      <c r="O29" s="2927"/>
      <c r="P29" s="2927"/>
      <c r="Q29" s="2893"/>
      <c r="R29" s="3491" t="s">
        <v>2823</v>
      </c>
      <c r="S29" s="3492"/>
      <c r="T29" s="3492"/>
      <c r="U29" s="3492"/>
      <c r="V29" s="3492"/>
      <c r="W29" s="3492"/>
      <c r="X29" s="2893"/>
      <c r="Y29" s="3491" t="s">
        <v>2824</v>
      </c>
      <c r="Z29" s="3492"/>
      <c r="AA29" s="3492"/>
      <c r="AB29" s="3492"/>
      <c r="AC29" s="3492"/>
      <c r="AD29" s="3492"/>
    </row>
    <row r="30" spans="1:44" s="2007" customFormat="1" ht="14.25" thickBot="1">
      <c r="B30" s="2878"/>
      <c r="C30" s="2879"/>
      <c r="D30" s="2008" t="s">
        <v>2825</v>
      </c>
      <c r="E30" s="2009" t="s">
        <v>2826</v>
      </c>
      <c r="F30" s="2009" t="s">
        <v>2827</v>
      </c>
      <c r="G30" s="2009" t="s">
        <v>2828</v>
      </c>
      <c r="H30" s="2009"/>
      <c r="I30" s="2009" t="s">
        <v>2829</v>
      </c>
      <c r="J30" s="2880"/>
      <c r="K30" s="2008" t="s">
        <v>2825</v>
      </c>
      <c r="L30" s="2009" t="s">
        <v>2826</v>
      </c>
      <c r="M30" s="2009" t="s">
        <v>2827</v>
      </c>
      <c r="N30" s="2009" t="s">
        <v>2828</v>
      </c>
      <c r="O30" s="2009"/>
      <c r="P30" s="2009" t="s">
        <v>2829</v>
      </c>
      <c r="Q30" s="2880"/>
      <c r="R30" s="2008" t="s">
        <v>2825</v>
      </c>
      <c r="S30" s="2009" t="s">
        <v>2826</v>
      </c>
      <c r="T30" s="2009" t="s">
        <v>2827</v>
      </c>
      <c r="U30" s="2009" t="s">
        <v>2828</v>
      </c>
      <c r="V30" s="2009"/>
      <c r="W30" s="2009" t="s">
        <v>2829</v>
      </c>
      <c r="X30" s="2880"/>
      <c r="Y30" s="2008" t="s">
        <v>2825</v>
      </c>
      <c r="Z30" s="2009" t="s">
        <v>2826</v>
      </c>
      <c r="AA30" s="2009" t="s">
        <v>2827</v>
      </c>
      <c r="AB30" s="2009" t="s">
        <v>2828</v>
      </c>
      <c r="AC30" s="2009"/>
      <c r="AD30" s="2009" t="s">
        <v>2829</v>
      </c>
      <c r="AG30" t="s">
        <v>673</v>
      </c>
      <c r="AH30" t="s">
        <v>21</v>
      </c>
      <c r="AI30" t="s">
        <v>3402</v>
      </c>
      <c r="AJ30"/>
      <c r="AK30" t="s">
        <v>3403</v>
      </c>
      <c r="AN30" t="s">
        <v>673</v>
      </c>
      <c r="AO30" t="s">
        <v>21</v>
      </c>
      <c r="AP30" t="s">
        <v>3402</v>
      </c>
      <c r="AQ30"/>
      <c r="AR30" t="s">
        <v>3403</v>
      </c>
    </row>
    <row r="31" spans="1:44" s="2883" customFormat="1" ht="12.75">
      <c r="A31" s="2881" t="s">
        <v>2830</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6" customFormat="1" ht="12.75">
      <c r="B32" s="2022"/>
      <c r="J32" s="2893"/>
      <c r="K32" s="2894"/>
      <c r="L32" s="2895"/>
      <c r="M32" s="2895"/>
      <c r="N32" s="2895"/>
      <c r="O32" s="2895"/>
      <c r="P32" s="2895"/>
      <c r="Q32" s="2893"/>
      <c r="R32" s="2024"/>
      <c r="S32" s="2896"/>
      <c r="T32" s="2897"/>
      <c r="U32" s="2024"/>
      <c r="V32" s="2898"/>
      <c r="W32" s="2024"/>
      <c r="X32" s="2893"/>
      <c r="Y32" s="2025"/>
      <c r="Z32" s="2899"/>
      <c r="AA32" s="2900"/>
      <c r="AB32" s="2025"/>
      <c r="AC32" s="2901"/>
      <c r="AD32" s="2025"/>
    </row>
    <row r="33" spans="1:44" s="2042" customFormat="1">
      <c r="A33" s="2037" t="s">
        <v>3400</v>
      </c>
      <c r="B33" s="2028">
        <v>2025</v>
      </c>
      <c r="C33" s="2039">
        <v>4</v>
      </c>
      <c r="D33" s="2004"/>
      <c r="E33" s="2004">
        <v>0</v>
      </c>
      <c r="F33" s="2004">
        <v>0</v>
      </c>
      <c r="G33" s="2004">
        <v>0</v>
      </c>
      <c r="H33" s="2004"/>
      <c r="I33" s="2005">
        <f t="shared" ref="I33" si="119">F33</f>
        <v>0</v>
      </c>
      <c r="J33" s="2903"/>
      <c r="K33" s="2040"/>
      <c r="L33" s="2025">
        <f t="shared" ref="L33" si="120">E33/100</f>
        <v>0</v>
      </c>
      <c r="M33" s="2025">
        <f t="shared" ref="M33" si="121">F33/100</f>
        <v>0</v>
      </c>
      <c r="N33" s="2025">
        <f t="shared" ref="N33" si="122">G33/100</f>
        <v>0</v>
      </c>
      <c r="O33" s="2025"/>
      <c r="P33" s="2025">
        <f t="shared" ref="P33:P39" si="123">M33</f>
        <v>0</v>
      </c>
      <c r="Q33" s="2903"/>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3"/>
      <c r="Y33" s="2025"/>
      <c r="Z33" s="2899">
        <f t="shared" ref="Z33" si="125">IF(E33=0,0,ROUND(AVERAGE(E33:E46)/100,4))</f>
        <v>0</v>
      </c>
      <c r="AA33" s="2899">
        <f t="shared" ref="AA33" si="126">IF(F33=0,0,ROUND(AVERAGE(F33:F46)/100,4))</f>
        <v>0</v>
      </c>
      <c r="AB33" s="2899">
        <f t="shared" ref="AB33" si="127">IF(G33=0,0,ROUND(AVERAGE(G33:G46)/100,4))</f>
        <v>0</v>
      </c>
      <c r="AC33" s="2901"/>
      <c r="AD33" s="2025">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2" customFormat="1" ht="12.75">
      <c r="A34" s="2037" t="s">
        <v>3399</v>
      </c>
      <c r="B34" s="2028">
        <v>2025</v>
      </c>
      <c r="C34" s="2039">
        <v>3</v>
      </c>
      <c r="D34" s="2004"/>
      <c r="E34" s="2004">
        <v>0</v>
      </c>
      <c r="F34" s="2004">
        <v>0</v>
      </c>
      <c r="G34" s="2004">
        <v>0</v>
      </c>
      <c r="H34" s="2004"/>
      <c r="I34" s="2005">
        <f t="shared" ref="I34" si="133">F34</f>
        <v>0</v>
      </c>
      <c r="J34" s="2903"/>
      <c r="K34" s="2040"/>
      <c r="L34" s="2025">
        <f t="shared" ref="L34" si="134">E34/100</f>
        <v>0</v>
      </c>
      <c r="M34" s="2025">
        <f t="shared" ref="M34" si="135">F34/100</f>
        <v>0</v>
      </c>
      <c r="N34" s="2025">
        <f t="shared" ref="N34" si="136">G34/100</f>
        <v>0</v>
      </c>
      <c r="O34" s="2025"/>
      <c r="P34" s="2025">
        <f t="shared" si="123"/>
        <v>0</v>
      </c>
      <c r="Q34" s="2903"/>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3"/>
      <c r="Y34" s="2025"/>
      <c r="Z34" s="2899">
        <f t="shared" ref="Z34" si="137">IF(E34=0,0,ROUND(AVERAGE(E34:E47)/100,4))</f>
        <v>0</v>
      </c>
      <c r="AA34" s="2899">
        <f t="shared" ref="AA34" si="138">IF(F34=0,0,ROUND(AVERAGE(F34:F47)/100,4))</f>
        <v>0</v>
      </c>
      <c r="AB34" s="2899">
        <f t="shared" ref="AB34" si="139">IF(G34=0,0,ROUND(AVERAGE(G34:G47)/100,4))</f>
        <v>0</v>
      </c>
      <c r="AC34" s="2901"/>
      <c r="AD34" s="2025">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3407</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2" customFormat="1" ht="12.75">
      <c r="A36" s="2037" t="s">
        <v>3404</v>
      </c>
      <c r="B36" s="2028">
        <v>2025</v>
      </c>
      <c r="C36" s="2039">
        <v>1</v>
      </c>
      <c r="D36" s="2004"/>
      <c r="E36" s="2004">
        <v>-1.47</v>
      </c>
      <c r="F36" s="2004">
        <v>-0.98</v>
      </c>
      <c r="G36" s="2004">
        <v>-0.51</v>
      </c>
      <c r="H36" s="2004"/>
      <c r="I36" s="2005">
        <f t="shared" ref="I36" si="152">F36</f>
        <v>-0.98</v>
      </c>
      <c r="J36" s="2903"/>
      <c r="K36" s="2040"/>
      <c r="L36" s="2025">
        <f t="shared" ref="L36" si="153">E36/100</f>
        <v>-1.47E-2</v>
      </c>
      <c r="M36" s="2025">
        <f t="shared" ref="M36" si="154">F36/100</f>
        <v>-9.7999999999999997E-3</v>
      </c>
      <c r="N36" s="2025">
        <f t="shared" ref="N36" si="155">G36/100</f>
        <v>-5.1000000000000004E-3</v>
      </c>
      <c r="O36" s="2025"/>
      <c r="P36" s="2025">
        <f t="shared" si="123"/>
        <v>-9.7999999999999997E-3</v>
      </c>
      <c r="Q36" s="2903"/>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3"/>
      <c r="Y36" s="2025"/>
      <c r="Z36" s="2899">
        <f t="shared" ref="Z36" si="156">IF(E36=0,0,ROUND(AVERAGE(E36:E49)/100,4))</f>
        <v>4.0000000000000002E-4</v>
      </c>
      <c r="AA36" s="2899">
        <f t="shared" ref="AA36" si="157">IF(F36=0,0,ROUND(AVERAGE(F36:F49)/100,4))</f>
        <v>0</v>
      </c>
      <c r="AB36" s="2899">
        <f t="shared" ref="AB36" si="158">IF(G36=0,0,ROUND(AVERAGE(G36:G49)/100,4))</f>
        <v>1E-3</v>
      </c>
      <c r="AC36" s="2901"/>
      <c r="AD36" s="2025">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2" customFormat="1" ht="12.75">
      <c r="A37" s="2037" t="s">
        <v>3405</v>
      </c>
      <c r="B37" s="2028">
        <v>2024</v>
      </c>
      <c r="C37" s="2039">
        <v>4</v>
      </c>
      <c r="D37" s="2004"/>
      <c r="E37" s="2004">
        <v>-0.61</v>
      </c>
      <c r="F37" s="2004">
        <v>-0.71</v>
      </c>
      <c r="G37" s="2004">
        <v>-0.88</v>
      </c>
      <c r="H37" s="2004"/>
      <c r="I37" s="2005">
        <f t="shared" ref="I37" si="162">F37</f>
        <v>-0.71</v>
      </c>
      <c r="J37" s="2903"/>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3"/>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3"/>
      <c r="Y37" s="2025"/>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5">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2" customFormat="1" ht="12.75">
      <c r="A38" s="2037" t="s">
        <v>3369</v>
      </c>
      <c r="B38" s="2028">
        <v>2024</v>
      </c>
      <c r="C38" s="2039">
        <v>3</v>
      </c>
      <c r="D38" s="2004"/>
      <c r="E38" s="2004">
        <v>-0.66</v>
      </c>
      <c r="F38" s="2004">
        <v>-0.52</v>
      </c>
      <c r="G38" s="2004">
        <v>-2.87</v>
      </c>
      <c r="H38" s="2004"/>
      <c r="I38" s="2005">
        <f t="shared" ref="I38" si="169">F38</f>
        <v>-0.52</v>
      </c>
      <c r="J38" s="2903"/>
      <c r="K38" s="2040"/>
      <c r="L38" s="2025">
        <f t="shared" ref="L38" si="170">E38/100</f>
        <v>-6.6E-3</v>
      </c>
      <c r="M38" s="2025">
        <f t="shared" ref="M38" si="171">F38/100</f>
        <v>-5.1999999999999998E-3</v>
      </c>
      <c r="N38" s="2025">
        <f t="shared" ref="N38" si="172">G38/100</f>
        <v>-2.87E-2</v>
      </c>
      <c r="O38" s="2025"/>
      <c r="P38" s="2025">
        <f t="shared" si="123"/>
        <v>-5.1999999999999998E-3</v>
      </c>
      <c r="Q38" s="2903"/>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3"/>
      <c r="Y38" s="2025"/>
      <c r="Z38" s="2899">
        <f t="shared" ref="Z38:AB39" si="173">IF(E38=0,0,ROUND(AVERAGE(E38:E51)/100,4))</f>
        <v>2.5999999999999999E-3</v>
      </c>
      <c r="AA38" s="2899">
        <f t="shared" si="173"/>
        <v>1.6999999999999999E-3</v>
      </c>
      <c r="AB38" s="2899">
        <f t="shared" si="173"/>
        <v>3.3999999999999998E-3</v>
      </c>
      <c r="AC38" s="2901"/>
      <c r="AD38" s="2025">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2" customFormat="1" ht="12.75">
      <c r="A39" s="2902" t="s">
        <v>3373</v>
      </c>
      <c r="B39" s="2028">
        <v>2024</v>
      </c>
      <c r="C39" s="2039">
        <v>2</v>
      </c>
      <c r="D39" s="2004"/>
      <c r="E39" s="2004">
        <v>-0.31</v>
      </c>
      <c r="F39" s="2004">
        <v>-0.39</v>
      </c>
      <c r="G39" s="2004">
        <v>1.23</v>
      </c>
      <c r="H39" s="2914"/>
      <c r="I39" s="2005">
        <f t="shared" ref="I39:I52" si="174">F39</f>
        <v>-0.39</v>
      </c>
      <c r="J39" s="2903"/>
      <c r="K39" s="2040"/>
      <c r="L39" s="2025">
        <f t="shared" ref="L39:N52" si="175">E39/100</f>
        <v>-3.0999999999999999E-3</v>
      </c>
      <c r="M39" s="2025">
        <f t="shared" si="175"/>
        <v>-3.9000000000000003E-3</v>
      </c>
      <c r="N39" s="2025">
        <f t="shared" si="175"/>
        <v>1.23E-2</v>
      </c>
      <c r="O39" s="2025"/>
      <c r="P39" s="2025">
        <f t="shared" si="123"/>
        <v>-3.9000000000000003E-3</v>
      </c>
      <c r="Q39" s="2903"/>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3"/>
      <c r="Y39" s="2025"/>
      <c r="Z39" s="2899">
        <f t="shared" si="173"/>
        <v>3.3E-3</v>
      </c>
      <c r="AA39" s="2900">
        <f t="shared" si="173"/>
        <v>2.3999999999999998E-3</v>
      </c>
      <c r="AB39" s="2025">
        <f t="shared" si="173"/>
        <v>6.1999999999999998E-3</v>
      </c>
      <c r="AC39" s="2901"/>
      <c r="AD39" s="2025">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2" customFormat="1" ht="12.75">
      <c r="A40" s="2902" t="s">
        <v>3370</v>
      </c>
      <c r="B40" s="2028">
        <v>2024</v>
      </c>
      <c r="C40" s="2039">
        <v>1</v>
      </c>
      <c r="D40" s="2004"/>
      <c r="E40" s="2004">
        <v>0.25</v>
      </c>
      <c r="F40" s="2004">
        <v>0.4</v>
      </c>
      <c r="G40" s="2004">
        <v>-0.63</v>
      </c>
      <c r="H40" s="2914"/>
      <c r="I40" s="2005">
        <f t="shared" ref="I40:I41" si="176">F40</f>
        <v>0.4</v>
      </c>
      <c r="J40" s="2903"/>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3"/>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3"/>
      <c r="Y40" s="2025"/>
      <c r="Z40" s="2899"/>
      <c r="AA40" s="2900"/>
      <c r="AB40" s="2025"/>
      <c r="AC40" s="2901"/>
      <c r="AD40" s="2025"/>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2" customFormat="1" ht="12.75">
      <c r="A41" s="2902" t="s">
        <v>3368</v>
      </c>
      <c r="B41" s="2028">
        <v>2023</v>
      </c>
      <c r="C41" s="2039">
        <v>4</v>
      </c>
      <c r="D41" s="2004"/>
      <c r="E41" s="2004">
        <v>7.0000000000000007E-2</v>
      </c>
      <c r="F41" s="2004">
        <v>0.09</v>
      </c>
      <c r="G41" s="2004">
        <v>0.03</v>
      </c>
      <c r="H41" s="2914"/>
      <c r="I41" s="2005">
        <f t="shared" si="176"/>
        <v>0.09</v>
      </c>
      <c r="J41" s="2903"/>
      <c r="K41" s="2040"/>
      <c r="L41" s="2025">
        <f t="shared" si="175"/>
        <v>7.000000000000001E-4</v>
      </c>
      <c r="M41" s="2025">
        <f t="shared" si="175"/>
        <v>8.9999999999999998E-4</v>
      </c>
      <c r="N41" s="2025">
        <f t="shared" si="175"/>
        <v>2.9999999999999997E-4</v>
      </c>
      <c r="O41" s="2025"/>
      <c r="P41" s="2025">
        <f t="shared" ref="P41" si="182">M41</f>
        <v>8.9999999999999998E-4</v>
      </c>
      <c r="Q41" s="2903"/>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3"/>
      <c r="Y41" s="2025"/>
      <c r="Z41" s="2899"/>
      <c r="AA41" s="2900"/>
      <c r="AB41" s="2025"/>
      <c r="AC41" s="2901"/>
      <c r="AD41" s="2025"/>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2" customFormat="1" ht="12.75">
      <c r="A42" s="2902" t="s">
        <v>3366</v>
      </c>
      <c r="B42" s="2028">
        <v>2023</v>
      </c>
      <c r="C42" s="2039">
        <v>3</v>
      </c>
      <c r="D42" s="2004"/>
      <c r="E42" s="2004">
        <v>0.35</v>
      </c>
      <c r="F42" s="2004">
        <v>0.17</v>
      </c>
      <c r="G42" s="2004">
        <v>0.52</v>
      </c>
      <c r="H42" s="2914"/>
      <c r="I42" s="2005">
        <f t="shared" si="174"/>
        <v>0.17</v>
      </c>
      <c r="J42" s="2903"/>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3"/>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3"/>
      <c r="Y42" s="2025"/>
      <c r="Z42" s="2899"/>
      <c r="AA42" s="2900"/>
      <c r="AB42" s="2025"/>
      <c r="AC42" s="2901"/>
      <c r="AD42" s="2025"/>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2" customFormat="1" ht="12.75">
      <c r="A43" s="2902" t="s">
        <v>3365</v>
      </c>
      <c r="B43" s="2028">
        <v>2023</v>
      </c>
      <c r="C43" s="2039">
        <v>2</v>
      </c>
      <c r="D43" s="2004"/>
      <c r="E43" s="2004">
        <v>0.5</v>
      </c>
      <c r="F43" s="2004">
        <v>0.45</v>
      </c>
      <c r="G43" s="2004">
        <v>0.89</v>
      </c>
      <c r="H43" s="2914"/>
      <c r="I43" s="2005">
        <f t="shared" si="174"/>
        <v>0.45</v>
      </c>
      <c r="J43" s="2903"/>
      <c r="K43" s="2040"/>
      <c r="L43" s="2025">
        <f t="shared" si="184"/>
        <v>5.0000000000000001E-3</v>
      </c>
      <c r="M43" s="2025">
        <f t="shared" si="185"/>
        <v>4.5000000000000005E-3</v>
      </c>
      <c r="N43" s="2025">
        <f t="shared" si="186"/>
        <v>8.8999999999999999E-3</v>
      </c>
      <c r="O43" s="2025"/>
      <c r="P43" s="2025">
        <f t="shared" si="187"/>
        <v>4.5000000000000005E-3</v>
      </c>
      <c r="Q43" s="2903"/>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3"/>
      <c r="Y43" s="2025"/>
      <c r="Z43" s="2899"/>
      <c r="AA43" s="2900"/>
      <c r="AB43" s="2025"/>
      <c r="AC43" s="2901"/>
      <c r="AD43" s="2025"/>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2" customFormat="1" ht="12.75">
      <c r="A44" s="2902" t="s">
        <v>3363</v>
      </c>
      <c r="B44" s="2028">
        <v>2023</v>
      </c>
      <c r="C44" s="2039">
        <v>1</v>
      </c>
      <c r="D44" s="2004"/>
      <c r="E44" s="2004">
        <v>0.55000000000000004</v>
      </c>
      <c r="F44" s="2004">
        <v>0.59</v>
      </c>
      <c r="G44" s="2004">
        <v>0.64</v>
      </c>
      <c r="H44" s="2914"/>
      <c r="I44" s="2005">
        <f t="shared" si="174"/>
        <v>0.59</v>
      </c>
      <c r="J44" s="2903"/>
      <c r="K44" s="2040"/>
      <c r="L44" s="2025">
        <f t="shared" si="184"/>
        <v>5.5000000000000005E-3</v>
      </c>
      <c r="M44" s="2025">
        <f t="shared" si="185"/>
        <v>5.8999999999999999E-3</v>
      </c>
      <c r="N44" s="2025">
        <f t="shared" si="186"/>
        <v>6.4000000000000003E-3</v>
      </c>
      <c r="O44" s="2025"/>
      <c r="P44" s="2025">
        <f t="shared" si="187"/>
        <v>5.8999999999999999E-3</v>
      </c>
      <c r="Q44" s="2903"/>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3"/>
      <c r="Y44" s="2025"/>
      <c r="Z44" s="2899"/>
      <c r="AA44" s="2900"/>
      <c r="AB44" s="2025"/>
      <c r="AC44" s="2901"/>
      <c r="AD44" s="2025"/>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2" customFormat="1" ht="12.75">
      <c r="A45" s="2902" t="s">
        <v>3362</v>
      </c>
      <c r="B45" s="2028">
        <v>2022</v>
      </c>
      <c r="C45" s="2039">
        <v>4</v>
      </c>
      <c r="D45" s="2004"/>
      <c r="E45" s="2004">
        <v>0.45</v>
      </c>
      <c r="F45" s="2004">
        <v>0.2</v>
      </c>
      <c r="G45" s="2004">
        <v>0.38</v>
      </c>
      <c r="H45" s="2914"/>
      <c r="I45" s="2005">
        <f t="shared" si="174"/>
        <v>0.2</v>
      </c>
      <c r="J45" s="2903"/>
      <c r="K45" s="2040"/>
      <c r="L45" s="2025">
        <f t="shared" si="175"/>
        <v>4.5000000000000005E-3</v>
      </c>
      <c r="M45" s="2025">
        <f t="shared" si="175"/>
        <v>2E-3</v>
      </c>
      <c r="N45" s="2025">
        <f t="shared" si="175"/>
        <v>3.8E-3</v>
      </c>
      <c r="O45" s="2025"/>
      <c r="P45" s="2025">
        <f t="shared" ref="P45:P52" si="189">M45</f>
        <v>2E-3</v>
      </c>
      <c r="Q45" s="2903"/>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3"/>
      <c r="Y45" s="2025"/>
      <c r="Z45" s="2899">
        <f t="shared" ref="Z45:AD52" si="191">IF(E45=0,0,ROUND(AVERAGE(E45:E53)/100,4))</f>
        <v>4.0000000000000001E-3</v>
      </c>
      <c r="AA45" s="2900">
        <f t="shared" si="191"/>
        <v>2.5999999999999999E-3</v>
      </c>
      <c r="AB45" s="2025">
        <f t="shared" si="191"/>
        <v>7.4000000000000003E-3</v>
      </c>
      <c r="AC45" s="2901"/>
      <c r="AD45" s="2025">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2" customFormat="1" ht="12.75">
      <c r="A46" s="2902" t="s">
        <v>3361</v>
      </c>
      <c r="B46" s="2028">
        <v>2022</v>
      </c>
      <c r="C46" s="2039">
        <v>3</v>
      </c>
      <c r="D46" s="2004"/>
      <c r="E46" s="2004">
        <v>0.3</v>
      </c>
      <c r="F46" s="2004">
        <v>0.28999999999999998</v>
      </c>
      <c r="G46" s="2004">
        <v>0.83</v>
      </c>
      <c r="H46" s="2914"/>
      <c r="I46" s="2005">
        <f t="shared" si="174"/>
        <v>0.28999999999999998</v>
      </c>
      <c r="J46" s="2903"/>
      <c r="K46" s="2040"/>
      <c r="L46" s="2025">
        <f t="shared" si="175"/>
        <v>3.0000000000000001E-3</v>
      </c>
      <c r="M46" s="2025">
        <f t="shared" si="175"/>
        <v>2.8999999999999998E-3</v>
      </c>
      <c r="N46" s="2025">
        <f t="shared" si="175"/>
        <v>8.3000000000000001E-3</v>
      </c>
      <c r="O46" s="2025"/>
      <c r="P46" s="2025">
        <f t="shared" si="189"/>
        <v>2.8999999999999998E-3</v>
      </c>
      <c r="Q46" s="2903"/>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3"/>
      <c r="Y46" s="2025"/>
      <c r="Z46" s="2899">
        <f t="shared" si="191"/>
        <v>3.8999999999999998E-3</v>
      </c>
      <c r="AA46" s="2900">
        <f t="shared" si="191"/>
        <v>2.7000000000000001E-3</v>
      </c>
      <c r="AB46" s="2025">
        <f t="shared" si="191"/>
        <v>7.9000000000000008E-3</v>
      </c>
      <c r="AC46" s="2901"/>
      <c r="AD46" s="2025">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2" customFormat="1" ht="12.75">
      <c r="A47" s="2902" t="s">
        <v>3351</v>
      </c>
      <c r="B47" s="2028">
        <v>2022</v>
      </c>
      <c r="C47" s="2039">
        <v>2</v>
      </c>
      <c r="D47" s="2004"/>
      <c r="E47" s="2004">
        <v>-0.11</v>
      </c>
      <c r="F47" s="2004">
        <v>-0.13</v>
      </c>
      <c r="G47" s="2004">
        <v>0.53</v>
      </c>
      <c r="H47" s="2914"/>
      <c r="I47" s="2005">
        <f t="shared" si="174"/>
        <v>-0.13</v>
      </c>
      <c r="J47" s="2903"/>
      <c r="K47" s="2040"/>
      <c r="L47" s="2025">
        <f t="shared" si="175"/>
        <v>-1.1000000000000001E-3</v>
      </c>
      <c r="M47" s="2025">
        <f t="shared" si="175"/>
        <v>-1.2999999999999999E-3</v>
      </c>
      <c r="N47" s="2025">
        <f t="shared" si="175"/>
        <v>5.3E-3</v>
      </c>
      <c r="O47" s="2025"/>
      <c r="P47" s="2025">
        <f t="shared" si="189"/>
        <v>-1.2999999999999999E-3</v>
      </c>
      <c r="Q47" s="2903"/>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3"/>
      <c r="Y47" s="2025"/>
      <c r="Z47" s="2899">
        <f t="shared" si="191"/>
        <v>4.1000000000000003E-3</v>
      </c>
      <c r="AA47" s="2900">
        <f t="shared" si="191"/>
        <v>2.7000000000000001E-3</v>
      </c>
      <c r="AB47" s="2025">
        <f t="shared" si="191"/>
        <v>7.9000000000000008E-3</v>
      </c>
      <c r="AC47" s="2901"/>
      <c r="AD47" s="2025">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2" customFormat="1" ht="12.75">
      <c r="A48" s="2902" t="s">
        <v>2831</v>
      </c>
      <c r="B48" s="2028">
        <v>2022</v>
      </c>
      <c r="C48" s="2039">
        <v>1</v>
      </c>
      <c r="D48" s="2004"/>
      <c r="E48" s="2004">
        <v>0.6</v>
      </c>
      <c r="F48" s="2004">
        <v>0.45</v>
      </c>
      <c r="G48" s="2004">
        <v>0.53</v>
      </c>
      <c r="H48" s="2914"/>
      <c r="I48" s="2005">
        <f t="shared" si="174"/>
        <v>0.45</v>
      </c>
      <c r="J48" s="2903"/>
      <c r="K48" s="2040"/>
      <c r="L48" s="2025">
        <f t="shared" si="175"/>
        <v>6.0000000000000001E-3</v>
      </c>
      <c r="M48" s="2025">
        <f t="shared" si="175"/>
        <v>4.5000000000000005E-3</v>
      </c>
      <c r="N48" s="2025">
        <f t="shared" si="175"/>
        <v>5.3E-3</v>
      </c>
      <c r="O48" s="2025"/>
      <c r="P48" s="2025">
        <f t="shared" si="189"/>
        <v>4.5000000000000005E-3</v>
      </c>
      <c r="Q48" s="2903"/>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3"/>
      <c r="Y48" s="2025"/>
      <c r="Z48" s="2899">
        <f t="shared" si="191"/>
        <v>5.1000000000000004E-3</v>
      </c>
      <c r="AA48" s="2900">
        <f t="shared" si="191"/>
        <v>3.5000000000000001E-3</v>
      </c>
      <c r="AB48" s="2025">
        <f t="shared" si="191"/>
        <v>8.3999999999999995E-3</v>
      </c>
      <c r="AC48" s="2901"/>
      <c r="AD48" s="2025">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2" customFormat="1" ht="12.75">
      <c r="A49" s="2902" t="s">
        <v>2832</v>
      </c>
      <c r="B49" s="2028">
        <v>2021</v>
      </c>
      <c r="C49" s="2039">
        <v>4</v>
      </c>
      <c r="D49" s="2004"/>
      <c r="E49" s="2004">
        <v>0.57999999999999996</v>
      </c>
      <c r="F49" s="2004">
        <v>0.08</v>
      </c>
      <c r="G49" s="2004">
        <v>0.68</v>
      </c>
      <c r="H49" s="2914"/>
      <c r="I49" s="2005">
        <f t="shared" si="174"/>
        <v>0.08</v>
      </c>
      <c r="J49" s="2903"/>
      <c r="K49" s="2040"/>
      <c r="L49" s="2025">
        <f t="shared" si="175"/>
        <v>5.7999999999999996E-3</v>
      </c>
      <c r="M49" s="2025">
        <f t="shared" si="175"/>
        <v>8.0000000000000004E-4</v>
      </c>
      <c r="N49" s="2025">
        <f t="shared" si="175"/>
        <v>6.8000000000000005E-3</v>
      </c>
      <c r="O49" s="2025"/>
      <c r="P49" s="2025">
        <f t="shared" si="189"/>
        <v>8.0000000000000004E-4</v>
      </c>
      <c r="Q49" s="2903"/>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3"/>
      <c r="Y49" s="2025"/>
      <c r="Z49" s="2899">
        <f t="shared" si="191"/>
        <v>4.8999999999999998E-3</v>
      </c>
      <c r="AA49" s="2900">
        <f t="shared" si="191"/>
        <v>3.3E-3</v>
      </c>
      <c r="AB49" s="2025">
        <f t="shared" si="191"/>
        <v>9.1999999999999998E-3</v>
      </c>
      <c r="AC49" s="2901"/>
      <c r="AD49" s="2025">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2" customFormat="1" ht="12.75">
      <c r="A50" s="2902" t="s">
        <v>2833</v>
      </c>
      <c r="B50" s="2028">
        <v>2021</v>
      </c>
      <c r="C50" s="2039">
        <v>3</v>
      </c>
      <c r="D50" s="2004"/>
      <c r="E50" s="2004">
        <v>0.47</v>
      </c>
      <c r="F50" s="2004">
        <v>0.28000000000000003</v>
      </c>
      <c r="G50" s="2004">
        <v>0.91</v>
      </c>
      <c r="H50" s="2914"/>
      <c r="I50" s="2005">
        <f t="shared" si="174"/>
        <v>0.28000000000000003</v>
      </c>
      <c r="J50" s="2903"/>
      <c r="K50" s="2040"/>
      <c r="L50" s="2025">
        <f t="shared" si="175"/>
        <v>4.6999999999999993E-3</v>
      </c>
      <c r="M50" s="2025">
        <f t="shared" si="175"/>
        <v>2.8000000000000004E-3</v>
      </c>
      <c r="N50" s="2025">
        <f t="shared" si="175"/>
        <v>9.1000000000000004E-3</v>
      </c>
      <c r="O50" s="2025"/>
      <c r="P50" s="2025">
        <f t="shared" si="189"/>
        <v>2.8000000000000004E-3</v>
      </c>
      <c r="Q50" s="2903"/>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3"/>
      <c r="Y50" s="2025"/>
      <c r="Z50" s="2899">
        <f t="shared" si="191"/>
        <v>4.5999999999999999E-3</v>
      </c>
      <c r="AA50" s="2900">
        <f t="shared" si="191"/>
        <v>4.1000000000000003E-3</v>
      </c>
      <c r="AB50" s="2025">
        <f t="shared" si="191"/>
        <v>0.01</v>
      </c>
      <c r="AC50" s="2901"/>
      <c r="AD50" s="2025">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2" customFormat="1" ht="12.75">
      <c r="A51" s="2902" t="s">
        <v>2834</v>
      </c>
      <c r="B51" s="2028">
        <v>2021</v>
      </c>
      <c r="C51" s="2039">
        <v>2</v>
      </c>
      <c r="D51" s="2004"/>
      <c r="E51" s="2004">
        <v>0.55000000000000004</v>
      </c>
      <c r="F51" s="2004">
        <v>0.46</v>
      </c>
      <c r="G51" s="2004">
        <v>1.1000000000000001</v>
      </c>
      <c r="H51" s="2914"/>
      <c r="I51" s="2005">
        <f t="shared" si="174"/>
        <v>0.46</v>
      </c>
      <c r="J51" s="2903"/>
      <c r="K51" s="2040"/>
      <c r="L51" s="2025">
        <f t="shared" si="175"/>
        <v>5.5000000000000005E-3</v>
      </c>
      <c r="M51" s="2025">
        <f t="shared" si="175"/>
        <v>4.5999999999999999E-3</v>
      </c>
      <c r="N51" s="2025">
        <f t="shared" si="175"/>
        <v>1.1000000000000001E-2</v>
      </c>
      <c r="O51" s="2025"/>
      <c r="P51" s="2025">
        <f t="shared" si="189"/>
        <v>4.5999999999999999E-3</v>
      </c>
      <c r="Q51" s="2903"/>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3"/>
      <c r="Y51" s="2025"/>
      <c r="Z51" s="2899">
        <f t="shared" si="191"/>
        <v>4.4999999999999997E-3</v>
      </c>
      <c r="AA51" s="2900">
        <f t="shared" si="191"/>
        <v>4.7000000000000002E-3</v>
      </c>
      <c r="AB51" s="2025">
        <f t="shared" si="191"/>
        <v>1.04E-2</v>
      </c>
      <c r="AC51" s="2901"/>
      <c r="AD51" s="2025">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2820</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9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9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9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49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9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9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9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9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9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9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9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9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9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9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9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9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9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9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49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9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9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9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9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9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49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9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9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9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9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9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9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9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9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9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9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9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9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9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9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9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9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9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9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9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9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9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9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9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9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9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9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9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9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9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9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9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9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9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9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94">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495">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9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9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94">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495">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4" t="s">
        <v>2835</v>
      </c>
      <c r="B1" s="3504"/>
      <c r="C1" s="3504"/>
      <c r="D1" s="3504"/>
      <c r="E1" s="3504"/>
      <c r="F1" s="3504"/>
      <c r="G1" s="3505"/>
      <c r="I1" s="2935" t="s">
        <v>2836</v>
      </c>
      <c r="J1" s="2936" t="s">
        <v>2837</v>
      </c>
      <c r="K1" s="2936" t="s">
        <v>2838</v>
      </c>
      <c r="L1" s="2936" t="s">
        <v>2839</v>
      </c>
      <c r="M1" s="2936" t="s">
        <v>2840</v>
      </c>
      <c r="N1" s="2936" t="s">
        <v>2841</v>
      </c>
      <c r="O1" s="2936" t="s">
        <v>2842</v>
      </c>
      <c r="P1" s="2936" t="s">
        <v>2843</v>
      </c>
      <c r="Q1" s="2936" t="s">
        <v>2844</v>
      </c>
      <c r="R1" s="2936" t="s">
        <v>2845</v>
      </c>
      <c r="S1" s="2936" t="s">
        <v>2846</v>
      </c>
      <c r="T1" s="2937" t="s">
        <v>2847</v>
      </c>
    </row>
    <row r="2" spans="1:20" ht="12" thickBot="1">
      <c r="A2" s="2938" t="s">
        <v>2848</v>
      </c>
      <c r="B2" s="2938"/>
      <c r="C2" s="2938"/>
      <c r="D2" s="2938"/>
      <c r="E2" s="2938"/>
      <c r="F2" s="2938"/>
      <c r="G2" s="2939" t="s">
        <v>2849</v>
      </c>
      <c r="I2" s="2940" t="s">
        <v>2850</v>
      </c>
      <c r="J2" s="2940" t="s">
        <v>2851</v>
      </c>
      <c r="K2" s="2940" t="s">
        <v>2852</v>
      </c>
      <c r="L2" s="2940" t="s">
        <v>2853</v>
      </c>
      <c r="M2" s="2940" t="s">
        <v>2854</v>
      </c>
      <c r="N2" s="2940" t="s">
        <v>2855</v>
      </c>
      <c r="O2" s="2940" t="s">
        <v>2856</v>
      </c>
      <c r="P2" s="2940" t="s">
        <v>2857</v>
      </c>
      <c r="Q2" s="2940" t="s">
        <v>2858</v>
      </c>
      <c r="R2" s="2940" t="s">
        <v>2859</v>
      </c>
      <c r="S2" s="2940" t="s">
        <v>2860</v>
      </c>
      <c r="T2" s="2940" t="s">
        <v>2861</v>
      </c>
    </row>
    <row r="3" spans="1:20" s="2946" customFormat="1">
      <c r="A3" s="3502" t="s">
        <v>2862</v>
      </c>
      <c r="B3" s="2941"/>
      <c r="C3" s="2942" t="s">
        <v>2807</v>
      </c>
      <c r="D3" s="2942" t="s">
        <v>2863</v>
      </c>
      <c r="E3" s="2942" t="s">
        <v>2809</v>
      </c>
      <c r="F3" s="2942" t="s">
        <v>2864</v>
      </c>
      <c r="G3" s="2942" t="s">
        <v>2627</v>
      </c>
      <c r="H3" s="2943"/>
      <c r="I3" s="2944" t="s">
        <v>2865</v>
      </c>
      <c r="J3" s="2945" t="s">
        <v>128</v>
      </c>
      <c r="K3" s="2945" t="s">
        <v>129</v>
      </c>
      <c r="L3" s="2944" t="s">
        <v>130</v>
      </c>
      <c r="M3" s="2944" t="s">
        <v>131</v>
      </c>
      <c r="N3" s="2944" t="s">
        <v>132</v>
      </c>
      <c r="O3" s="2944" t="s">
        <v>133</v>
      </c>
      <c r="P3" s="2944" t="s">
        <v>134</v>
      </c>
      <c r="Q3" s="2944" t="s">
        <v>135</v>
      </c>
      <c r="R3" s="2944" t="s">
        <v>136</v>
      </c>
      <c r="S3" s="2944" t="s">
        <v>2866</v>
      </c>
      <c r="T3" s="2944" t="s">
        <v>2867</v>
      </c>
    </row>
    <row r="4" spans="1:20" s="2946" customFormat="1" ht="12" thickBot="1">
      <c r="A4" s="3503"/>
      <c r="B4" s="2947" t="s">
        <v>2868</v>
      </c>
      <c r="C4" s="2947" t="s">
        <v>2869</v>
      </c>
      <c r="D4" s="2947" t="s">
        <v>2869</v>
      </c>
      <c r="E4" s="2947" t="s">
        <v>2869</v>
      </c>
      <c r="F4" s="2948" t="s">
        <v>2869</v>
      </c>
      <c r="G4" s="2948" t="s">
        <v>2869</v>
      </c>
      <c r="H4" s="2943"/>
      <c r="I4" s="2945" t="s">
        <v>137</v>
      </c>
      <c r="J4" s="2945" t="s">
        <v>111</v>
      </c>
      <c r="K4" s="2945" t="s">
        <v>138</v>
      </c>
      <c r="L4" s="2944" t="s">
        <v>139</v>
      </c>
      <c r="M4" s="2944" t="s">
        <v>140</v>
      </c>
      <c r="N4" s="2944" t="s">
        <v>141</v>
      </c>
      <c r="O4" s="2944" t="s">
        <v>142</v>
      </c>
      <c r="P4" s="2944" t="s">
        <v>143</v>
      </c>
      <c r="Q4" s="2944" t="s">
        <v>2870</v>
      </c>
      <c r="R4" s="2944" t="s">
        <v>2871</v>
      </c>
      <c r="S4" s="2944" t="s">
        <v>2872</v>
      </c>
      <c r="T4" s="2944" t="s">
        <v>2873</v>
      </c>
    </row>
    <row r="5" spans="1:20">
      <c r="A5" s="2949" t="s">
        <v>2836</v>
      </c>
      <c r="B5" s="2940" t="s">
        <v>2850</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2874</v>
      </c>
      <c r="R5" s="2944" t="s">
        <v>2875</v>
      </c>
      <c r="S5" s="2944" t="s">
        <v>153</v>
      </c>
      <c r="T5" s="2944" t="s">
        <v>2876</v>
      </c>
    </row>
    <row r="6" spans="1:20" ht="12" thickBot="1">
      <c r="A6" s="2944" t="s">
        <v>144</v>
      </c>
      <c r="B6" s="2944" t="s">
        <v>2865</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2877</v>
      </c>
      <c r="Q6" s="2944" t="s">
        <v>2878</v>
      </c>
      <c r="R6" s="2944" t="s">
        <v>161</v>
      </c>
      <c r="S6" s="2944" t="s">
        <v>2879</v>
      </c>
      <c r="T6" s="2944" t="s">
        <v>2880</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2881</v>
      </c>
      <c r="Q7" s="2944" t="s">
        <v>2882</v>
      </c>
      <c r="R7" s="2944" t="s">
        <v>2883</v>
      </c>
      <c r="S7" s="2944" t="s">
        <v>2884</v>
      </c>
      <c r="T7" s="2944" t="s">
        <v>2885</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2886</v>
      </c>
      <c r="Q8" s="2944" t="s">
        <v>174</v>
      </c>
      <c r="R8" s="2944" t="s">
        <v>2887</v>
      </c>
      <c r="S8" s="2944" t="s">
        <v>2888</v>
      </c>
      <c r="T8" s="2951" t="s">
        <v>2889</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2890</v>
      </c>
      <c r="Q9" s="2944" t="s">
        <v>182</v>
      </c>
      <c r="R9" s="2944" t="s">
        <v>183</v>
      </c>
      <c r="S9" s="2944" t="s">
        <v>200</v>
      </c>
    </row>
    <row r="10" spans="1:20">
      <c r="A10" s="2949" t="s">
        <v>184</v>
      </c>
      <c r="B10" s="2940" t="s">
        <v>2851</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2891</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2892</v>
      </c>
      <c r="P11" s="2944" t="s">
        <v>191</v>
      </c>
      <c r="Q11" s="2944" t="s">
        <v>199</v>
      </c>
      <c r="R11" s="2944" t="s">
        <v>2893</v>
      </c>
      <c r="S11" s="2944" t="s">
        <v>2894</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2895</v>
      </c>
      <c r="P12" s="2944" t="s">
        <v>2896</v>
      </c>
      <c r="Q12" s="2944" t="s">
        <v>2897</v>
      </c>
      <c r="R12" s="2944" t="s">
        <v>2898</v>
      </c>
      <c r="S12" s="2944" t="s">
        <v>2899</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2900</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2901</v>
      </c>
      <c r="K14" s="2945" t="s">
        <v>215</v>
      </c>
      <c r="L14" s="2944" t="s">
        <v>216</v>
      </c>
      <c r="M14" s="2944" t="s">
        <v>217</v>
      </c>
      <c r="N14" s="2944" t="s">
        <v>218</v>
      </c>
      <c r="O14" s="2944" t="s">
        <v>240</v>
      </c>
      <c r="P14" s="2944" t="s">
        <v>213</v>
      </c>
      <c r="Q14" s="2944" t="s">
        <v>2902</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2903</v>
      </c>
      <c r="P15" s="2944" t="s">
        <v>2904</v>
      </c>
      <c r="Q15" s="2944" t="s">
        <v>242</v>
      </c>
      <c r="R15" s="2944" t="s">
        <v>2905</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2906</v>
      </c>
      <c r="P16" s="2944" t="s">
        <v>227</v>
      </c>
      <c r="Q16" s="2944" t="s">
        <v>250</v>
      </c>
      <c r="R16" s="2944" t="s">
        <v>207</v>
      </c>
      <c r="S16" s="2944" t="s">
        <v>2907</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2908</v>
      </c>
      <c r="P17" s="2944" t="s">
        <v>2909</v>
      </c>
      <c r="Q17" s="2944" t="s">
        <v>256</v>
      </c>
      <c r="R17" s="2944" t="s">
        <v>2910</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2911</v>
      </c>
      <c r="P18" s="2944" t="s">
        <v>241</v>
      </c>
      <c r="Q18" s="2944" t="s">
        <v>2912</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2913</v>
      </c>
      <c r="P19" s="2944" t="s">
        <v>249</v>
      </c>
      <c r="Q19" s="2944" t="s">
        <v>2914</v>
      </c>
      <c r="R19" s="2944" t="s">
        <v>265</v>
      </c>
      <c r="S19" s="2944" t="s">
        <v>2915</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2916</v>
      </c>
      <c r="P20" s="2944" t="s">
        <v>2917</v>
      </c>
      <c r="Q20" s="2944" t="s">
        <v>290</v>
      </c>
      <c r="R20" s="2944" t="s">
        <v>2918</v>
      </c>
      <c r="S20" s="2944" t="s">
        <v>277</v>
      </c>
    </row>
    <row r="21" spans="1:19" ht="14.25" customHeight="1" thickBot="1">
      <c r="A21" s="2944" t="s">
        <v>184</v>
      </c>
      <c r="B21" s="2945" t="s">
        <v>208</v>
      </c>
      <c r="C21" s="2944">
        <v>32370</v>
      </c>
      <c r="D21" s="2944">
        <v>26730</v>
      </c>
      <c r="E21" s="2944">
        <v>26640</v>
      </c>
      <c r="F21" s="2944"/>
      <c r="G21" s="2944">
        <v>19440</v>
      </c>
      <c r="J21" s="2951" t="s">
        <v>2919</v>
      </c>
      <c r="K21" s="2945" t="s">
        <v>267</v>
      </c>
      <c r="L21" s="2944" t="s">
        <v>268</v>
      </c>
      <c r="M21" s="2944" t="s">
        <v>269</v>
      </c>
      <c r="N21" s="2944" t="s">
        <v>270</v>
      </c>
      <c r="O21" s="2944" t="s">
        <v>264</v>
      </c>
      <c r="P21" s="2944" t="s">
        <v>283</v>
      </c>
      <c r="Q21" s="2944" t="s">
        <v>293</v>
      </c>
      <c r="R21" s="2944" t="s">
        <v>2920</v>
      </c>
      <c r="S21" s="2951" t="s">
        <v>2921</v>
      </c>
    </row>
    <row r="22" spans="1:19" ht="14.25" customHeight="1">
      <c r="A22" s="2944" t="s">
        <v>184</v>
      </c>
      <c r="B22" s="2945" t="s">
        <v>2901</v>
      </c>
      <c r="C22" s="2944">
        <v>29830</v>
      </c>
      <c r="D22" s="2944">
        <v>27600</v>
      </c>
      <c r="E22" s="2944">
        <v>28150</v>
      </c>
      <c r="F22" s="2944"/>
      <c r="G22" s="2944">
        <v>20080</v>
      </c>
      <c r="K22" s="2945" t="s">
        <v>2922</v>
      </c>
      <c r="L22" s="2944" t="s">
        <v>272</v>
      </c>
      <c r="M22" s="2944" t="s">
        <v>273</v>
      </c>
      <c r="N22" s="2944" t="s">
        <v>274</v>
      </c>
      <c r="O22" s="2944" t="s">
        <v>2923</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2924</v>
      </c>
      <c r="L23" s="2944" t="s">
        <v>278</v>
      </c>
      <c r="M23" s="2944" t="s">
        <v>279</v>
      </c>
      <c r="N23" s="2944" t="s">
        <v>2925</v>
      </c>
      <c r="O23" s="2944" t="s">
        <v>2926</v>
      </c>
      <c r="P23" s="2944" t="s">
        <v>289</v>
      </c>
      <c r="Q23" s="2944" t="s">
        <v>298</v>
      </c>
      <c r="R23" s="2944" t="s">
        <v>2927</v>
      </c>
    </row>
    <row r="24" spans="1:19" ht="14.25" customHeight="1">
      <c r="A24" s="2944" t="s">
        <v>184</v>
      </c>
      <c r="B24" s="2945" t="s">
        <v>230</v>
      </c>
      <c r="C24" s="2944">
        <v>27930</v>
      </c>
      <c r="D24" s="2944">
        <v>32260</v>
      </c>
      <c r="E24" s="2944">
        <v>32120</v>
      </c>
      <c r="F24" s="2944"/>
      <c r="G24" s="2944">
        <v>23470</v>
      </c>
      <c r="K24" s="2945" t="s">
        <v>2928</v>
      </c>
      <c r="L24" s="2944" t="s">
        <v>281</v>
      </c>
      <c r="M24" s="2944" t="s">
        <v>282</v>
      </c>
      <c r="N24" s="2944" t="s">
        <v>2929</v>
      </c>
      <c r="O24" s="2944" t="s">
        <v>285</v>
      </c>
      <c r="P24" s="2944" t="s">
        <v>2930</v>
      </c>
      <c r="Q24" s="2953" t="s">
        <v>2931</v>
      </c>
      <c r="R24" s="2944" t="s">
        <v>2932</v>
      </c>
    </row>
    <row r="25" spans="1:19" ht="14.25" customHeight="1">
      <c r="A25" s="2944" t="s">
        <v>184</v>
      </c>
      <c r="B25" s="2945" t="s">
        <v>235</v>
      </c>
      <c r="C25" s="2944">
        <v>32230</v>
      </c>
      <c r="D25" s="2944">
        <v>29640</v>
      </c>
      <c r="E25" s="2944">
        <v>29510</v>
      </c>
      <c r="F25" s="2944"/>
      <c r="G25" s="2944">
        <v>21560</v>
      </c>
      <c r="K25" s="2945" t="s">
        <v>2933</v>
      </c>
      <c r="L25" s="2944" t="s">
        <v>2934</v>
      </c>
      <c r="M25" s="2944" t="s">
        <v>284</v>
      </c>
      <c r="N25" s="2944" t="s">
        <v>292</v>
      </c>
      <c r="O25" s="2944" t="s">
        <v>288</v>
      </c>
      <c r="P25" s="2944" t="s">
        <v>275</v>
      </c>
      <c r="Q25" s="2953" t="s">
        <v>271</v>
      </c>
      <c r="R25" s="2944" t="s">
        <v>2935</v>
      </c>
    </row>
    <row r="26" spans="1:19" ht="14.25" customHeight="1" thickBot="1">
      <c r="A26" s="2944" t="s">
        <v>184</v>
      </c>
      <c r="B26" s="2945" t="s">
        <v>244</v>
      </c>
      <c r="C26" s="2944">
        <v>31690</v>
      </c>
      <c r="D26" s="2944">
        <v>27650</v>
      </c>
      <c r="E26" s="2944">
        <v>28200</v>
      </c>
      <c r="F26" s="2944"/>
      <c r="G26" s="2944">
        <v>20110</v>
      </c>
      <c r="K26" s="2950" t="s">
        <v>2936</v>
      </c>
      <c r="L26" s="2944" t="s">
        <v>2937</v>
      </c>
      <c r="M26" s="2944" t="s">
        <v>287</v>
      </c>
      <c r="N26" s="2944" t="s">
        <v>294</v>
      </c>
      <c r="O26" s="2944" t="s">
        <v>2938</v>
      </c>
      <c r="P26" s="2944" t="s">
        <v>2939</v>
      </c>
      <c r="Q26" s="2953" t="s">
        <v>276</v>
      </c>
      <c r="R26" s="2944" t="s">
        <v>2940</v>
      </c>
    </row>
    <row r="27" spans="1:19" ht="14.25" customHeight="1">
      <c r="A27" s="2944" t="s">
        <v>184</v>
      </c>
      <c r="B27" s="2945" t="s">
        <v>251</v>
      </c>
      <c r="C27" s="2944">
        <v>29610</v>
      </c>
      <c r="D27" s="2944">
        <v>27770</v>
      </c>
      <c r="E27" s="2944">
        <v>28300</v>
      </c>
      <c r="F27" s="2944"/>
      <c r="G27" s="2944">
        <v>20210</v>
      </c>
      <c r="L27" s="2944" t="s">
        <v>2941</v>
      </c>
      <c r="M27" s="2944" t="s">
        <v>291</v>
      </c>
      <c r="N27" s="2944" t="s">
        <v>297</v>
      </c>
      <c r="O27" s="2944" t="s">
        <v>2942</v>
      </c>
      <c r="P27" s="2944" t="s">
        <v>2943</v>
      </c>
      <c r="Q27" s="2944" t="s">
        <v>2944</v>
      </c>
      <c r="R27" s="2944" t="s">
        <v>2945</v>
      </c>
    </row>
    <row r="28" spans="1:19" ht="14.25" customHeight="1">
      <c r="A28" s="2944" t="s">
        <v>184</v>
      </c>
      <c r="B28" s="2945" t="s">
        <v>259</v>
      </c>
      <c r="C28" s="2944"/>
      <c r="D28" s="2944">
        <v>31520</v>
      </c>
      <c r="E28" s="2944">
        <v>31410</v>
      </c>
      <c r="F28" s="2944"/>
      <c r="G28" s="2944">
        <v>22940</v>
      </c>
      <c r="L28" s="2944" t="s">
        <v>2946</v>
      </c>
      <c r="M28" s="2944" t="s">
        <v>2947</v>
      </c>
      <c r="N28" s="2944" t="s">
        <v>2948</v>
      </c>
      <c r="O28" s="2944" t="s">
        <v>2949</v>
      </c>
      <c r="P28" s="2944" t="s">
        <v>2950</v>
      </c>
      <c r="Q28" s="2944" t="s">
        <v>2951</v>
      </c>
      <c r="R28" s="2944" t="s">
        <v>2952</v>
      </c>
    </row>
    <row r="29" spans="1:19" ht="14.25" customHeight="1" thickBot="1">
      <c r="A29" s="2952" t="s">
        <v>184</v>
      </c>
      <c r="B29" s="2954" t="s">
        <v>2919</v>
      </c>
      <c r="C29" s="2955"/>
      <c r="D29" s="2955">
        <v>29460</v>
      </c>
      <c r="E29" s="2955">
        <v>28640</v>
      </c>
      <c r="F29" s="2955"/>
      <c r="G29" s="2955">
        <v>21430</v>
      </c>
      <c r="L29" s="2944" t="s">
        <v>2953</v>
      </c>
      <c r="M29" s="2944" t="s">
        <v>2954</v>
      </c>
      <c r="N29" s="2944" t="s">
        <v>2955</v>
      </c>
      <c r="O29" s="2944" t="s">
        <v>2956</v>
      </c>
      <c r="P29" s="2944" t="s">
        <v>2957</v>
      </c>
      <c r="Q29" s="2944" t="s">
        <v>2958</v>
      </c>
      <c r="R29" s="2944" t="s">
        <v>280</v>
      </c>
    </row>
    <row r="30" spans="1:19" ht="14.25" customHeight="1">
      <c r="A30" s="2949" t="s">
        <v>296</v>
      </c>
      <c r="B30" s="2940" t="s">
        <v>2852</v>
      </c>
      <c r="C30" s="2940">
        <v>26890</v>
      </c>
      <c r="D30" s="2940">
        <v>26770</v>
      </c>
      <c r="E30" s="2940">
        <v>25700</v>
      </c>
      <c r="F30" s="2940">
        <v>8180</v>
      </c>
      <c r="G30" s="2956">
        <v>18740</v>
      </c>
      <c r="L30" s="2944" t="s">
        <v>2959</v>
      </c>
      <c r="M30" s="2944" t="s">
        <v>2960</v>
      </c>
      <c r="N30" s="2944" t="s">
        <v>2961</v>
      </c>
      <c r="O30" s="2944" t="s">
        <v>2962</v>
      </c>
      <c r="P30" s="2944" t="s">
        <v>2963</v>
      </c>
      <c r="Q30" s="2944" t="s">
        <v>2964</v>
      </c>
      <c r="R30" s="2944" t="s">
        <v>2965</v>
      </c>
    </row>
    <row r="31" spans="1:19" ht="14.25" customHeight="1">
      <c r="A31" s="2944" t="s">
        <v>296</v>
      </c>
      <c r="B31" s="2945" t="s">
        <v>129</v>
      </c>
      <c r="C31" s="2944">
        <v>24550</v>
      </c>
      <c r="D31" s="2944">
        <v>23990</v>
      </c>
      <c r="E31" s="2944">
        <v>22930</v>
      </c>
      <c r="F31" s="2944">
        <v>7470</v>
      </c>
      <c r="G31" s="2957">
        <v>16790</v>
      </c>
      <c r="L31" s="2944" t="s">
        <v>2966</v>
      </c>
      <c r="M31" s="2944" t="s">
        <v>2967</v>
      </c>
      <c r="N31" s="2944" t="s">
        <v>2968</v>
      </c>
      <c r="O31" s="2944" t="s">
        <v>2969</v>
      </c>
      <c r="P31" s="2944" t="s">
        <v>2970</v>
      </c>
      <c r="Q31" s="2944" t="s">
        <v>2971</v>
      </c>
      <c r="R31" s="2944" t="s">
        <v>2972</v>
      </c>
    </row>
    <row r="32" spans="1:19" ht="14.25" customHeight="1" thickBot="1">
      <c r="A32" s="2944" t="s">
        <v>296</v>
      </c>
      <c r="B32" s="2945" t="s">
        <v>138</v>
      </c>
      <c r="C32" s="2944">
        <v>27210</v>
      </c>
      <c r="D32" s="2944">
        <v>23240</v>
      </c>
      <c r="E32" s="2944">
        <v>23260</v>
      </c>
      <c r="F32" s="2944">
        <v>7130</v>
      </c>
      <c r="G32" s="2957">
        <v>16270</v>
      </c>
      <c r="L32" s="2944" t="s">
        <v>2973</v>
      </c>
      <c r="M32" s="2944" t="s">
        <v>2974</v>
      </c>
      <c r="N32" s="2944" t="s">
        <v>300</v>
      </c>
      <c r="O32" s="2944" t="s">
        <v>2975</v>
      </c>
      <c r="P32" s="2944" t="s">
        <v>299</v>
      </c>
      <c r="Q32" s="2944" t="s">
        <v>2976</v>
      </c>
      <c r="R32" s="2951" t="s">
        <v>2977</v>
      </c>
    </row>
    <row r="33" spans="1:17" ht="14.25" customHeight="1" thickBot="1">
      <c r="A33" s="2944" t="s">
        <v>296</v>
      </c>
      <c r="B33" s="2945" t="s">
        <v>147</v>
      </c>
      <c r="C33" s="2944">
        <v>27300</v>
      </c>
      <c r="D33" s="2944">
        <v>22980</v>
      </c>
      <c r="E33" s="2944">
        <v>24260</v>
      </c>
      <c r="F33" s="2944">
        <v>5860</v>
      </c>
      <c r="G33" s="2957">
        <v>16090</v>
      </c>
      <c r="L33" s="2951" t="s">
        <v>2978</v>
      </c>
      <c r="M33" s="2944" t="s">
        <v>2979</v>
      </c>
      <c r="N33" s="2944" t="s">
        <v>301</v>
      </c>
      <c r="O33" s="2944" t="s">
        <v>2980</v>
      </c>
      <c r="P33" s="2944" t="s">
        <v>2981</v>
      </c>
      <c r="Q33" s="2944" t="s">
        <v>2982</v>
      </c>
    </row>
    <row r="34" spans="1:17" ht="14.25" customHeight="1">
      <c r="A34" s="2944" t="s">
        <v>296</v>
      </c>
      <c r="B34" s="2945" t="s">
        <v>156</v>
      </c>
      <c r="C34" s="2944">
        <v>23090</v>
      </c>
      <c r="D34" s="2944">
        <v>23390</v>
      </c>
      <c r="E34" s="2944">
        <v>23510</v>
      </c>
      <c r="F34" s="2944">
        <v>6700</v>
      </c>
      <c r="G34" s="2957">
        <v>16370</v>
      </c>
      <c r="M34" s="2944" t="s">
        <v>2983</v>
      </c>
      <c r="N34" s="2944" t="s">
        <v>302</v>
      </c>
      <c r="O34" s="2944" t="s">
        <v>2984</v>
      </c>
      <c r="P34" s="2944" t="s">
        <v>2985</v>
      </c>
      <c r="Q34" s="2944" t="s">
        <v>2986</v>
      </c>
    </row>
    <row r="35" spans="1:17" ht="14.25" customHeight="1">
      <c r="A35" s="2944" t="s">
        <v>296</v>
      </c>
      <c r="B35" s="2945" t="s">
        <v>163</v>
      </c>
      <c r="C35" s="2944">
        <v>27270</v>
      </c>
      <c r="D35" s="2944">
        <v>24270</v>
      </c>
      <c r="E35" s="2944">
        <v>24950</v>
      </c>
      <c r="F35" s="2944">
        <v>6600</v>
      </c>
      <c r="G35" s="2957">
        <v>16990</v>
      </c>
      <c r="M35" s="2944" t="s">
        <v>2987</v>
      </c>
      <c r="N35" s="2944" t="s">
        <v>2988</v>
      </c>
      <c r="O35" s="2944" t="s">
        <v>2989</v>
      </c>
      <c r="P35" s="2944" t="s">
        <v>2990</v>
      </c>
      <c r="Q35" s="2944" t="s">
        <v>2991</v>
      </c>
    </row>
    <row r="36" spans="1:17" ht="14.25" customHeight="1">
      <c r="A36" s="2944" t="s">
        <v>296</v>
      </c>
      <c r="B36" s="2945" t="s">
        <v>169</v>
      </c>
      <c r="C36" s="2944">
        <v>23490</v>
      </c>
      <c r="D36" s="2944">
        <v>23020</v>
      </c>
      <c r="E36" s="2944">
        <v>25230</v>
      </c>
      <c r="F36" s="2944">
        <v>6780</v>
      </c>
      <c r="G36" s="2957">
        <v>16120</v>
      </c>
      <c r="M36" s="2944" t="s">
        <v>2992</v>
      </c>
      <c r="N36" s="2944" t="s">
        <v>2993</v>
      </c>
      <c r="O36" s="2944" t="s">
        <v>2994</v>
      </c>
      <c r="P36" s="2944" t="s">
        <v>2995</v>
      </c>
      <c r="Q36" s="2944" t="s">
        <v>2996</v>
      </c>
    </row>
    <row r="37" spans="1:17" ht="14.25" customHeight="1">
      <c r="A37" s="2944" t="s">
        <v>296</v>
      </c>
      <c r="B37" s="2945" t="s">
        <v>176</v>
      </c>
      <c r="C37" s="2944">
        <v>24380</v>
      </c>
      <c r="D37" s="2944">
        <v>22240</v>
      </c>
      <c r="E37" s="2944">
        <v>25980</v>
      </c>
      <c r="F37" s="2944">
        <v>8160</v>
      </c>
      <c r="G37" s="2957">
        <v>15570</v>
      </c>
      <c r="M37" s="2944" t="s">
        <v>2997</v>
      </c>
      <c r="N37" s="2944" t="s">
        <v>2998</v>
      </c>
      <c r="O37" s="2944" t="s">
        <v>2999</v>
      </c>
      <c r="P37" s="2944" t="s">
        <v>3000</v>
      </c>
      <c r="Q37" s="2944" t="s">
        <v>3001</v>
      </c>
    </row>
    <row r="38" spans="1:17" ht="14.25" customHeight="1">
      <c r="A38" s="2944" t="s">
        <v>296</v>
      </c>
      <c r="B38" s="2945" t="s">
        <v>186</v>
      </c>
      <c r="C38" s="2944">
        <v>23120</v>
      </c>
      <c r="D38" s="2944">
        <v>24630</v>
      </c>
      <c r="E38" s="2944">
        <v>25030</v>
      </c>
      <c r="F38" s="2944">
        <v>7710</v>
      </c>
      <c r="G38" s="2957">
        <v>17240</v>
      </c>
      <c r="M38" s="2944" t="s">
        <v>3002</v>
      </c>
      <c r="N38" s="2944" t="s">
        <v>3003</v>
      </c>
      <c r="O38" s="2944" t="s">
        <v>3004</v>
      </c>
      <c r="P38" s="2944" t="s">
        <v>3005</v>
      </c>
      <c r="Q38" s="2944" t="s">
        <v>3006</v>
      </c>
    </row>
    <row r="39" spans="1:17" ht="14.25" customHeight="1">
      <c r="A39" s="2944" t="s">
        <v>296</v>
      </c>
      <c r="B39" s="2945" t="s">
        <v>195</v>
      </c>
      <c r="C39" s="2944">
        <v>22330</v>
      </c>
      <c r="D39" s="2944">
        <v>21140</v>
      </c>
      <c r="E39" s="2944">
        <v>23970</v>
      </c>
      <c r="F39" s="2944">
        <v>7940</v>
      </c>
      <c r="G39" s="2957">
        <v>14790</v>
      </c>
      <c r="M39" s="2944" t="s">
        <v>3007</v>
      </c>
      <c r="N39" s="2944" t="s">
        <v>3008</v>
      </c>
      <c r="O39" s="2944" t="s">
        <v>3009</v>
      </c>
      <c r="P39" s="2944" t="s">
        <v>3010</v>
      </c>
      <c r="Q39" s="2944" t="s">
        <v>3011</v>
      </c>
    </row>
    <row r="40" spans="1:17" ht="14.25" customHeight="1">
      <c r="A40" s="2944" t="s">
        <v>296</v>
      </c>
      <c r="B40" s="2945" t="s">
        <v>202</v>
      </c>
      <c r="C40" s="2944">
        <v>24740</v>
      </c>
      <c r="D40" s="2944">
        <v>24690</v>
      </c>
      <c r="E40" s="2944">
        <v>22610</v>
      </c>
      <c r="F40" s="2944"/>
      <c r="G40" s="2957">
        <v>17280</v>
      </c>
      <c r="M40" s="2944" t="s">
        <v>3012</v>
      </c>
      <c r="N40" s="2944" t="s">
        <v>3013</v>
      </c>
      <c r="O40" s="2944" t="s">
        <v>3014</v>
      </c>
      <c r="P40" s="2944" t="s">
        <v>3015</v>
      </c>
      <c r="Q40" s="2944" t="s">
        <v>3016</v>
      </c>
    </row>
    <row r="41" spans="1:17" ht="14.25" customHeight="1" thickBot="1">
      <c r="A41" s="2944" t="s">
        <v>296</v>
      </c>
      <c r="B41" s="2945" t="s">
        <v>209</v>
      </c>
      <c r="C41" s="2944">
        <v>21220</v>
      </c>
      <c r="D41" s="2944">
        <v>21120</v>
      </c>
      <c r="E41" s="2944">
        <v>22590</v>
      </c>
      <c r="F41" s="2944"/>
      <c r="G41" s="2957">
        <v>14780</v>
      </c>
      <c r="M41" s="2951" t="s">
        <v>3017</v>
      </c>
      <c r="N41" s="2944" t="s">
        <v>3018</v>
      </c>
      <c r="O41" s="2944" t="s">
        <v>3019</v>
      </c>
      <c r="P41" s="2944" t="s">
        <v>3020</v>
      </c>
      <c r="Q41" s="2944" t="s">
        <v>3021</v>
      </c>
    </row>
    <row r="42" spans="1:17" ht="14.25" customHeight="1">
      <c r="A42" s="2944" t="s">
        <v>296</v>
      </c>
      <c r="B42" s="2945" t="s">
        <v>215</v>
      </c>
      <c r="C42" s="2944">
        <v>24800</v>
      </c>
      <c r="D42" s="2944">
        <v>22280</v>
      </c>
      <c r="E42" s="2944">
        <v>24350</v>
      </c>
      <c r="F42" s="2944"/>
      <c r="G42" s="2957">
        <v>15590</v>
      </c>
      <c r="N42" s="2944" t="s">
        <v>3022</v>
      </c>
      <c r="O42" s="2944" t="s">
        <v>3023</v>
      </c>
      <c r="P42" s="2944" t="s">
        <v>3024</v>
      </c>
      <c r="Q42" s="2944" t="s">
        <v>3025</v>
      </c>
    </row>
    <row r="43" spans="1:17" ht="14.25" customHeight="1">
      <c r="A43" s="2944" t="s">
        <v>3026</v>
      </c>
      <c r="B43" s="2945" t="s">
        <v>223</v>
      </c>
      <c r="C43" s="2944">
        <v>21210</v>
      </c>
      <c r="D43" s="2944">
        <v>21160</v>
      </c>
      <c r="E43" s="2944">
        <v>22650</v>
      </c>
      <c r="F43" s="2944"/>
      <c r="G43" s="2957">
        <v>14800</v>
      </c>
      <c r="N43" s="2944" t="s">
        <v>3027</v>
      </c>
      <c r="O43" s="2944" t="s">
        <v>3028</v>
      </c>
      <c r="P43" s="2944" t="s">
        <v>3029</v>
      </c>
      <c r="Q43" s="2944" t="s">
        <v>3030</v>
      </c>
    </row>
    <row r="44" spans="1:17" ht="14.25" customHeight="1" thickBot="1">
      <c r="A44" s="2944" t="s">
        <v>296</v>
      </c>
      <c r="B44" s="2945" t="s">
        <v>231</v>
      </c>
      <c r="C44" s="2944">
        <v>22370</v>
      </c>
      <c r="D44" s="2944">
        <v>23140</v>
      </c>
      <c r="E44" s="2944">
        <v>25090</v>
      </c>
      <c r="F44" s="2944"/>
      <c r="G44" s="2957">
        <v>16190</v>
      </c>
      <c r="N44" s="2944" t="s">
        <v>3031</v>
      </c>
      <c r="O44" s="2944" t="s">
        <v>3032</v>
      </c>
      <c r="P44" s="2951" t="s">
        <v>3033</v>
      </c>
      <c r="Q44" s="2944" t="s">
        <v>3034</v>
      </c>
    </row>
    <row r="45" spans="1:17" ht="14.25" customHeight="1" thickBot="1">
      <c r="A45" s="2944" t="s">
        <v>296</v>
      </c>
      <c r="B45" s="2945" t="s">
        <v>236</v>
      </c>
      <c r="C45" s="2944">
        <v>21240</v>
      </c>
      <c r="D45" s="2944">
        <v>27050</v>
      </c>
      <c r="E45" s="2944">
        <v>28000</v>
      </c>
      <c r="F45" s="2944"/>
      <c r="G45" s="2957">
        <v>18940</v>
      </c>
      <c r="N45" s="2944" t="s">
        <v>3035</v>
      </c>
      <c r="O45" s="2951" t="s">
        <v>3036</v>
      </c>
      <c r="Q45" s="2944" t="s">
        <v>3037</v>
      </c>
    </row>
    <row r="46" spans="1:17" ht="14.25" customHeight="1">
      <c r="A46" s="2944" t="s">
        <v>296</v>
      </c>
      <c r="B46" s="2945" t="s">
        <v>245</v>
      </c>
      <c r="C46" s="2944">
        <v>23240</v>
      </c>
      <c r="D46" s="2944">
        <v>23000</v>
      </c>
      <c r="E46" s="2944">
        <v>24980</v>
      </c>
      <c r="F46" s="2944"/>
      <c r="G46" s="2957">
        <v>16100</v>
      </c>
      <c r="N46" s="2944" t="s">
        <v>3038</v>
      </c>
      <c r="Q46" s="2944" t="s">
        <v>3039</v>
      </c>
    </row>
    <row r="47" spans="1:17" ht="14.25" customHeight="1">
      <c r="A47" s="2944" t="s">
        <v>296</v>
      </c>
      <c r="B47" s="2945" t="s">
        <v>252</v>
      </c>
      <c r="C47" s="2944">
        <v>27150</v>
      </c>
      <c r="D47" s="2944">
        <v>23310</v>
      </c>
      <c r="E47" s="2944">
        <v>25150</v>
      </c>
      <c r="F47" s="2944"/>
      <c r="G47" s="2957">
        <v>16310</v>
      </c>
      <c r="N47" s="2944" t="s">
        <v>3040</v>
      </c>
      <c r="Q47" s="2944" t="s">
        <v>3041</v>
      </c>
    </row>
    <row r="48" spans="1:17" ht="14.25" customHeight="1">
      <c r="A48" s="2944" t="s">
        <v>296</v>
      </c>
      <c r="B48" s="2945" t="s">
        <v>260</v>
      </c>
      <c r="C48" s="2944">
        <v>23100</v>
      </c>
      <c r="D48" s="2944">
        <v>21110</v>
      </c>
      <c r="E48" s="2944">
        <v>23080</v>
      </c>
      <c r="F48" s="2944"/>
      <c r="G48" s="2957">
        <v>14780</v>
      </c>
      <c r="N48" s="2944" t="s">
        <v>3042</v>
      </c>
      <c r="Q48" s="2944" t="s">
        <v>3043</v>
      </c>
    </row>
    <row r="49" spans="1:17" ht="14.25" customHeight="1">
      <c r="A49" s="2944" t="s">
        <v>296</v>
      </c>
      <c r="B49" s="2945" t="s">
        <v>267</v>
      </c>
      <c r="C49" s="2944">
        <v>23400</v>
      </c>
      <c r="D49" s="2944">
        <v>22920</v>
      </c>
      <c r="E49" s="2944">
        <v>24900</v>
      </c>
      <c r="F49" s="2944"/>
      <c r="G49" s="2957">
        <v>16040</v>
      </c>
      <c r="N49" s="2944" t="s">
        <v>3044</v>
      </c>
      <c r="Q49" s="2944" t="s">
        <v>3045</v>
      </c>
    </row>
    <row r="50" spans="1:17" ht="14.25" customHeight="1">
      <c r="A50" s="2944" t="s">
        <v>296</v>
      </c>
      <c r="B50" s="2945" t="s">
        <v>2922</v>
      </c>
      <c r="C50" s="2944">
        <v>21200</v>
      </c>
      <c r="D50" s="2944">
        <v>26540</v>
      </c>
      <c r="E50" s="2944">
        <v>23200</v>
      </c>
      <c r="F50" s="2944"/>
      <c r="G50" s="2957">
        <v>18580</v>
      </c>
      <c r="N50" s="2944" t="s">
        <v>3046</v>
      </c>
      <c r="Q50" s="2945" t="s">
        <v>3047</v>
      </c>
    </row>
    <row r="51" spans="1:17" ht="14.25" customHeight="1" thickBot="1">
      <c r="A51" s="2944" t="s">
        <v>296</v>
      </c>
      <c r="B51" s="2945" t="s">
        <v>2924</v>
      </c>
      <c r="C51" s="2944">
        <v>23000</v>
      </c>
      <c r="D51" s="2944">
        <v>23460</v>
      </c>
      <c r="E51" s="2944">
        <v>25290</v>
      </c>
      <c r="F51" s="2944"/>
      <c r="G51" s="2957">
        <v>16420</v>
      </c>
      <c r="N51" s="2944" t="s">
        <v>3048</v>
      </c>
      <c r="Q51" s="2951" t="s">
        <v>3049</v>
      </c>
    </row>
    <row r="52" spans="1:17" ht="14.25" customHeight="1">
      <c r="A52" s="2944" t="s">
        <v>296</v>
      </c>
      <c r="B52" s="2945" t="s">
        <v>2928</v>
      </c>
      <c r="C52" s="2944">
        <v>26660</v>
      </c>
      <c r="D52" s="2944">
        <v>22350</v>
      </c>
      <c r="E52" s="2944">
        <v>22920</v>
      </c>
      <c r="F52" s="2944"/>
      <c r="G52" s="2957">
        <v>15640</v>
      </c>
      <c r="N52" s="2944" t="s">
        <v>3050</v>
      </c>
    </row>
    <row r="53" spans="1:17" ht="14.25" customHeight="1">
      <c r="A53" s="2944" t="s">
        <v>296</v>
      </c>
      <c r="B53" s="2945" t="s">
        <v>2933</v>
      </c>
      <c r="C53" s="2944">
        <v>23580</v>
      </c>
      <c r="D53" s="2944"/>
      <c r="E53" s="2944">
        <v>24280</v>
      </c>
      <c r="F53" s="2944"/>
      <c r="G53" s="2957"/>
      <c r="N53" s="2944" t="s">
        <v>3051</v>
      </c>
    </row>
    <row r="54" spans="1:17" ht="14.25" customHeight="1" thickBot="1">
      <c r="A54" s="2958" t="s">
        <v>296</v>
      </c>
      <c r="B54" s="2950" t="s">
        <v>2936</v>
      </c>
      <c r="C54" s="2951">
        <v>22460</v>
      </c>
      <c r="D54" s="2951"/>
      <c r="E54" s="2951"/>
      <c r="F54" s="2951"/>
      <c r="G54" s="2959"/>
      <c r="N54" s="2944" t="s">
        <v>3052</v>
      </c>
    </row>
    <row r="55" spans="1:17" ht="14.25" customHeight="1">
      <c r="A55" s="2949" t="s">
        <v>110</v>
      </c>
      <c r="B55" s="2940" t="s">
        <v>3053</v>
      </c>
      <c r="C55" s="2944">
        <v>21970</v>
      </c>
      <c r="D55" s="2944">
        <v>20370</v>
      </c>
      <c r="E55" s="2944">
        <v>20180</v>
      </c>
      <c r="F55" s="2944">
        <v>5730</v>
      </c>
      <c r="G55" s="2944">
        <v>13820</v>
      </c>
      <c r="N55" s="2944" t="s">
        <v>3054</v>
      </c>
    </row>
    <row r="56" spans="1:17" ht="14.25" customHeight="1">
      <c r="A56" s="2944" t="s">
        <v>110</v>
      </c>
      <c r="B56" s="2944" t="s">
        <v>130</v>
      </c>
      <c r="C56" s="2944">
        <v>20470</v>
      </c>
      <c r="D56" s="2944">
        <v>20700</v>
      </c>
      <c r="E56" s="2944">
        <v>20380</v>
      </c>
      <c r="F56" s="2944">
        <v>4760</v>
      </c>
      <c r="G56" s="2944">
        <v>14050</v>
      </c>
      <c r="N56" s="2944" t="s">
        <v>3055</v>
      </c>
    </row>
    <row r="57" spans="1:17" ht="14.25" customHeight="1">
      <c r="A57" s="2944" t="s">
        <v>110</v>
      </c>
      <c r="B57" s="2944" t="s">
        <v>139</v>
      </c>
      <c r="C57" s="2944">
        <v>20790</v>
      </c>
      <c r="D57" s="2944">
        <v>21370</v>
      </c>
      <c r="E57" s="2944">
        <v>20890</v>
      </c>
      <c r="F57" s="2944">
        <v>4910</v>
      </c>
      <c r="G57" s="2944">
        <v>14510</v>
      </c>
      <c r="N57" s="2944" t="s">
        <v>3056</v>
      </c>
    </row>
    <row r="58" spans="1:17" ht="14.25" customHeight="1">
      <c r="A58" s="2944" t="s">
        <v>110</v>
      </c>
      <c r="B58" s="2944" t="s">
        <v>148</v>
      </c>
      <c r="C58" s="2944">
        <v>21460</v>
      </c>
      <c r="D58" s="2944">
        <v>20920</v>
      </c>
      <c r="E58" s="2944">
        <v>23410</v>
      </c>
      <c r="F58" s="2944">
        <v>5100</v>
      </c>
      <c r="G58" s="2944">
        <v>14200</v>
      </c>
      <c r="N58" s="2944" t="s">
        <v>3057</v>
      </c>
    </row>
    <row r="59" spans="1:17" ht="14.25" customHeight="1">
      <c r="A59" s="2944" t="s">
        <v>110</v>
      </c>
      <c r="B59" s="2944" t="s">
        <v>157</v>
      </c>
      <c r="C59" s="2944">
        <v>21000</v>
      </c>
      <c r="D59" s="2944">
        <v>21550</v>
      </c>
      <c r="E59" s="2944">
        <v>21150</v>
      </c>
      <c r="F59" s="2944">
        <v>5250</v>
      </c>
      <c r="G59" s="2944">
        <v>14630</v>
      </c>
      <c r="N59" s="2944" t="s">
        <v>3058</v>
      </c>
    </row>
    <row r="60" spans="1:17" ht="14.25" customHeight="1">
      <c r="A60" s="2944" t="s">
        <v>110</v>
      </c>
      <c r="B60" s="2944" t="s">
        <v>164</v>
      </c>
      <c r="C60" s="2944">
        <v>21640</v>
      </c>
      <c r="D60" s="2944">
        <v>21260</v>
      </c>
      <c r="E60" s="2944">
        <v>24040</v>
      </c>
      <c r="F60" s="2944">
        <v>4470</v>
      </c>
      <c r="G60" s="2944">
        <v>14430</v>
      </c>
      <c r="N60" s="2944" t="s">
        <v>3059</v>
      </c>
    </row>
    <row r="61" spans="1:17" ht="14.25" customHeight="1">
      <c r="A61" s="2944" t="s">
        <v>110</v>
      </c>
      <c r="B61" s="2944" t="s">
        <v>170</v>
      </c>
      <c r="C61" s="2944">
        <v>21330</v>
      </c>
      <c r="D61" s="2944">
        <v>18640</v>
      </c>
      <c r="E61" s="2944">
        <v>21190</v>
      </c>
      <c r="F61" s="2944">
        <v>4180</v>
      </c>
      <c r="G61" s="2944">
        <v>12650</v>
      </c>
      <c r="N61" s="2944" t="s">
        <v>3060</v>
      </c>
    </row>
    <row r="62" spans="1:17" ht="14.25" customHeight="1">
      <c r="A62" s="2944" t="s">
        <v>110</v>
      </c>
      <c r="B62" s="2944" t="s">
        <v>177</v>
      </c>
      <c r="C62" s="2944">
        <v>18710</v>
      </c>
      <c r="D62" s="2944">
        <v>19400</v>
      </c>
      <c r="E62" s="2944">
        <v>23750</v>
      </c>
      <c r="F62" s="2944">
        <v>4860</v>
      </c>
      <c r="G62" s="2944">
        <v>13170</v>
      </c>
      <c r="N62" s="2944" t="s">
        <v>3061</v>
      </c>
    </row>
    <row r="63" spans="1:17" ht="14.25" customHeight="1">
      <c r="A63" s="2944" t="s">
        <v>110</v>
      </c>
      <c r="B63" s="2944" t="s">
        <v>187</v>
      </c>
      <c r="C63" s="2944">
        <v>19480</v>
      </c>
      <c r="D63" s="2944">
        <v>16830</v>
      </c>
      <c r="E63" s="2944">
        <v>21590</v>
      </c>
      <c r="F63" s="2944">
        <v>4560</v>
      </c>
      <c r="G63" s="2944">
        <v>11420</v>
      </c>
      <c r="N63" s="2944" t="s">
        <v>3062</v>
      </c>
    </row>
    <row r="64" spans="1:17" ht="14.25" customHeight="1" thickBot="1">
      <c r="A64" s="2944" t="s">
        <v>110</v>
      </c>
      <c r="B64" s="2944" t="s">
        <v>196</v>
      </c>
      <c r="C64" s="2944">
        <v>16920</v>
      </c>
      <c r="D64" s="2944">
        <v>19190</v>
      </c>
      <c r="E64" s="2944">
        <v>22200</v>
      </c>
      <c r="F64" s="2944">
        <v>4390</v>
      </c>
      <c r="G64" s="2944">
        <v>13030</v>
      </c>
      <c r="N64" s="2951" t="s">
        <v>3063</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2934</v>
      </c>
      <c r="C78" s="2944">
        <v>19820</v>
      </c>
      <c r="D78" s="2944">
        <v>19780</v>
      </c>
      <c r="E78" s="2944">
        <v>18560</v>
      </c>
      <c r="F78" s="2944"/>
      <c r="G78" s="2944">
        <v>13430</v>
      </c>
    </row>
    <row r="79" spans="1:7" s="2778" customFormat="1" ht="14.25" customHeight="1">
      <c r="A79" s="2944" t="s">
        <v>110</v>
      </c>
      <c r="B79" s="2944" t="s">
        <v>2937</v>
      </c>
      <c r="C79" s="2944">
        <v>21660</v>
      </c>
      <c r="D79" s="2944">
        <v>18000</v>
      </c>
      <c r="E79" s="2944">
        <v>22570</v>
      </c>
      <c r="F79" s="2944"/>
      <c r="G79" s="2944">
        <v>12220</v>
      </c>
    </row>
    <row r="80" spans="1:7" s="2778" customFormat="1" ht="14.25" customHeight="1">
      <c r="A80" s="2944" t="s">
        <v>110</v>
      </c>
      <c r="B80" s="2944" t="s">
        <v>2941</v>
      </c>
      <c r="C80" s="2944">
        <v>19850</v>
      </c>
      <c r="D80" s="2944"/>
      <c r="E80" s="2944">
        <v>21700</v>
      </c>
      <c r="F80" s="2944"/>
      <c r="G80" s="2944"/>
    </row>
    <row r="81" spans="1:7" s="2778" customFormat="1" ht="14.25" customHeight="1">
      <c r="A81" s="2944" t="s">
        <v>110</v>
      </c>
      <c r="B81" s="2944" t="s">
        <v>2946</v>
      </c>
      <c r="C81" s="2944">
        <v>18080</v>
      </c>
      <c r="D81" s="2944"/>
      <c r="E81" s="2944">
        <v>20900</v>
      </c>
      <c r="F81" s="2944"/>
      <c r="G81" s="2944"/>
    </row>
    <row r="82" spans="1:7" s="2778" customFormat="1" ht="14.25" customHeight="1">
      <c r="A82" s="2944" t="s">
        <v>110</v>
      </c>
      <c r="B82" s="2944" t="s">
        <v>2953</v>
      </c>
      <c r="C82" s="2944"/>
      <c r="D82" s="2944"/>
      <c r="E82" s="2944">
        <v>20840</v>
      </c>
      <c r="F82" s="2944"/>
      <c r="G82" s="2944"/>
    </row>
    <row r="83" spans="1:7" s="2778" customFormat="1" ht="14.25" customHeight="1">
      <c r="A83" s="2944" t="s">
        <v>110</v>
      </c>
      <c r="B83" s="2944" t="s">
        <v>3064</v>
      </c>
      <c r="C83" s="2944"/>
      <c r="D83" s="2944"/>
      <c r="E83" s="2944"/>
      <c r="F83" s="2944">
        <v>4770</v>
      </c>
      <c r="G83" s="2944"/>
    </row>
    <row r="84" spans="1:7" s="2778" customFormat="1" ht="14.25" customHeight="1">
      <c r="A84" s="2944" t="s">
        <v>110</v>
      </c>
      <c r="B84" s="2944" t="s">
        <v>3065</v>
      </c>
      <c r="C84" s="2944"/>
      <c r="D84" s="2944"/>
      <c r="E84" s="2944"/>
      <c r="F84" s="2944">
        <v>4600</v>
      </c>
      <c r="G84" s="2944"/>
    </row>
    <row r="85" spans="1:7" s="2778" customFormat="1" ht="14.25" customHeight="1">
      <c r="A85" s="2944" t="s">
        <v>110</v>
      </c>
      <c r="B85" s="2944" t="s">
        <v>3066</v>
      </c>
      <c r="C85" s="2944"/>
      <c r="D85" s="2944"/>
      <c r="E85" s="2944"/>
      <c r="F85" s="2944">
        <v>4680</v>
      </c>
      <c r="G85" s="2944"/>
    </row>
    <row r="86" spans="1:7" s="2778" customFormat="1" ht="14.25" customHeight="1" thickBot="1">
      <c r="A86" s="2952" t="s">
        <v>110</v>
      </c>
      <c r="B86" s="2954" t="s">
        <v>3067</v>
      </c>
      <c r="C86" s="2955">
        <v>16610</v>
      </c>
      <c r="D86" s="2955">
        <v>16540</v>
      </c>
      <c r="E86" s="2955">
        <v>18850</v>
      </c>
      <c r="F86" s="2955"/>
      <c r="G86" s="2955">
        <v>11220</v>
      </c>
    </row>
    <row r="87" spans="1:7" s="2778" customFormat="1" ht="14.25" customHeight="1">
      <c r="A87" s="2949" t="s">
        <v>303</v>
      </c>
      <c r="B87" s="2940" t="s">
        <v>3068</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2947</v>
      </c>
      <c r="C113" s="2944">
        <v>15520</v>
      </c>
      <c r="D113" s="2944">
        <v>15450</v>
      </c>
      <c r="E113" s="2944"/>
      <c r="F113" s="2944"/>
      <c r="G113" s="2957">
        <v>10210</v>
      </c>
    </row>
    <row r="114" spans="1:7" s="2778" customFormat="1" ht="14.25" customHeight="1">
      <c r="A114" s="2944" t="s">
        <v>303</v>
      </c>
      <c r="B114" s="2944" t="s">
        <v>2954</v>
      </c>
      <c r="C114" s="2944">
        <v>13110</v>
      </c>
      <c r="D114" s="2944">
        <v>13050</v>
      </c>
      <c r="E114" s="2944"/>
      <c r="F114" s="2944"/>
      <c r="G114" s="2957">
        <v>8620</v>
      </c>
    </row>
    <row r="115" spans="1:7" s="2778" customFormat="1" ht="14.25" customHeight="1">
      <c r="A115" s="2944" t="s">
        <v>303</v>
      </c>
      <c r="B115" s="2944" t="s">
        <v>2960</v>
      </c>
      <c r="C115" s="2944">
        <v>12460</v>
      </c>
      <c r="D115" s="2944">
        <v>12390</v>
      </c>
      <c r="E115" s="2944"/>
      <c r="F115" s="2944"/>
      <c r="G115" s="2957">
        <v>8190</v>
      </c>
    </row>
    <row r="116" spans="1:7" s="2778" customFormat="1" ht="14.25" customHeight="1">
      <c r="A116" s="2944" t="s">
        <v>303</v>
      </c>
      <c r="B116" s="2944" t="s">
        <v>2967</v>
      </c>
      <c r="C116" s="2944">
        <v>13580</v>
      </c>
      <c r="D116" s="2944">
        <v>13520</v>
      </c>
      <c r="E116" s="2944"/>
      <c r="F116" s="2944"/>
      <c r="G116" s="2957">
        <v>8930</v>
      </c>
    </row>
    <row r="117" spans="1:7" s="2778" customFormat="1" ht="14.25" customHeight="1">
      <c r="A117" s="2944" t="s">
        <v>303</v>
      </c>
      <c r="B117" s="2944" t="s">
        <v>2974</v>
      </c>
      <c r="C117" s="2944">
        <v>17120</v>
      </c>
      <c r="D117" s="2944">
        <v>17040</v>
      </c>
      <c r="E117" s="2944"/>
      <c r="F117" s="2944"/>
      <c r="G117" s="2957">
        <v>11260</v>
      </c>
    </row>
    <row r="118" spans="1:7" s="2778" customFormat="1" ht="14.25" customHeight="1">
      <c r="A118" s="2944" t="s">
        <v>303</v>
      </c>
      <c r="B118" s="2944" t="s">
        <v>2979</v>
      </c>
      <c r="C118" s="2944">
        <v>14860</v>
      </c>
      <c r="D118" s="2944">
        <v>14790</v>
      </c>
      <c r="E118" s="2944"/>
      <c r="F118" s="2944"/>
      <c r="G118" s="2957">
        <v>9780</v>
      </c>
    </row>
    <row r="119" spans="1:7" s="2778" customFormat="1" ht="14.25" customHeight="1">
      <c r="A119" s="2944" t="s">
        <v>303</v>
      </c>
      <c r="B119" s="2944" t="s">
        <v>2983</v>
      </c>
      <c r="C119" s="2944">
        <v>16470</v>
      </c>
      <c r="D119" s="2944">
        <v>16400</v>
      </c>
      <c r="E119" s="2944"/>
      <c r="F119" s="2944"/>
      <c r="G119" s="2957">
        <v>10840</v>
      </c>
    </row>
    <row r="120" spans="1:7" s="2778" customFormat="1" ht="14.25" customHeight="1">
      <c r="A120" s="2944" t="s">
        <v>303</v>
      </c>
      <c r="B120" s="2944" t="s">
        <v>3069</v>
      </c>
      <c r="C120" s="2944"/>
      <c r="D120" s="2944"/>
      <c r="E120" s="2944"/>
      <c r="F120" s="2944">
        <v>4160</v>
      </c>
      <c r="G120" s="2957"/>
    </row>
    <row r="121" spans="1:7" s="2778" customFormat="1" ht="14.25" customHeight="1">
      <c r="A121" s="2944" t="s">
        <v>303</v>
      </c>
      <c r="B121" s="2944" t="s">
        <v>3070</v>
      </c>
      <c r="C121" s="2944"/>
      <c r="D121" s="2944"/>
      <c r="E121" s="2944"/>
      <c r="F121" s="2944">
        <v>3880</v>
      </c>
      <c r="G121" s="2957"/>
    </row>
    <row r="122" spans="1:7" s="2778" customFormat="1" ht="14.25" customHeight="1">
      <c r="A122" s="2944" t="s">
        <v>303</v>
      </c>
      <c r="B122" s="2944" t="s">
        <v>3071</v>
      </c>
      <c r="C122" s="2944">
        <v>13750</v>
      </c>
      <c r="D122" s="2944">
        <v>13680</v>
      </c>
      <c r="E122" s="2944">
        <v>16460</v>
      </c>
      <c r="F122" s="2944">
        <v>2880</v>
      </c>
      <c r="G122" s="2957">
        <v>9040</v>
      </c>
    </row>
    <row r="123" spans="1:7" s="2778" customFormat="1" ht="14.25" customHeight="1">
      <c r="A123" s="2944" t="s">
        <v>303</v>
      </c>
      <c r="B123" s="2944" t="s">
        <v>3002</v>
      </c>
      <c r="C123" s="2944">
        <v>13590</v>
      </c>
      <c r="D123" s="2944">
        <v>13520</v>
      </c>
      <c r="E123" s="2944">
        <v>16290</v>
      </c>
      <c r="F123" s="2944">
        <v>2790</v>
      </c>
      <c r="G123" s="2957">
        <v>8930</v>
      </c>
    </row>
    <row r="124" spans="1:7" s="2778" customFormat="1" ht="14.25" customHeight="1">
      <c r="A124" s="2944" t="s">
        <v>303</v>
      </c>
      <c r="B124" s="2944" t="s">
        <v>3007</v>
      </c>
      <c r="C124" s="2944">
        <v>13400</v>
      </c>
      <c r="D124" s="2944">
        <v>13320</v>
      </c>
      <c r="E124" s="2944">
        <v>16100</v>
      </c>
      <c r="F124" s="2944">
        <v>2320</v>
      </c>
      <c r="G124" s="2957">
        <v>8800</v>
      </c>
    </row>
    <row r="125" spans="1:7" s="2778" customFormat="1" ht="14.25" customHeight="1">
      <c r="A125" s="2944" t="s">
        <v>303</v>
      </c>
      <c r="B125" s="2944" t="s">
        <v>3012</v>
      </c>
      <c r="C125" s="2944">
        <v>12860</v>
      </c>
      <c r="D125" s="2944">
        <v>12790</v>
      </c>
      <c r="E125" s="2944">
        <v>15370</v>
      </c>
      <c r="F125" s="2944">
        <v>2280</v>
      </c>
      <c r="G125" s="2957">
        <v>8450</v>
      </c>
    </row>
    <row r="126" spans="1:7" s="2778" customFormat="1" ht="14.25" customHeight="1" thickBot="1">
      <c r="A126" s="2958" t="s">
        <v>303</v>
      </c>
      <c r="B126" s="2951" t="s">
        <v>3017</v>
      </c>
      <c r="C126" s="2951">
        <v>12960</v>
      </c>
      <c r="D126" s="2951">
        <v>12890</v>
      </c>
      <c r="E126" s="2951">
        <v>15530</v>
      </c>
      <c r="F126" s="2951">
        <v>2910</v>
      </c>
      <c r="G126" s="2959">
        <v>8520</v>
      </c>
    </row>
    <row r="127" spans="1:7" s="2778" customFormat="1" ht="14.25" customHeight="1">
      <c r="A127" s="2949" t="s">
        <v>29</v>
      </c>
      <c r="B127" s="2940" t="s">
        <v>3072</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3073</v>
      </c>
      <c r="C148" s="2944">
        <v>10370</v>
      </c>
      <c r="D148" s="2944">
        <v>10310</v>
      </c>
      <c r="E148" s="2944">
        <v>12970</v>
      </c>
      <c r="F148" s="2944"/>
      <c r="G148" s="2944">
        <v>6630</v>
      </c>
    </row>
    <row r="149" spans="1:7" s="2778" customFormat="1" ht="14.25" customHeight="1">
      <c r="A149" s="2944" t="s">
        <v>29</v>
      </c>
      <c r="B149" s="2944" t="s">
        <v>3074</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2948</v>
      </c>
      <c r="C153" s="2944">
        <v>10880</v>
      </c>
      <c r="D153" s="2944">
        <v>10820</v>
      </c>
      <c r="E153" s="2944">
        <v>13660</v>
      </c>
      <c r="F153" s="2944">
        <v>2260</v>
      </c>
      <c r="G153" s="2944">
        <v>6970</v>
      </c>
    </row>
    <row r="154" spans="1:7" s="2778" customFormat="1" ht="14.25" customHeight="1">
      <c r="A154" s="2944" t="s">
        <v>29</v>
      </c>
      <c r="B154" s="2944" t="s">
        <v>3075</v>
      </c>
      <c r="C154" s="2944">
        <v>11220</v>
      </c>
      <c r="D154" s="2944">
        <v>11160</v>
      </c>
      <c r="E154" s="2944">
        <v>14130</v>
      </c>
      <c r="F154" s="2944">
        <v>2230</v>
      </c>
      <c r="G154" s="2944">
        <v>7180</v>
      </c>
    </row>
    <row r="155" spans="1:7" s="2778" customFormat="1" ht="14.25" customHeight="1">
      <c r="A155" s="2944" t="s">
        <v>29</v>
      </c>
      <c r="B155" s="2944" t="s">
        <v>2961</v>
      </c>
      <c r="C155" s="2944">
        <v>10430</v>
      </c>
      <c r="D155" s="2944">
        <v>10380</v>
      </c>
      <c r="E155" s="2944">
        <v>13140</v>
      </c>
      <c r="F155" s="2944">
        <v>2080</v>
      </c>
      <c r="G155" s="2944">
        <v>6650</v>
      </c>
    </row>
    <row r="156" spans="1:7" s="2778" customFormat="1" ht="14.25" customHeight="1">
      <c r="A156" s="2944" t="s">
        <v>29</v>
      </c>
      <c r="B156" s="2944" t="s">
        <v>3076</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3077</v>
      </c>
      <c r="C160" s="2944">
        <v>11180</v>
      </c>
      <c r="D160" s="2944">
        <v>11140</v>
      </c>
      <c r="E160" s="2944">
        <v>14050</v>
      </c>
      <c r="F160" s="2944">
        <v>2270</v>
      </c>
      <c r="G160" s="2944">
        <v>7170</v>
      </c>
    </row>
    <row r="161" spans="1:7" s="2778" customFormat="1" ht="14.25" customHeight="1">
      <c r="A161" s="2944" t="s">
        <v>29</v>
      </c>
      <c r="B161" s="2944" t="s">
        <v>2993</v>
      </c>
      <c r="C161" s="2944">
        <v>11160</v>
      </c>
      <c r="D161" s="2944">
        <v>11120</v>
      </c>
      <c r="E161" s="2944">
        <v>14020</v>
      </c>
      <c r="F161" s="2944">
        <v>2150</v>
      </c>
      <c r="G161" s="2944">
        <v>7160</v>
      </c>
    </row>
    <row r="162" spans="1:7" s="2778" customFormat="1" ht="14.25" customHeight="1">
      <c r="A162" s="2944" t="s">
        <v>29</v>
      </c>
      <c r="B162" s="2944" t="s">
        <v>2998</v>
      </c>
      <c r="C162" s="2944">
        <v>9620</v>
      </c>
      <c r="D162" s="2944">
        <v>9570</v>
      </c>
      <c r="E162" s="2944">
        <v>12320</v>
      </c>
      <c r="F162" s="2944">
        <v>2010</v>
      </c>
      <c r="G162" s="2944">
        <v>6160</v>
      </c>
    </row>
    <row r="163" spans="1:7" s="2778" customFormat="1" ht="14.25" customHeight="1">
      <c r="A163" s="2944" t="s">
        <v>29</v>
      </c>
      <c r="B163" s="2944" t="s">
        <v>3003</v>
      </c>
      <c r="C163" s="2944">
        <v>9320</v>
      </c>
      <c r="D163" s="2944">
        <v>9270</v>
      </c>
      <c r="E163" s="2944">
        <v>11790</v>
      </c>
      <c r="F163" s="2944">
        <v>1920</v>
      </c>
      <c r="G163" s="2944">
        <v>5960</v>
      </c>
    </row>
    <row r="164" spans="1:7" s="2778" customFormat="1" ht="14.25" customHeight="1">
      <c r="A164" s="2944" t="s">
        <v>29</v>
      </c>
      <c r="B164" s="2944" t="s">
        <v>3008</v>
      </c>
      <c r="C164" s="2944"/>
      <c r="D164" s="2944"/>
      <c r="E164" s="2944"/>
      <c r="F164" s="2944">
        <v>1980</v>
      </c>
      <c r="G164" s="2944"/>
    </row>
    <row r="165" spans="1:7" s="2778" customFormat="1" ht="14.25" customHeight="1">
      <c r="A165" s="2944" t="s">
        <v>29</v>
      </c>
      <c r="B165" s="2944" t="s">
        <v>3078</v>
      </c>
      <c r="C165" s="2944">
        <v>11060</v>
      </c>
      <c r="D165" s="2944">
        <v>11030</v>
      </c>
      <c r="E165" s="2944">
        <v>13850</v>
      </c>
      <c r="F165" s="2944">
        <v>2170</v>
      </c>
      <c r="G165" s="2944">
        <v>7090</v>
      </c>
    </row>
    <row r="166" spans="1:7" s="2778" customFormat="1" ht="14.25" customHeight="1">
      <c r="A166" s="2944" t="s">
        <v>29</v>
      </c>
      <c r="B166" s="2944" t="s">
        <v>3018</v>
      </c>
      <c r="C166" s="2944">
        <v>11050</v>
      </c>
      <c r="D166" s="2944">
        <v>11010</v>
      </c>
      <c r="E166" s="2944">
        <v>13920</v>
      </c>
      <c r="F166" s="2944">
        <v>2140</v>
      </c>
      <c r="G166" s="2944">
        <v>7080</v>
      </c>
    </row>
    <row r="167" spans="1:7" s="2778" customFormat="1" ht="14.25" customHeight="1">
      <c r="A167" s="2944" t="s">
        <v>29</v>
      </c>
      <c r="B167" s="2944" t="s">
        <v>3022</v>
      </c>
      <c r="C167" s="2944">
        <v>10930</v>
      </c>
      <c r="D167" s="2944">
        <v>10890</v>
      </c>
      <c r="E167" s="2944">
        <v>13790</v>
      </c>
      <c r="F167" s="2944">
        <v>2010</v>
      </c>
      <c r="G167" s="2944">
        <v>7000</v>
      </c>
    </row>
    <row r="168" spans="1:7" s="2778" customFormat="1" ht="14.25" customHeight="1">
      <c r="A168" s="2944" t="s">
        <v>29</v>
      </c>
      <c r="B168" s="2944" t="s">
        <v>3027</v>
      </c>
      <c r="C168" s="2944">
        <v>9420</v>
      </c>
      <c r="D168" s="2944">
        <v>9380</v>
      </c>
      <c r="E168" s="2944">
        <v>11970</v>
      </c>
      <c r="F168" s="2944"/>
      <c r="G168" s="2944">
        <v>6040</v>
      </c>
    </row>
    <row r="169" spans="1:7" s="2778" customFormat="1" ht="14.25" customHeight="1">
      <c r="A169" s="2944" t="s">
        <v>29</v>
      </c>
      <c r="B169" s="2944" t="s">
        <v>3079</v>
      </c>
      <c r="C169" s="2944"/>
      <c r="D169" s="2944"/>
      <c r="E169" s="2944"/>
      <c r="F169" s="2944">
        <v>2880</v>
      </c>
      <c r="G169" s="2944"/>
    </row>
    <row r="170" spans="1:7" s="2778" customFormat="1" ht="14.25" customHeight="1">
      <c r="A170" s="2944" t="s">
        <v>29</v>
      </c>
      <c r="B170" s="2944" t="s">
        <v>3035</v>
      </c>
      <c r="C170" s="2944"/>
      <c r="D170" s="2944"/>
      <c r="E170" s="2944"/>
      <c r="F170" s="2944">
        <v>2880</v>
      </c>
      <c r="G170" s="2944"/>
    </row>
    <row r="171" spans="1:7" s="2778" customFormat="1" ht="14.25" customHeight="1">
      <c r="A171" s="2944" t="s">
        <v>29</v>
      </c>
      <c r="B171" s="2944" t="s">
        <v>3038</v>
      </c>
      <c r="C171" s="2944"/>
      <c r="D171" s="2944"/>
      <c r="E171" s="2944"/>
      <c r="F171" s="2944">
        <v>2880</v>
      </c>
      <c r="G171" s="2944"/>
    </row>
    <row r="172" spans="1:7" s="2778" customFormat="1" ht="14.25" customHeight="1">
      <c r="A172" s="2944" t="s">
        <v>29</v>
      </c>
      <c r="B172" s="2944" t="s">
        <v>3040</v>
      </c>
      <c r="C172" s="2944"/>
      <c r="D172" s="2944"/>
      <c r="E172" s="2944"/>
      <c r="F172" s="2944">
        <v>2880</v>
      </c>
      <c r="G172" s="2944"/>
    </row>
    <row r="173" spans="1:7" s="2778" customFormat="1" ht="14.25" customHeight="1">
      <c r="A173" s="2944" t="s">
        <v>29</v>
      </c>
      <c r="B173" s="2944" t="s">
        <v>3042</v>
      </c>
      <c r="C173" s="2944"/>
      <c r="D173" s="2944"/>
      <c r="E173" s="2944"/>
      <c r="F173" s="2944">
        <v>2150</v>
      </c>
      <c r="G173" s="2944"/>
    </row>
    <row r="174" spans="1:7" s="2778" customFormat="1" ht="14.25" customHeight="1">
      <c r="A174" s="2944" t="s">
        <v>29</v>
      </c>
      <c r="B174" s="2944" t="s">
        <v>3044</v>
      </c>
      <c r="C174" s="2944"/>
      <c r="D174" s="2944"/>
      <c r="E174" s="2944"/>
      <c r="F174" s="2944">
        <v>2030</v>
      </c>
      <c r="G174" s="2944"/>
    </row>
    <row r="175" spans="1:7" s="2778" customFormat="1" ht="14.25" customHeight="1">
      <c r="A175" s="2944" t="s">
        <v>29</v>
      </c>
      <c r="B175" s="2944" t="s">
        <v>3046</v>
      </c>
      <c r="C175" s="2944"/>
      <c r="D175" s="2944"/>
      <c r="E175" s="2944"/>
      <c r="F175" s="2944">
        <v>2780</v>
      </c>
      <c r="G175" s="2944"/>
    </row>
    <row r="176" spans="1:7" s="2778" customFormat="1" ht="14.25" customHeight="1">
      <c r="A176" s="2944" t="s">
        <v>29</v>
      </c>
      <c r="B176" s="2944" t="s">
        <v>3048</v>
      </c>
      <c r="C176" s="2944"/>
      <c r="D176" s="2944"/>
      <c r="E176" s="2944"/>
      <c r="F176" s="2944">
        <v>2780</v>
      </c>
      <c r="G176" s="2944"/>
    </row>
    <row r="177" spans="1:7" s="2778" customFormat="1" ht="14.25" customHeight="1">
      <c r="A177" s="2944" t="s">
        <v>29</v>
      </c>
      <c r="B177" s="2944" t="s">
        <v>3080</v>
      </c>
      <c r="C177" s="2944"/>
      <c r="D177" s="2944"/>
      <c r="E177" s="2944"/>
      <c r="F177" s="2944">
        <v>2780</v>
      </c>
      <c r="G177" s="2944"/>
    </row>
    <row r="178" spans="1:7" s="2778" customFormat="1" ht="14.25" customHeight="1">
      <c r="A178" s="2944" t="s">
        <v>29</v>
      </c>
      <c r="B178" s="2944" t="s">
        <v>3081</v>
      </c>
      <c r="C178" s="2944"/>
      <c r="D178" s="2944"/>
      <c r="E178" s="2944"/>
      <c r="F178" s="2944">
        <v>2060</v>
      </c>
      <c r="G178" s="2944"/>
    </row>
    <row r="179" spans="1:7" s="2778" customFormat="1" ht="14.25" customHeight="1">
      <c r="A179" s="2944" t="s">
        <v>29</v>
      </c>
      <c r="B179" s="2944" t="s">
        <v>3082</v>
      </c>
      <c r="C179" s="2944"/>
      <c r="D179" s="2944"/>
      <c r="E179" s="2944"/>
      <c r="F179" s="2944">
        <v>2120</v>
      </c>
      <c r="G179" s="2944"/>
    </row>
    <row r="180" spans="1:7" s="2778" customFormat="1" ht="14.25" customHeight="1">
      <c r="A180" s="2944" t="s">
        <v>29</v>
      </c>
      <c r="B180" s="2944" t="s">
        <v>3054</v>
      </c>
      <c r="C180" s="2944"/>
      <c r="D180" s="2944"/>
      <c r="E180" s="2944"/>
      <c r="F180" s="2944">
        <v>2340</v>
      </c>
      <c r="G180" s="2944"/>
    </row>
    <row r="181" spans="1:7" s="2778" customFormat="1" ht="14.25" customHeight="1">
      <c r="A181" s="2944" t="s">
        <v>29</v>
      </c>
      <c r="B181" s="2944" t="s">
        <v>3055</v>
      </c>
      <c r="C181" s="2944"/>
      <c r="D181" s="2944"/>
      <c r="E181" s="2944"/>
      <c r="F181" s="2944">
        <v>2340</v>
      </c>
      <c r="G181" s="2944"/>
    </row>
    <row r="182" spans="1:7" s="2778" customFormat="1" ht="14.25" customHeight="1">
      <c r="A182" s="2944" t="s">
        <v>29</v>
      </c>
      <c r="B182" s="2944" t="s">
        <v>3056</v>
      </c>
      <c r="C182" s="2944"/>
      <c r="D182" s="2944"/>
      <c r="E182" s="2944"/>
      <c r="F182" s="2944">
        <v>2340</v>
      </c>
      <c r="G182" s="2944"/>
    </row>
    <row r="183" spans="1:7" s="2778" customFormat="1" ht="14.25" customHeight="1">
      <c r="A183" s="2944" t="s">
        <v>29</v>
      </c>
      <c r="B183" s="2944" t="s">
        <v>3057</v>
      </c>
      <c r="C183" s="2944"/>
      <c r="D183" s="2944"/>
      <c r="E183" s="2944"/>
      <c r="F183" s="2944">
        <v>2340</v>
      </c>
      <c r="G183" s="2944"/>
    </row>
    <row r="184" spans="1:7" s="2778" customFormat="1" ht="14.25" customHeight="1">
      <c r="A184" s="2944" t="s">
        <v>29</v>
      </c>
      <c r="B184" s="2944" t="s">
        <v>3058</v>
      </c>
      <c r="C184" s="2944"/>
      <c r="D184" s="2944"/>
      <c r="E184" s="2944"/>
      <c r="F184" s="2944">
        <v>2340</v>
      </c>
      <c r="G184" s="2944"/>
    </row>
    <row r="185" spans="1:7" s="2778" customFormat="1" ht="14.25" customHeight="1">
      <c r="A185" s="2944" t="s">
        <v>29</v>
      </c>
      <c r="B185" s="2944" t="s">
        <v>3059</v>
      </c>
      <c r="C185" s="2944"/>
      <c r="D185" s="2944"/>
      <c r="E185" s="2944"/>
      <c r="F185" s="2944">
        <v>2530</v>
      </c>
      <c r="G185" s="2944"/>
    </row>
    <row r="186" spans="1:7" s="2778" customFormat="1" ht="14.25" customHeight="1">
      <c r="A186" s="2944" t="s">
        <v>29</v>
      </c>
      <c r="B186" s="2944" t="s">
        <v>3060</v>
      </c>
      <c r="C186" s="2944"/>
      <c r="D186" s="2944"/>
      <c r="E186" s="2944"/>
      <c r="F186" s="2944">
        <v>2550</v>
      </c>
      <c r="G186" s="2944"/>
    </row>
    <row r="187" spans="1:7" s="2778" customFormat="1" ht="14.25" customHeight="1">
      <c r="A187" s="2944" t="s">
        <v>29</v>
      </c>
      <c r="B187" s="2944" t="s">
        <v>3061</v>
      </c>
      <c r="C187" s="2944"/>
      <c r="D187" s="2944"/>
      <c r="E187" s="2944"/>
      <c r="F187" s="2944">
        <v>2070</v>
      </c>
      <c r="G187" s="2944"/>
    </row>
    <row r="188" spans="1:7" s="2778" customFormat="1" ht="14.25" customHeight="1">
      <c r="A188" s="2944" t="s">
        <v>29</v>
      </c>
      <c r="B188" s="2944" t="s">
        <v>3062</v>
      </c>
      <c r="C188" s="2944"/>
      <c r="D188" s="2944"/>
      <c r="E188" s="2944"/>
      <c r="F188" s="2944">
        <v>2340</v>
      </c>
      <c r="G188" s="2944"/>
    </row>
    <row r="189" spans="1:7" s="2778" customFormat="1" ht="14.25" customHeight="1" thickBot="1">
      <c r="A189" s="2952" t="s">
        <v>29</v>
      </c>
      <c r="B189" s="2955" t="s">
        <v>3063</v>
      </c>
      <c r="C189" s="2955"/>
      <c r="D189" s="2955"/>
      <c r="E189" s="2955"/>
      <c r="F189" s="2955">
        <v>2050</v>
      </c>
      <c r="G189" s="2955"/>
    </row>
    <row r="190" spans="1:7" s="2778" customFormat="1" ht="14.25" customHeight="1">
      <c r="A190" s="2949" t="s">
        <v>304</v>
      </c>
      <c r="B190" s="2940" t="s">
        <v>3083</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3084</v>
      </c>
      <c r="C199" s="2944">
        <v>8690</v>
      </c>
      <c r="D199" s="2944">
        <v>8630</v>
      </c>
      <c r="E199" s="2944">
        <v>11350</v>
      </c>
      <c r="F199" s="2944">
        <v>1600</v>
      </c>
      <c r="G199" s="2957">
        <v>5450</v>
      </c>
    </row>
    <row r="200" spans="1:7" s="2778" customFormat="1" ht="14.25" customHeight="1">
      <c r="A200" s="2944" t="s">
        <v>304</v>
      </c>
      <c r="B200" s="2944" t="s">
        <v>2895</v>
      </c>
      <c r="C200" s="2944"/>
      <c r="D200" s="2944"/>
      <c r="E200" s="2944"/>
      <c r="F200" s="2944">
        <v>1510</v>
      </c>
      <c r="G200" s="2957"/>
    </row>
    <row r="201" spans="1:7" s="2778" customFormat="1" ht="14.25" customHeight="1">
      <c r="A201" s="2944" t="s">
        <v>304</v>
      </c>
      <c r="B201" s="2944" t="s">
        <v>3085</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3086</v>
      </c>
      <c r="C203" s="2944">
        <v>8130</v>
      </c>
      <c r="D203" s="2944">
        <v>8070</v>
      </c>
      <c r="E203" s="2944">
        <v>10820</v>
      </c>
      <c r="F203" s="2944">
        <v>1690</v>
      </c>
      <c r="G203" s="2957">
        <v>5100</v>
      </c>
    </row>
    <row r="204" spans="1:7" s="2778" customFormat="1" ht="14.25" customHeight="1">
      <c r="A204" s="2944" t="s">
        <v>304</v>
      </c>
      <c r="B204" s="2944" t="s">
        <v>2906</v>
      </c>
      <c r="C204" s="2944">
        <v>8350</v>
      </c>
      <c r="D204" s="2944">
        <v>8290</v>
      </c>
      <c r="E204" s="2944">
        <v>11080</v>
      </c>
      <c r="F204" s="2944">
        <v>1450</v>
      </c>
      <c r="G204" s="2957">
        <v>5240</v>
      </c>
    </row>
    <row r="205" spans="1:7" s="2778" customFormat="1" ht="14.25" customHeight="1">
      <c r="A205" s="2944" t="s">
        <v>304</v>
      </c>
      <c r="B205" s="2944" t="s">
        <v>2908</v>
      </c>
      <c r="C205" s="2944">
        <v>7190</v>
      </c>
      <c r="D205" s="2944">
        <v>7130</v>
      </c>
      <c r="E205" s="2944">
        <v>9490</v>
      </c>
      <c r="F205" s="2944">
        <v>1470</v>
      </c>
      <c r="G205" s="2957">
        <v>4510</v>
      </c>
    </row>
    <row r="206" spans="1:7" s="2778" customFormat="1" ht="14.25" customHeight="1">
      <c r="A206" s="2944" t="s">
        <v>304</v>
      </c>
      <c r="B206" s="2944" t="s">
        <v>2911</v>
      </c>
      <c r="C206" s="2944">
        <v>7000</v>
      </c>
      <c r="D206" s="2944">
        <v>6950</v>
      </c>
      <c r="E206" s="2944">
        <v>9170</v>
      </c>
      <c r="F206" s="2944">
        <v>1400</v>
      </c>
      <c r="G206" s="2957">
        <v>4380</v>
      </c>
    </row>
    <row r="207" spans="1:7" s="2778" customFormat="1" ht="14.25" customHeight="1">
      <c r="A207" s="2944" t="s">
        <v>304</v>
      </c>
      <c r="B207" s="2944" t="s">
        <v>2913</v>
      </c>
      <c r="C207" s="2944">
        <v>6950</v>
      </c>
      <c r="D207" s="2944">
        <v>6900</v>
      </c>
      <c r="E207" s="2944">
        <v>9110</v>
      </c>
      <c r="F207" s="2944">
        <v>1790</v>
      </c>
      <c r="G207" s="2957">
        <v>4360</v>
      </c>
    </row>
    <row r="208" spans="1:7" s="2778" customFormat="1" ht="14.25" customHeight="1">
      <c r="A208" s="2944" t="s">
        <v>304</v>
      </c>
      <c r="B208" s="2944" t="s">
        <v>3087</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2923</v>
      </c>
      <c r="C210" s="2944">
        <v>8710</v>
      </c>
      <c r="D210" s="2944">
        <v>8660</v>
      </c>
      <c r="E210" s="2944">
        <v>11440</v>
      </c>
      <c r="F210" s="2944">
        <v>1740</v>
      </c>
      <c r="G210" s="2957">
        <v>5470</v>
      </c>
    </row>
    <row r="211" spans="1:7" s="2778" customFormat="1" ht="14.25" customHeight="1">
      <c r="A211" s="2944" t="s">
        <v>304</v>
      </c>
      <c r="B211" s="2944" t="s">
        <v>3088</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3089</v>
      </c>
      <c r="C214" s="2944">
        <v>8090</v>
      </c>
      <c r="D214" s="2944">
        <v>8030</v>
      </c>
      <c r="E214" s="2944">
        <v>10780</v>
      </c>
      <c r="F214" s="2944">
        <v>1570</v>
      </c>
      <c r="G214" s="2957">
        <v>5070</v>
      </c>
    </row>
    <row r="215" spans="1:7" s="2778" customFormat="1" ht="14.25" customHeight="1">
      <c r="A215" s="2944" t="s">
        <v>304</v>
      </c>
      <c r="B215" s="2944" t="s">
        <v>3090</v>
      </c>
      <c r="C215" s="2944">
        <v>7950</v>
      </c>
      <c r="D215" s="2944">
        <v>7900</v>
      </c>
      <c r="E215" s="2944">
        <v>10560</v>
      </c>
      <c r="F215" s="2944">
        <v>1630</v>
      </c>
      <c r="G215" s="2957">
        <v>4990</v>
      </c>
    </row>
    <row r="216" spans="1:7" s="2778" customFormat="1" ht="14.25" customHeight="1">
      <c r="A216" s="2944" t="s">
        <v>304</v>
      </c>
      <c r="B216" s="2944" t="s">
        <v>3091</v>
      </c>
      <c r="C216" s="2944">
        <v>8490</v>
      </c>
      <c r="D216" s="2944">
        <v>8440</v>
      </c>
      <c r="E216" s="2944">
        <v>11260</v>
      </c>
      <c r="F216" s="2944">
        <v>1690</v>
      </c>
      <c r="G216" s="2957">
        <v>5330</v>
      </c>
    </row>
    <row r="217" spans="1:7" s="2778" customFormat="1" ht="14.25" customHeight="1">
      <c r="A217" s="2944" t="s">
        <v>304</v>
      </c>
      <c r="B217" s="2944" t="s">
        <v>2956</v>
      </c>
      <c r="C217" s="2944">
        <v>8200</v>
      </c>
      <c r="D217" s="2944">
        <v>8150</v>
      </c>
      <c r="E217" s="2944">
        <v>10910</v>
      </c>
      <c r="F217" s="2944">
        <v>1670</v>
      </c>
      <c r="G217" s="2957">
        <v>5150</v>
      </c>
    </row>
    <row r="218" spans="1:7" s="2778" customFormat="1" ht="14.25" customHeight="1">
      <c r="A218" s="2944" t="s">
        <v>304</v>
      </c>
      <c r="B218" s="2944" t="s">
        <v>3092</v>
      </c>
      <c r="C218" s="2944"/>
      <c r="D218" s="2944"/>
      <c r="E218" s="2944"/>
      <c r="F218" s="2944">
        <v>2040</v>
      </c>
      <c r="G218" s="2957"/>
    </row>
    <row r="219" spans="1:7" s="2778" customFormat="1" ht="14.25" customHeight="1">
      <c r="A219" s="2944" t="s">
        <v>304</v>
      </c>
      <c r="B219" s="2944" t="s">
        <v>3093</v>
      </c>
      <c r="C219" s="2944"/>
      <c r="D219" s="2944"/>
      <c r="E219" s="2944"/>
      <c r="F219" s="2944">
        <v>2040</v>
      </c>
      <c r="G219" s="2957"/>
    </row>
    <row r="220" spans="1:7" s="2778" customFormat="1" ht="14.25" customHeight="1">
      <c r="A220" s="2944" t="s">
        <v>304</v>
      </c>
      <c r="B220" s="2944" t="s">
        <v>3094</v>
      </c>
      <c r="C220" s="2944"/>
      <c r="D220" s="2944"/>
      <c r="E220" s="2944"/>
      <c r="F220" s="2944">
        <v>2040</v>
      </c>
      <c r="G220" s="2957"/>
    </row>
    <row r="221" spans="1:7" s="2778" customFormat="1" ht="14.25" customHeight="1">
      <c r="A221" s="2944" t="s">
        <v>304</v>
      </c>
      <c r="B221" s="2944" t="s">
        <v>3095</v>
      </c>
      <c r="C221" s="2944"/>
      <c r="D221" s="2944"/>
      <c r="E221" s="2944"/>
      <c r="F221" s="2944">
        <v>2040</v>
      </c>
      <c r="G221" s="2957"/>
    </row>
    <row r="222" spans="1:7" s="2778" customFormat="1" ht="14.25" customHeight="1">
      <c r="A222" s="2944" t="s">
        <v>304</v>
      </c>
      <c r="B222" s="2944" t="s">
        <v>3096</v>
      </c>
      <c r="C222" s="2944"/>
      <c r="D222" s="2944"/>
      <c r="E222" s="2944"/>
      <c r="F222" s="2944">
        <v>2040</v>
      </c>
      <c r="G222" s="2957"/>
    </row>
    <row r="223" spans="1:7" s="2778" customFormat="1" ht="14.25" customHeight="1">
      <c r="A223" s="2944" t="s">
        <v>304</v>
      </c>
      <c r="B223" s="2944" t="s">
        <v>3097</v>
      </c>
      <c r="C223" s="2944"/>
      <c r="D223" s="2944"/>
      <c r="E223" s="2944"/>
      <c r="F223" s="2944">
        <v>1930</v>
      </c>
      <c r="G223" s="2957"/>
    </row>
    <row r="224" spans="1:7" s="2778" customFormat="1" ht="14.25" customHeight="1">
      <c r="A224" s="2944" t="s">
        <v>304</v>
      </c>
      <c r="B224" s="2944" t="s">
        <v>3098</v>
      </c>
      <c r="C224" s="2944"/>
      <c r="D224" s="2944"/>
      <c r="E224" s="2944"/>
      <c r="F224" s="2944">
        <v>1930</v>
      </c>
      <c r="G224" s="2957"/>
    </row>
    <row r="225" spans="1:7" s="2778" customFormat="1" ht="14.25" customHeight="1">
      <c r="A225" s="2944" t="s">
        <v>304</v>
      </c>
      <c r="B225" s="2944" t="s">
        <v>3099</v>
      </c>
      <c r="C225" s="2944"/>
      <c r="D225" s="2944"/>
      <c r="E225" s="2944"/>
      <c r="F225" s="2944">
        <v>1930</v>
      </c>
      <c r="G225" s="2957"/>
    </row>
    <row r="226" spans="1:7" s="2778" customFormat="1" ht="14.25" customHeight="1">
      <c r="A226" s="2944" t="s">
        <v>304</v>
      </c>
      <c r="B226" s="2944" t="s">
        <v>3100</v>
      </c>
      <c r="C226" s="2944"/>
      <c r="D226" s="2944"/>
      <c r="E226" s="2944"/>
      <c r="F226" s="2944">
        <v>1700</v>
      </c>
      <c r="G226" s="2957"/>
    </row>
    <row r="227" spans="1:7" s="2778" customFormat="1" ht="14.25" customHeight="1">
      <c r="A227" s="2944" t="s">
        <v>304</v>
      </c>
      <c r="B227" s="2944" t="s">
        <v>3101</v>
      </c>
      <c r="C227" s="2944"/>
      <c r="D227" s="2944"/>
      <c r="E227" s="2944"/>
      <c r="F227" s="2944">
        <v>1520</v>
      </c>
      <c r="G227" s="2957"/>
    </row>
    <row r="228" spans="1:7" s="2778" customFormat="1" ht="14.25" customHeight="1">
      <c r="A228" s="2944" t="s">
        <v>304</v>
      </c>
      <c r="B228" s="2944" t="s">
        <v>3102</v>
      </c>
      <c r="C228" s="2944"/>
      <c r="D228" s="2944"/>
      <c r="E228" s="2944"/>
      <c r="F228" s="2944">
        <v>1520</v>
      </c>
      <c r="G228" s="2957"/>
    </row>
    <row r="229" spans="1:7" s="2778" customFormat="1" ht="14.25" customHeight="1">
      <c r="A229" s="2944" t="s">
        <v>304</v>
      </c>
      <c r="B229" s="2944" t="s">
        <v>3019</v>
      </c>
      <c r="C229" s="2944"/>
      <c r="D229" s="2944"/>
      <c r="E229" s="2944"/>
      <c r="F229" s="2944">
        <v>1520</v>
      </c>
      <c r="G229" s="2957"/>
    </row>
    <row r="230" spans="1:7" s="2778" customFormat="1" ht="14.25" customHeight="1">
      <c r="A230" s="2944" t="s">
        <v>304</v>
      </c>
      <c r="B230" s="2944" t="s">
        <v>3103</v>
      </c>
      <c r="C230" s="2944"/>
      <c r="D230" s="2944"/>
      <c r="E230" s="2944"/>
      <c r="F230" s="2944">
        <v>1820</v>
      </c>
      <c r="G230" s="2957"/>
    </row>
    <row r="231" spans="1:7" s="2778" customFormat="1" ht="14.25" customHeight="1">
      <c r="A231" s="2944" t="s">
        <v>304</v>
      </c>
      <c r="B231" s="2944" t="s">
        <v>3104</v>
      </c>
      <c r="C231" s="2944"/>
      <c r="D231" s="2944"/>
      <c r="E231" s="2944"/>
      <c r="F231" s="2944">
        <v>1760</v>
      </c>
      <c r="G231" s="2957"/>
    </row>
    <row r="232" spans="1:7" s="2778" customFormat="1" ht="14.25" customHeight="1">
      <c r="A232" s="2944" t="s">
        <v>304</v>
      </c>
      <c r="B232" s="2944" t="s">
        <v>3105</v>
      </c>
      <c r="C232" s="2944"/>
      <c r="D232" s="2944"/>
      <c r="E232" s="2944"/>
      <c r="F232" s="2944">
        <v>1840</v>
      </c>
      <c r="G232" s="2957"/>
    </row>
    <row r="233" spans="1:7" s="2778" customFormat="1" ht="14.25" customHeight="1" thickBot="1">
      <c r="A233" s="2958" t="s">
        <v>304</v>
      </c>
      <c r="B233" s="2951" t="s">
        <v>3036</v>
      </c>
      <c r="C233" s="2951"/>
      <c r="D233" s="2951"/>
      <c r="E233" s="2951"/>
      <c r="F233" s="2951">
        <v>1770</v>
      </c>
      <c r="G233" s="2959"/>
    </row>
    <row r="234" spans="1:7" s="2778" customFormat="1" ht="14.25" customHeight="1">
      <c r="A234" s="2949" t="s">
        <v>305</v>
      </c>
      <c r="B234" s="2940" t="s">
        <v>3106</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2877</v>
      </c>
      <c r="C238" s="2944">
        <v>6920</v>
      </c>
      <c r="D238" s="2944">
        <v>6890</v>
      </c>
      <c r="E238" s="2944">
        <v>8640</v>
      </c>
      <c r="F238" s="2944">
        <v>1310</v>
      </c>
      <c r="G238" s="2944">
        <v>4230</v>
      </c>
    </row>
    <row r="239" spans="1:7" s="2778" customFormat="1" ht="14.25" customHeight="1">
      <c r="A239" s="2944" t="s">
        <v>305</v>
      </c>
      <c r="B239" s="2944" t="s">
        <v>3107</v>
      </c>
      <c r="C239" s="2944">
        <v>6780</v>
      </c>
      <c r="D239" s="2944">
        <v>6750</v>
      </c>
      <c r="E239" s="2944">
        <v>8440</v>
      </c>
      <c r="F239" s="2944">
        <v>1160</v>
      </c>
      <c r="G239" s="2944">
        <v>4140</v>
      </c>
    </row>
    <row r="240" spans="1:7" s="2778" customFormat="1" ht="14.25" customHeight="1">
      <c r="A240" s="2944" t="s">
        <v>305</v>
      </c>
      <c r="B240" s="2944" t="s">
        <v>3108</v>
      </c>
      <c r="C240" s="2944">
        <v>5420</v>
      </c>
      <c r="D240" s="2944">
        <v>5380</v>
      </c>
      <c r="E240" s="2944">
        <v>6640</v>
      </c>
      <c r="F240" s="2944">
        <v>1020</v>
      </c>
      <c r="G240" s="2944">
        <v>3300</v>
      </c>
    </row>
    <row r="241" spans="1:7" s="2778" customFormat="1" ht="14.25" customHeight="1">
      <c r="A241" s="2944" t="s">
        <v>305</v>
      </c>
      <c r="B241" s="2944" t="s">
        <v>3109</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3110</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3111</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3112</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3113</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3114</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2939</v>
      </c>
      <c r="C258" s="2944">
        <v>6190</v>
      </c>
      <c r="D258" s="2944">
        <v>6160</v>
      </c>
      <c r="E258" s="2944">
        <v>7680</v>
      </c>
      <c r="F258" s="2944">
        <v>1170</v>
      </c>
      <c r="G258" s="2944">
        <v>3780</v>
      </c>
    </row>
    <row r="259" spans="1:7" s="2778" customFormat="1" ht="14.25" customHeight="1">
      <c r="A259" s="2944" t="s">
        <v>305</v>
      </c>
      <c r="B259" s="2944" t="s">
        <v>3115</v>
      </c>
      <c r="C259" s="2944">
        <v>7610</v>
      </c>
      <c r="D259" s="2944">
        <v>7570</v>
      </c>
      <c r="E259" s="2944">
        <v>9350</v>
      </c>
      <c r="F259" s="2944">
        <v>1350</v>
      </c>
      <c r="G259" s="2944">
        <v>4650</v>
      </c>
    </row>
    <row r="260" spans="1:7" s="2778" customFormat="1" ht="14.25" customHeight="1">
      <c r="A260" s="2944" t="s">
        <v>305</v>
      </c>
      <c r="B260" s="2944" t="s">
        <v>3116</v>
      </c>
      <c r="C260" s="2944">
        <v>6920</v>
      </c>
      <c r="D260" s="2944">
        <v>6880</v>
      </c>
      <c r="E260" s="2944">
        <v>8380</v>
      </c>
      <c r="F260" s="2944">
        <v>1160</v>
      </c>
      <c r="G260" s="2944">
        <v>4220</v>
      </c>
    </row>
    <row r="261" spans="1:7" s="2778" customFormat="1" ht="14.25" customHeight="1">
      <c r="A261" s="2944" t="s">
        <v>305</v>
      </c>
      <c r="B261" s="2944" t="s">
        <v>3117</v>
      </c>
      <c r="C261" s="2944">
        <v>6850</v>
      </c>
      <c r="D261" s="2944">
        <v>6810</v>
      </c>
      <c r="E261" s="2944">
        <v>8290</v>
      </c>
      <c r="F261" s="2944">
        <v>1130</v>
      </c>
      <c r="G261" s="2944">
        <v>4180</v>
      </c>
    </row>
    <row r="262" spans="1:7" s="2778" customFormat="1" ht="14.25" customHeight="1">
      <c r="A262" s="2944" t="s">
        <v>305</v>
      </c>
      <c r="B262" s="2944" t="s">
        <v>3118</v>
      </c>
      <c r="C262" s="2944">
        <v>5860</v>
      </c>
      <c r="D262" s="2944">
        <v>5820</v>
      </c>
      <c r="E262" s="2944">
        <v>7640</v>
      </c>
      <c r="F262" s="2944">
        <v>1070</v>
      </c>
      <c r="G262" s="2944">
        <v>3570</v>
      </c>
    </row>
    <row r="263" spans="1:7" s="2778" customFormat="1" ht="14.25" customHeight="1">
      <c r="A263" s="2944" t="s">
        <v>305</v>
      </c>
      <c r="B263" s="2944" t="s">
        <v>3119</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3120</v>
      </c>
      <c r="C265" s="2944"/>
      <c r="D265" s="2944"/>
      <c r="E265" s="2944"/>
      <c r="F265" s="2944">
        <v>1500</v>
      </c>
      <c r="G265" s="2944"/>
    </row>
    <row r="266" spans="1:7" s="2778" customFormat="1" ht="14.25" customHeight="1">
      <c r="A266" s="2944" t="s">
        <v>305</v>
      </c>
      <c r="B266" s="2944" t="s">
        <v>3121</v>
      </c>
      <c r="C266" s="2944"/>
      <c r="D266" s="2944"/>
      <c r="E266" s="2944"/>
      <c r="F266" s="2944">
        <v>1500</v>
      </c>
      <c r="G266" s="2944"/>
    </row>
    <row r="267" spans="1:7" s="2778" customFormat="1" ht="14.25" customHeight="1">
      <c r="A267" s="2944" t="s">
        <v>305</v>
      </c>
      <c r="B267" s="2944" t="s">
        <v>3122</v>
      </c>
      <c r="C267" s="2944"/>
      <c r="D267" s="2944"/>
      <c r="E267" s="2944"/>
      <c r="F267" s="2944">
        <v>1500</v>
      </c>
      <c r="G267" s="2944"/>
    </row>
    <row r="268" spans="1:7" s="2778" customFormat="1" ht="14.25" customHeight="1">
      <c r="A268" s="2944" t="s">
        <v>305</v>
      </c>
      <c r="B268" s="2944" t="s">
        <v>3123</v>
      </c>
      <c r="C268" s="2944"/>
      <c r="D268" s="2944"/>
      <c r="E268" s="2944"/>
      <c r="F268" s="2944">
        <v>1290</v>
      </c>
      <c r="G268" s="2944"/>
    </row>
    <row r="269" spans="1:7" s="2778" customFormat="1" ht="14.25" customHeight="1">
      <c r="A269" s="2944" t="s">
        <v>305</v>
      </c>
      <c r="B269" s="2944" t="s">
        <v>3124</v>
      </c>
      <c r="C269" s="2944"/>
      <c r="D269" s="2944"/>
      <c r="E269" s="2944"/>
      <c r="F269" s="2944">
        <v>1150</v>
      </c>
      <c r="G269" s="2944"/>
    </row>
    <row r="270" spans="1:7" s="2778" customFormat="1" ht="14.25" customHeight="1">
      <c r="A270" s="2944" t="s">
        <v>305</v>
      </c>
      <c r="B270" s="2944" t="s">
        <v>3125</v>
      </c>
      <c r="C270" s="2944"/>
      <c r="D270" s="2944"/>
      <c r="E270" s="2944"/>
      <c r="F270" s="2944">
        <v>1380</v>
      </c>
      <c r="G270" s="2944"/>
    </row>
    <row r="271" spans="1:7" s="2778" customFormat="1" ht="14.25" customHeight="1">
      <c r="A271" s="2944" t="s">
        <v>305</v>
      </c>
      <c r="B271" s="2944" t="s">
        <v>3126</v>
      </c>
      <c r="C271" s="2944"/>
      <c r="D271" s="2944"/>
      <c r="E271" s="2944"/>
      <c r="F271" s="2944">
        <v>1460</v>
      </c>
      <c r="G271" s="2944"/>
    </row>
    <row r="272" spans="1:7" s="2778" customFormat="1" ht="14.25" customHeight="1">
      <c r="A272" s="2944" t="s">
        <v>305</v>
      </c>
      <c r="B272" s="2944" t="s">
        <v>3127</v>
      </c>
      <c r="C272" s="2944"/>
      <c r="D272" s="2944"/>
      <c r="E272" s="2944"/>
      <c r="F272" s="2944">
        <v>1460</v>
      </c>
      <c r="G272" s="2944"/>
    </row>
    <row r="273" spans="1:7" s="2778" customFormat="1" ht="14.25" customHeight="1">
      <c r="A273" s="2944" t="s">
        <v>305</v>
      </c>
      <c r="B273" s="2944" t="s">
        <v>3020</v>
      </c>
      <c r="C273" s="2944"/>
      <c r="D273" s="2944"/>
      <c r="E273" s="2944"/>
      <c r="F273" s="2944">
        <v>1490</v>
      </c>
      <c r="G273" s="2944"/>
    </row>
    <row r="274" spans="1:7" s="2778" customFormat="1" ht="14.25" customHeight="1">
      <c r="A274" s="2944" t="s">
        <v>305</v>
      </c>
      <c r="B274" s="2944" t="s">
        <v>3128</v>
      </c>
      <c r="C274" s="2944"/>
      <c r="D274" s="2944"/>
      <c r="E274" s="2944"/>
      <c r="F274" s="2944">
        <v>1490</v>
      </c>
      <c r="G274" s="2944"/>
    </row>
    <row r="275" spans="1:7" s="2778" customFormat="1" ht="14.25" customHeight="1">
      <c r="A275" s="2944" t="s">
        <v>305</v>
      </c>
      <c r="B275" s="2944" t="s">
        <v>3129</v>
      </c>
      <c r="C275" s="2944"/>
      <c r="D275" s="2944"/>
      <c r="E275" s="2944"/>
      <c r="F275" s="2944">
        <v>1220</v>
      </c>
      <c r="G275" s="2944"/>
    </row>
    <row r="276" spans="1:7" s="2778" customFormat="1" ht="14.25" customHeight="1" thickBot="1">
      <c r="A276" s="2952" t="s">
        <v>305</v>
      </c>
      <c r="B276" s="2954" t="s">
        <v>3130</v>
      </c>
      <c r="C276" s="2955"/>
      <c r="D276" s="2955"/>
      <c r="E276" s="2955"/>
      <c r="F276" s="2955">
        <v>1380</v>
      </c>
      <c r="G276" s="2955"/>
    </row>
    <row r="277" spans="1:7" s="2778" customFormat="1" ht="14.25" customHeight="1">
      <c r="A277" s="2949" t="s">
        <v>306</v>
      </c>
      <c r="B277" s="2940" t="s">
        <v>3131</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3132</v>
      </c>
      <c r="C279" s="2944">
        <v>4760</v>
      </c>
      <c r="D279" s="2944">
        <v>4720</v>
      </c>
      <c r="E279" s="2944">
        <v>5540</v>
      </c>
      <c r="F279" s="2944">
        <v>810</v>
      </c>
      <c r="G279" s="2957">
        <v>2850</v>
      </c>
    </row>
    <row r="280" spans="1:7" s="2778" customFormat="1" ht="14.25" customHeight="1">
      <c r="A280" s="2944" t="s">
        <v>306</v>
      </c>
      <c r="B280" s="2944" t="s">
        <v>3133</v>
      </c>
      <c r="C280" s="2944">
        <v>4010</v>
      </c>
      <c r="D280" s="2944">
        <v>3950</v>
      </c>
      <c r="E280" s="2944">
        <v>4710</v>
      </c>
      <c r="F280" s="2944">
        <v>800</v>
      </c>
      <c r="G280" s="2957">
        <v>2390</v>
      </c>
    </row>
    <row r="281" spans="1:7" s="2778" customFormat="1" ht="14.25" customHeight="1">
      <c r="A281" s="2944" t="s">
        <v>306</v>
      </c>
      <c r="B281" s="2944" t="s">
        <v>3134</v>
      </c>
      <c r="C281" s="2944">
        <v>4480</v>
      </c>
      <c r="D281" s="2944">
        <v>4420</v>
      </c>
      <c r="E281" s="2944">
        <v>5230</v>
      </c>
      <c r="F281" s="2944">
        <v>870</v>
      </c>
      <c r="G281" s="2957">
        <v>2660</v>
      </c>
    </row>
    <row r="282" spans="1:7" s="2778" customFormat="1" ht="14.25" customHeight="1">
      <c r="A282" s="2944" t="s">
        <v>306</v>
      </c>
      <c r="B282" s="2944" t="s">
        <v>3135</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3136</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3137</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2912</v>
      </c>
      <c r="C293" s="2944">
        <v>5320</v>
      </c>
      <c r="D293" s="2944">
        <v>5270</v>
      </c>
      <c r="E293" s="2944">
        <v>6160</v>
      </c>
      <c r="F293" s="2944">
        <v>990</v>
      </c>
      <c r="G293" s="2957">
        <v>3170</v>
      </c>
    </row>
    <row r="294" spans="1:7" s="2778" customFormat="1" ht="14.25" customHeight="1">
      <c r="A294" s="2944" t="s">
        <v>306</v>
      </c>
      <c r="B294" s="2944" t="s">
        <v>3138</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2931</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3139</v>
      </c>
      <c r="C302" s="2944">
        <v>5520</v>
      </c>
      <c r="D302" s="2944">
        <v>5470</v>
      </c>
      <c r="E302" s="2944">
        <v>6410</v>
      </c>
      <c r="F302" s="2944">
        <v>950</v>
      </c>
      <c r="G302" s="2957">
        <v>3300</v>
      </c>
    </row>
    <row r="303" spans="1:7" s="2778" customFormat="1" ht="14.25" customHeight="1">
      <c r="A303" s="2944" t="s">
        <v>306</v>
      </c>
      <c r="B303" s="2944" t="s">
        <v>2951</v>
      </c>
      <c r="C303" s="2944">
        <v>5630</v>
      </c>
      <c r="D303" s="2944">
        <v>5590</v>
      </c>
      <c r="E303" s="2944">
        <v>6550</v>
      </c>
      <c r="F303" s="2944">
        <v>1010</v>
      </c>
      <c r="G303" s="2957">
        <v>3370</v>
      </c>
    </row>
    <row r="304" spans="1:7" s="2778" customFormat="1" ht="14.25" customHeight="1">
      <c r="A304" s="2944" t="s">
        <v>306</v>
      </c>
      <c r="B304" s="2944" t="s">
        <v>2958</v>
      </c>
      <c r="C304" s="2944">
        <v>5680</v>
      </c>
      <c r="D304" s="2944">
        <v>5620</v>
      </c>
      <c r="E304" s="2944">
        <v>6620</v>
      </c>
      <c r="F304" s="2944">
        <v>1050</v>
      </c>
      <c r="G304" s="2957">
        <v>3390</v>
      </c>
    </row>
    <row r="305" spans="1:7" s="2778" customFormat="1" ht="14.25" customHeight="1">
      <c r="A305" s="2944" t="s">
        <v>306</v>
      </c>
      <c r="B305" s="2944" t="s">
        <v>2964</v>
      </c>
      <c r="C305" s="2944">
        <v>5590</v>
      </c>
      <c r="D305" s="2944">
        <v>5530</v>
      </c>
      <c r="E305" s="2944">
        <v>6460</v>
      </c>
      <c r="F305" s="2944">
        <v>900</v>
      </c>
      <c r="G305" s="2957">
        <v>3340</v>
      </c>
    </row>
    <row r="306" spans="1:7" s="2778" customFormat="1" ht="14.25" customHeight="1">
      <c r="A306" s="2944" t="s">
        <v>306</v>
      </c>
      <c r="B306" s="2944" t="s">
        <v>3140</v>
      </c>
      <c r="C306" s="2944">
        <v>5560</v>
      </c>
      <c r="D306" s="2944">
        <v>5510</v>
      </c>
      <c r="E306" s="2944">
        <v>6440</v>
      </c>
      <c r="F306" s="2944">
        <v>900</v>
      </c>
      <c r="G306" s="2957">
        <v>3320</v>
      </c>
    </row>
    <row r="307" spans="1:7" s="2778" customFormat="1" ht="14.25" customHeight="1">
      <c r="A307" s="2944" t="s">
        <v>306</v>
      </c>
      <c r="B307" s="2944" t="s">
        <v>2976</v>
      </c>
      <c r="C307" s="2944">
        <v>5650</v>
      </c>
      <c r="D307" s="2944">
        <v>5600</v>
      </c>
      <c r="E307" s="2944">
        <v>6590</v>
      </c>
      <c r="F307" s="2944">
        <v>930</v>
      </c>
      <c r="G307" s="2957">
        <v>3380</v>
      </c>
    </row>
    <row r="308" spans="1:7" s="2778" customFormat="1" ht="14.25" customHeight="1">
      <c r="A308" s="2944" t="s">
        <v>306</v>
      </c>
      <c r="B308" s="2944" t="s">
        <v>3141</v>
      </c>
      <c r="C308" s="2944">
        <v>5620</v>
      </c>
      <c r="D308" s="2944">
        <v>5580</v>
      </c>
      <c r="E308" s="2944">
        <v>6540</v>
      </c>
      <c r="F308" s="2944">
        <v>910</v>
      </c>
      <c r="G308" s="2957">
        <v>3370</v>
      </c>
    </row>
    <row r="309" spans="1:7" s="2778" customFormat="1" ht="14.25" customHeight="1">
      <c r="A309" s="2944" t="s">
        <v>306</v>
      </c>
      <c r="B309" s="2944" t="s">
        <v>3142</v>
      </c>
      <c r="C309" s="2944">
        <v>5060</v>
      </c>
      <c r="D309" s="2944">
        <v>5020</v>
      </c>
      <c r="E309" s="2944">
        <v>6370</v>
      </c>
      <c r="F309" s="2944">
        <v>800</v>
      </c>
      <c r="G309" s="2957">
        <v>3020</v>
      </c>
    </row>
    <row r="310" spans="1:7" s="2778" customFormat="1" ht="14.25" customHeight="1">
      <c r="A310" s="2944" t="s">
        <v>306</v>
      </c>
      <c r="B310" s="2944" t="s">
        <v>2991</v>
      </c>
      <c r="C310" s="2944">
        <v>5150</v>
      </c>
      <c r="D310" s="2944">
        <v>5110</v>
      </c>
      <c r="E310" s="2944">
        <v>6500</v>
      </c>
      <c r="F310" s="2944">
        <v>880</v>
      </c>
      <c r="G310" s="2957">
        <v>3080</v>
      </c>
    </row>
    <row r="311" spans="1:7" s="2778" customFormat="1" ht="14.25" customHeight="1">
      <c r="A311" s="2944" t="s">
        <v>306</v>
      </c>
      <c r="B311" s="2944" t="s">
        <v>3143</v>
      </c>
      <c r="C311" s="2944">
        <v>4750</v>
      </c>
      <c r="D311" s="2944">
        <v>4710</v>
      </c>
      <c r="E311" s="2944">
        <v>5510</v>
      </c>
      <c r="F311" s="2944">
        <v>880</v>
      </c>
      <c r="G311" s="2957">
        <v>2840</v>
      </c>
    </row>
    <row r="312" spans="1:7" s="2778" customFormat="1" ht="14.25" customHeight="1">
      <c r="A312" s="2944" t="s">
        <v>306</v>
      </c>
      <c r="B312" s="2944" t="s">
        <v>3001</v>
      </c>
      <c r="C312" s="2944">
        <v>4690</v>
      </c>
      <c r="D312" s="2944">
        <v>4640</v>
      </c>
      <c r="E312" s="2944">
        <v>5420</v>
      </c>
      <c r="F312" s="2944">
        <v>800</v>
      </c>
      <c r="G312" s="2957">
        <v>2800</v>
      </c>
    </row>
    <row r="313" spans="1:7" s="2778" customFormat="1" ht="14.25" customHeight="1">
      <c r="A313" s="2944" t="s">
        <v>306</v>
      </c>
      <c r="B313" s="2944" t="s">
        <v>3006</v>
      </c>
      <c r="C313" s="2944">
        <v>4810</v>
      </c>
      <c r="D313" s="2944">
        <v>4760</v>
      </c>
      <c r="E313" s="2944">
        <v>5550</v>
      </c>
      <c r="F313" s="2944">
        <v>920</v>
      </c>
      <c r="G313" s="2957">
        <v>2870</v>
      </c>
    </row>
    <row r="314" spans="1:7" s="2778" customFormat="1" ht="14.25" customHeight="1">
      <c r="A314" s="2944" t="s">
        <v>306</v>
      </c>
      <c r="B314" s="2944" t="s">
        <v>3144</v>
      </c>
      <c r="C314" s="2944"/>
      <c r="D314" s="2944"/>
      <c r="E314" s="2944"/>
      <c r="F314" s="2944">
        <v>1020</v>
      </c>
      <c r="G314" s="2957"/>
    </row>
    <row r="315" spans="1:7" s="2778" customFormat="1" ht="14.25" customHeight="1">
      <c r="A315" s="2944" t="s">
        <v>306</v>
      </c>
      <c r="B315" s="2944" t="s">
        <v>3145</v>
      </c>
      <c r="C315" s="2944"/>
      <c r="D315" s="2944"/>
      <c r="E315" s="2944"/>
      <c r="F315" s="2944">
        <v>1050</v>
      </c>
      <c r="G315" s="2957"/>
    </row>
    <row r="316" spans="1:7" s="2778" customFormat="1" ht="14.25" customHeight="1">
      <c r="A316" s="2944" t="s">
        <v>306</v>
      </c>
      <c r="B316" s="2944" t="s">
        <v>3021</v>
      </c>
      <c r="C316" s="2944"/>
      <c r="D316" s="2944"/>
      <c r="E316" s="2944"/>
      <c r="F316" s="2944">
        <v>900</v>
      </c>
      <c r="G316" s="2957"/>
    </row>
    <row r="317" spans="1:7" s="2778" customFormat="1" ht="14.25" customHeight="1">
      <c r="A317" s="2944" t="s">
        <v>306</v>
      </c>
      <c r="B317" s="2944" t="s">
        <v>3146</v>
      </c>
      <c r="C317" s="2944"/>
      <c r="D317" s="2944"/>
      <c r="E317" s="2944"/>
      <c r="F317" s="2944">
        <v>920</v>
      </c>
      <c r="G317" s="2957"/>
    </row>
    <row r="318" spans="1:7" s="2778" customFormat="1" ht="14.25" customHeight="1">
      <c r="A318" s="2944" t="s">
        <v>306</v>
      </c>
      <c r="B318" s="2944" t="s">
        <v>3147</v>
      </c>
      <c r="C318" s="2944"/>
      <c r="D318" s="2944"/>
      <c r="E318" s="2944"/>
      <c r="F318" s="2944">
        <v>1080</v>
      </c>
      <c r="G318" s="2957"/>
    </row>
    <row r="319" spans="1:7" s="2778" customFormat="1" ht="14.25" customHeight="1">
      <c r="A319" s="2944" t="s">
        <v>306</v>
      </c>
      <c r="B319" s="2944" t="s">
        <v>3034</v>
      </c>
      <c r="C319" s="2944"/>
      <c r="D319" s="2944"/>
      <c r="E319" s="2944"/>
      <c r="F319" s="2944">
        <v>1020</v>
      </c>
      <c r="G319" s="2957"/>
    </row>
    <row r="320" spans="1:7" s="2778" customFormat="1" ht="14.25" customHeight="1">
      <c r="A320" s="2944" t="s">
        <v>306</v>
      </c>
      <c r="B320" s="2944" t="s">
        <v>3037</v>
      </c>
      <c r="C320" s="2944"/>
      <c r="D320" s="2944"/>
      <c r="E320" s="2944"/>
      <c r="F320" s="2944">
        <v>1050</v>
      </c>
      <c r="G320" s="2957"/>
    </row>
    <row r="321" spans="1:7" s="2778" customFormat="1" ht="14.25" customHeight="1">
      <c r="A321" s="2944" t="s">
        <v>306</v>
      </c>
      <c r="B321" s="2944" t="s">
        <v>3039</v>
      </c>
      <c r="C321" s="2944"/>
      <c r="D321" s="2944"/>
      <c r="E321" s="2944"/>
      <c r="F321" s="2944">
        <v>960</v>
      </c>
      <c r="G321" s="2957"/>
    </row>
    <row r="322" spans="1:7" s="2778" customFormat="1" ht="14.25" customHeight="1">
      <c r="A322" s="2944" t="s">
        <v>306</v>
      </c>
      <c r="B322" s="2944" t="s">
        <v>3041</v>
      </c>
      <c r="C322" s="2944"/>
      <c r="D322" s="2944"/>
      <c r="E322" s="2944"/>
      <c r="F322" s="2944">
        <v>960</v>
      </c>
      <c r="G322" s="2957"/>
    </row>
    <row r="323" spans="1:7" s="2778" customFormat="1" ht="14.25" customHeight="1">
      <c r="A323" s="2944" t="s">
        <v>306</v>
      </c>
      <c r="B323" s="2944" t="s">
        <v>3043</v>
      </c>
      <c r="C323" s="2944"/>
      <c r="D323" s="2944"/>
      <c r="E323" s="2944"/>
      <c r="F323" s="2944">
        <v>880</v>
      </c>
      <c r="G323" s="2957"/>
    </row>
    <row r="324" spans="1:7" s="2778" customFormat="1" ht="14.25" customHeight="1">
      <c r="A324" s="2944" t="s">
        <v>306</v>
      </c>
      <c r="B324" s="2944" t="s">
        <v>3045</v>
      </c>
      <c r="C324" s="2944"/>
      <c r="D324" s="2944"/>
      <c r="E324" s="2944"/>
      <c r="F324" s="2944">
        <v>930</v>
      </c>
      <c r="G324" s="2957"/>
    </row>
    <row r="325" spans="1:7" s="2778" customFormat="1" ht="14.25" customHeight="1">
      <c r="A325" s="2944" t="s">
        <v>306</v>
      </c>
      <c r="B325" s="2945" t="s">
        <v>3047</v>
      </c>
      <c r="C325" s="2944"/>
      <c r="D325" s="2944"/>
      <c r="E325" s="2944"/>
      <c r="F325" s="2944">
        <v>900</v>
      </c>
      <c r="G325" s="2957"/>
    </row>
    <row r="326" spans="1:7" s="2778" customFormat="1" ht="14.25" customHeight="1" thickBot="1">
      <c r="A326" s="2958" t="s">
        <v>306</v>
      </c>
      <c r="B326" s="2951" t="s">
        <v>3049</v>
      </c>
      <c r="C326" s="2951"/>
      <c r="D326" s="2951"/>
      <c r="E326" s="2951"/>
      <c r="F326" s="2951">
        <v>790</v>
      </c>
      <c r="G326" s="2959"/>
    </row>
    <row r="327" spans="1:7" s="2778" customFormat="1" ht="14.25" customHeight="1">
      <c r="A327" s="2949" t="s">
        <v>307</v>
      </c>
      <c r="B327" s="2940" t="s">
        <v>3148</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3149</v>
      </c>
      <c r="C329" s="2944">
        <v>2730</v>
      </c>
      <c r="D329" s="2944">
        <v>2690</v>
      </c>
      <c r="E329" s="2944">
        <v>3100</v>
      </c>
      <c r="F329" s="2944">
        <v>660</v>
      </c>
      <c r="G329" s="2944">
        <v>1610</v>
      </c>
    </row>
    <row r="330" spans="1:7" s="2778" customFormat="1" ht="14.25" customHeight="1">
      <c r="A330" s="2944" t="s">
        <v>307</v>
      </c>
      <c r="B330" s="2944" t="s">
        <v>3150</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2883</v>
      </c>
      <c r="C332" s="2944">
        <v>3520</v>
      </c>
      <c r="D332" s="2944">
        <v>3480</v>
      </c>
      <c r="E332" s="2944">
        <v>3830</v>
      </c>
      <c r="F332" s="2944">
        <v>720</v>
      </c>
      <c r="G332" s="2944">
        <v>2090</v>
      </c>
    </row>
    <row r="333" spans="1:7" s="2778" customFormat="1" ht="14.25" customHeight="1">
      <c r="A333" s="2944" t="s">
        <v>307</v>
      </c>
      <c r="B333" s="2944" t="s">
        <v>3151</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2893</v>
      </c>
      <c r="C336" s="2944">
        <v>3570</v>
      </c>
      <c r="D336" s="2944">
        <v>3530</v>
      </c>
      <c r="E336" s="2944">
        <v>3880</v>
      </c>
      <c r="F336" s="2944">
        <v>770</v>
      </c>
      <c r="G336" s="2944">
        <v>2110</v>
      </c>
    </row>
    <row r="337" spans="1:10" s="2778" customFormat="1" ht="14.25" customHeight="1">
      <c r="A337" s="2944" t="s">
        <v>307</v>
      </c>
      <c r="B337" s="2944" t="s">
        <v>3152</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3153</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3154</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2918</v>
      </c>
      <c r="C345" s="2944">
        <v>3190</v>
      </c>
      <c r="D345" s="2944">
        <v>3140</v>
      </c>
      <c r="E345" s="2944">
        <v>3450</v>
      </c>
      <c r="F345" s="2944">
        <v>720</v>
      </c>
      <c r="G345" s="2944">
        <v>1880</v>
      </c>
      <c r="J345" s="2778"/>
    </row>
    <row r="346" spans="1:10">
      <c r="A346" s="2944" t="s">
        <v>307</v>
      </c>
      <c r="B346" s="2944" t="s">
        <v>3155</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2927</v>
      </c>
      <c r="C348" s="2944">
        <v>4000</v>
      </c>
      <c r="D348" s="2944">
        <v>3950</v>
      </c>
      <c r="E348" s="2944">
        <v>4430</v>
      </c>
      <c r="F348" s="2944">
        <v>760</v>
      </c>
      <c r="G348" s="2944">
        <v>2360</v>
      </c>
      <c r="J348" s="2778"/>
    </row>
    <row r="349" spans="1:10">
      <c r="A349" s="2944" t="s">
        <v>307</v>
      </c>
      <c r="B349" s="2944" t="s">
        <v>2932</v>
      </c>
      <c r="C349" s="2944">
        <v>3820</v>
      </c>
      <c r="D349" s="2944">
        <v>3780</v>
      </c>
      <c r="E349" s="2944">
        <v>4170</v>
      </c>
      <c r="F349" s="2944">
        <v>710</v>
      </c>
      <c r="G349" s="2944">
        <v>2260</v>
      </c>
      <c r="J349" s="2778"/>
    </row>
    <row r="350" spans="1:10">
      <c r="A350" s="2944" t="s">
        <v>307</v>
      </c>
      <c r="B350" s="2944" t="s">
        <v>3156</v>
      </c>
      <c r="C350" s="2944">
        <v>3760</v>
      </c>
      <c r="D350" s="2944">
        <v>3730</v>
      </c>
      <c r="E350" s="2944">
        <v>4100</v>
      </c>
      <c r="F350" s="2944">
        <v>800</v>
      </c>
      <c r="G350" s="2944">
        <v>2230</v>
      </c>
      <c r="J350" s="2778"/>
    </row>
    <row r="351" spans="1:10">
      <c r="A351" s="2944" t="s">
        <v>307</v>
      </c>
      <c r="B351" s="2944" t="s">
        <v>2940</v>
      </c>
      <c r="C351" s="2944">
        <v>3610</v>
      </c>
      <c r="D351" s="2944">
        <v>3580</v>
      </c>
      <c r="E351" s="2944">
        <v>3930</v>
      </c>
      <c r="F351" s="2944">
        <v>700</v>
      </c>
      <c r="G351" s="2944">
        <v>2140</v>
      </c>
      <c r="J351" s="2778"/>
    </row>
    <row r="352" spans="1:10">
      <c r="A352" s="2944" t="s">
        <v>307</v>
      </c>
      <c r="B352" s="2944" t="s">
        <v>2945</v>
      </c>
      <c r="C352" s="2944">
        <v>3670</v>
      </c>
      <c r="D352" s="2944">
        <v>3630</v>
      </c>
      <c r="E352" s="2944">
        <v>4000</v>
      </c>
      <c r="F352" s="2944">
        <v>750</v>
      </c>
      <c r="G352" s="2944">
        <v>2180</v>
      </c>
    </row>
    <row r="353" spans="1:7" s="2779" customFormat="1">
      <c r="A353" s="2944" t="s">
        <v>307</v>
      </c>
      <c r="B353" s="2944" t="s">
        <v>3157</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2965</v>
      </c>
      <c r="C355" s="2944">
        <v>3650</v>
      </c>
      <c r="D355" s="2944">
        <v>3610</v>
      </c>
      <c r="E355" s="2944">
        <v>4200</v>
      </c>
      <c r="F355" s="2944">
        <v>640</v>
      </c>
      <c r="G355" s="2944">
        <v>2160</v>
      </c>
    </row>
    <row r="356" spans="1:7" s="2779" customFormat="1">
      <c r="A356" s="2944" t="s">
        <v>307</v>
      </c>
      <c r="B356" s="2944" t="s">
        <v>2972</v>
      </c>
      <c r="C356" s="2944">
        <v>3260</v>
      </c>
      <c r="D356" s="2944">
        <v>3230</v>
      </c>
      <c r="E356" s="2944">
        <v>3740</v>
      </c>
      <c r="F356" s="2944">
        <v>600</v>
      </c>
      <c r="G356" s="2944">
        <v>1930</v>
      </c>
    </row>
    <row r="357" spans="1:7" s="2779" customFormat="1" ht="12" thickBot="1">
      <c r="A357" s="2952" t="s">
        <v>307</v>
      </c>
      <c r="B357" s="2955" t="s">
        <v>3158</v>
      </c>
      <c r="C357" s="2955">
        <v>3690</v>
      </c>
      <c r="D357" s="2955">
        <v>3650</v>
      </c>
      <c r="E357" s="2955">
        <v>4020</v>
      </c>
      <c r="F357" s="2955">
        <v>700</v>
      </c>
      <c r="G357" s="2955">
        <v>2190</v>
      </c>
    </row>
    <row r="358" spans="1:7" s="2779" customFormat="1">
      <c r="A358" s="2949" t="s">
        <v>3159</v>
      </c>
      <c r="B358" s="2940" t="s">
        <v>3160</v>
      </c>
      <c r="C358" s="2940">
        <v>2080</v>
      </c>
      <c r="D358" s="2940">
        <v>2040</v>
      </c>
      <c r="E358" s="2940">
        <v>2010</v>
      </c>
      <c r="F358" s="2940">
        <v>530</v>
      </c>
      <c r="G358" s="2956">
        <v>1230</v>
      </c>
    </row>
    <row r="359" spans="1:7" s="2779" customFormat="1">
      <c r="A359" s="2944" t="s">
        <v>3159</v>
      </c>
      <c r="B359" s="2944" t="s">
        <v>3161</v>
      </c>
      <c r="C359" s="2944">
        <v>1850</v>
      </c>
      <c r="D359" s="2944">
        <v>1820</v>
      </c>
      <c r="E359" s="2944">
        <v>1780</v>
      </c>
      <c r="F359" s="2944">
        <v>520</v>
      </c>
      <c r="G359" s="2957">
        <v>1100</v>
      </c>
    </row>
    <row r="360" spans="1:7" s="2779" customFormat="1">
      <c r="A360" s="2944" t="s">
        <v>3159</v>
      </c>
      <c r="B360" s="2944" t="s">
        <v>3162</v>
      </c>
      <c r="C360" s="2944">
        <v>2020</v>
      </c>
      <c r="D360" s="2944">
        <v>1990</v>
      </c>
      <c r="E360" s="2944">
        <v>1950</v>
      </c>
      <c r="F360" s="2944">
        <v>500</v>
      </c>
      <c r="G360" s="2957">
        <v>1200</v>
      </c>
    </row>
    <row r="361" spans="1:7" s="2779" customFormat="1">
      <c r="A361" s="2944" t="s">
        <v>3159</v>
      </c>
      <c r="B361" s="2944" t="s">
        <v>153</v>
      </c>
      <c r="C361" s="2944">
        <v>2260</v>
      </c>
      <c r="D361" s="2944">
        <v>2220</v>
      </c>
      <c r="E361" s="2944">
        <v>2180</v>
      </c>
      <c r="F361" s="2944">
        <v>580</v>
      </c>
      <c r="G361" s="2957">
        <v>1340</v>
      </c>
    </row>
    <row r="362" spans="1:7" s="2779" customFormat="1">
      <c r="A362" s="2944" t="s">
        <v>3159</v>
      </c>
      <c r="B362" s="2944" t="s">
        <v>3163</v>
      </c>
      <c r="C362" s="2944">
        <v>2650</v>
      </c>
      <c r="D362" s="2944">
        <v>2610</v>
      </c>
      <c r="E362" s="2944">
        <v>2570</v>
      </c>
      <c r="F362" s="2944">
        <v>630</v>
      </c>
      <c r="G362" s="2957">
        <v>1570</v>
      </c>
    </row>
    <row r="363" spans="1:7" s="2779" customFormat="1">
      <c r="A363" s="2944" t="s">
        <v>3159</v>
      </c>
      <c r="B363" s="2944" t="s">
        <v>2884</v>
      </c>
      <c r="C363" s="2944">
        <v>2390</v>
      </c>
      <c r="D363" s="2944">
        <v>2360</v>
      </c>
      <c r="E363" s="2944">
        <v>2320</v>
      </c>
      <c r="F363" s="2944">
        <v>600</v>
      </c>
      <c r="G363" s="2957">
        <v>1420</v>
      </c>
    </row>
    <row r="364" spans="1:7" s="2779" customFormat="1">
      <c r="A364" s="2944" t="s">
        <v>3159</v>
      </c>
      <c r="B364" s="2944" t="s">
        <v>3164</v>
      </c>
      <c r="C364" s="2944">
        <v>2050</v>
      </c>
      <c r="D364" s="2944">
        <v>2030</v>
      </c>
      <c r="E364" s="2944">
        <v>1990</v>
      </c>
      <c r="F364" s="2944">
        <v>550</v>
      </c>
      <c r="G364" s="2957">
        <v>1220</v>
      </c>
    </row>
    <row r="365" spans="1:7" s="2779" customFormat="1">
      <c r="A365" s="2944" t="s">
        <v>3159</v>
      </c>
      <c r="B365" s="2944" t="s">
        <v>200</v>
      </c>
      <c r="C365" s="2944">
        <v>2140</v>
      </c>
      <c r="D365" s="2944">
        <v>2100</v>
      </c>
      <c r="E365" s="2944">
        <v>2060</v>
      </c>
      <c r="F365" s="2944">
        <v>540</v>
      </c>
      <c r="G365" s="2957">
        <v>1270</v>
      </c>
    </row>
    <row r="366" spans="1:7" s="2779" customFormat="1">
      <c r="A366" s="2944" t="s">
        <v>3159</v>
      </c>
      <c r="B366" s="2944" t="s">
        <v>2891</v>
      </c>
      <c r="C366" s="2944">
        <v>2410</v>
      </c>
      <c r="D366" s="2944">
        <v>2370</v>
      </c>
      <c r="E366" s="2944">
        <v>2330</v>
      </c>
      <c r="F366" s="2944">
        <v>570</v>
      </c>
      <c r="G366" s="2957">
        <v>1440</v>
      </c>
    </row>
    <row r="367" spans="1:7" s="2779" customFormat="1">
      <c r="A367" s="2944" t="s">
        <v>3159</v>
      </c>
      <c r="B367" s="2944" t="s">
        <v>3165</v>
      </c>
      <c r="C367" s="2944">
        <v>2300</v>
      </c>
      <c r="D367" s="2944">
        <v>2260</v>
      </c>
      <c r="E367" s="2944">
        <v>2220</v>
      </c>
      <c r="F367" s="2944">
        <v>560</v>
      </c>
      <c r="G367" s="2957">
        <v>1370</v>
      </c>
    </row>
    <row r="368" spans="1:7" s="2779" customFormat="1">
      <c r="A368" s="2944" t="s">
        <v>3159</v>
      </c>
      <c r="B368" s="2944" t="s">
        <v>3166</v>
      </c>
      <c r="C368" s="2944">
        <v>2430</v>
      </c>
      <c r="D368" s="2944">
        <v>2390</v>
      </c>
      <c r="E368" s="2944">
        <v>2350</v>
      </c>
      <c r="F368" s="2944">
        <v>570</v>
      </c>
      <c r="G368" s="2957">
        <v>1450</v>
      </c>
    </row>
    <row r="369" spans="1:7" s="2779" customFormat="1">
      <c r="A369" s="2944" t="s">
        <v>3159</v>
      </c>
      <c r="B369" s="2944" t="s">
        <v>214</v>
      </c>
      <c r="C369" s="2944">
        <v>2320</v>
      </c>
      <c r="D369" s="2944">
        <v>2290</v>
      </c>
      <c r="E369" s="2944">
        <v>2250</v>
      </c>
      <c r="F369" s="2944">
        <v>550</v>
      </c>
      <c r="G369" s="2957">
        <v>1380</v>
      </c>
    </row>
    <row r="370" spans="1:7" s="2779" customFormat="1">
      <c r="A370" s="2944" t="s">
        <v>3159</v>
      </c>
      <c r="B370" s="2944" t="s">
        <v>221</v>
      </c>
      <c r="C370" s="2944">
        <v>2190</v>
      </c>
      <c r="D370" s="2944">
        <v>2170</v>
      </c>
      <c r="E370" s="2944">
        <v>2130</v>
      </c>
      <c r="F370" s="2944">
        <v>530</v>
      </c>
      <c r="G370" s="2957">
        <v>1310</v>
      </c>
    </row>
    <row r="371" spans="1:7" s="2779" customFormat="1">
      <c r="A371" s="2944" t="s">
        <v>3159</v>
      </c>
      <c r="B371" s="2944" t="s">
        <v>229</v>
      </c>
      <c r="C371" s="2944">
        <v>2460</v>
      </c>
      <c r="D371" s="2944">
        <v>2420</v>
      </c>
      <c r="E371" s="2944">
        <v>2370</v>
      </c>
      <c r="F371" s="2944">
        <v>560</v>
      </c>
      <c r="G371" s="2957">
        <v>1470</v>
      </c>
    </row>
    <row r="372" spans="1:7" s="2779" customFormat="1">
      <c r="A372" s="2944" t="s">
        <v>3159</v>
      </c>
      <c r="B372" s="2944" t="s">
        <v>3167</v>
      </c>
      <c r="C372" s="2944">
        <v>2250</v>
      </c>
      <c r="D372" s="2944">
        <v>2210</v>
      </c>
      <c r="E372" s="2944">
        <v>2180</v>
      </c>
      <c r="F372" s="2944">
        <v>550</v>
      </c>
      <c r="G372" s="2957">
        <v>1340</v>
      </c>
    </row>
    <row r="373" spans="1:7" s="2779" customFormat="1">
      <c r="A373" s="2944" t="s">
        <v>3159</v>
      </c>
      <c r="B373" s="2944" t="s">
        <v>258</v>
      </c>
      <c r="C373" s="2944">
        <v>2210</v>
      </c>
      <c r="D373" s="2944">
        <v>2190</v>
      </c>
      <c r="E373" s="2944">
        <v>2150</v>
      </c>
      <c r="F373" s="2944">
        <v>530</v>
      </c>
      <c r="G373" s="2957">
        <v>1320</v>
      </c>
    </row>
    <row r="374" spans="1:7" s="2779" customFormat="1">
      <c r="A374" s="2944" t="s">
        <v>3159</v>
      </c>
      <c r="B374" s="2944" t="s">
        <v>266</v>
      </c>
      <c r="C374" s="2944">
        <v>2320</v>
      </c>
      <c r="D374" s="2944">
        <v>2280</v>
      </c>
      <c r="E374" s="2944">
        <v>2230</v>
      </c>
      <c r="F374" s="2944">
        <v>580</v>
      </c>
      <c r="G374" s="2957">
        <v>1380</v>
      </c>
    </row>
    <row r="375" spans="1:7" s="2779" customFormat="1">
      <c r="A375" s="2944" t="s">
        <v>3159</v>
      </c>
      <c r="B375" s="2944" t="s">
        <v>3168</v>
      </c>
      <c r="C375" s="2944">
        <v>2090</v>
      </c>
      <c r="D375" s="2944">
        <v>2050</v>
      </c>
      <c r="E375" s="2944">
        <v>2020</v>
      </c>
      <c r="F375" s="2944">
        <v>520</v>
      </c>
      <c r="G375" s="2957">
        <v>1240</v>
      </c>
    </row>
    <row r="376" spans="1:7" s="2779" customFormat="1">
      <c r="A376" s="2944" t="s">
        <v>3159</v>
      </c>
      <c r="B376" s="2944" t="s">
        <v>277</v>
      </c>
      <c r="C376" s="2944">
        <v>2010</v>
      </c>
      <c r="D376" s="2944">
        <v>1980</v>
      </c>
      <c r="E376" s="2944">
        <v>1940</v>
      </c>
      <c r="F376" s="2944">
        <v>540</v>
      </c>
      <c r="G376" s="2957">
        <v>1190</v>
      </c>
    </row>
    <row r="377" spans="1:7" s="2779" customFormat="1" ht="12" thickBot="1">
      <c r="A377" s="2952" t="s">
        <v>3159</v>
      </c>
      <c r="B377" s="2955" t="s">
        <v>2921</v>
      </c>
      <c r="C377" s="2955">
        <v>1930</v>
      </c>
      <c r="D377" s="2955">
        <v>1890</v>
      </c>
      <c r="E377" s="2955">
        <v>1860</v>
      </c>
      <c r="F377" s="2955">
        <v>530</v>
      </c>
      <c r="G377" s="2960">
        <v>1150</v>
      </c>
    </row>
    <row r="378" spans="1:7" s="2779" customFormat="1">
      <c r="A378" s="2961" t="s">
        <v>3169</v>
      </c>
      <c r="B378" s="2940" t="s">
        <v>3170</v>
      </c>
      <c r="C378" s="2940">
        <v>1520</v>
      </c>
      <c r="D378" s="2940">
        <v>1490</v>
      </c>
      <c r="E378" s="2940">
        <v>1460</v>
      </c>
      <c r="F378" s="2940">
        <v>460</v>
      </c>
      <c r="G378" s="2956">
        <v>940</v>
      </c>
    </row>
    <row r="379" spans="1:7" s="2779" customFormat="1">
      <c r="A379" s="2962" t="s">
        <v>3169</v>
      </c>
      <c r="B379" s="2944" t="s">
        <v>3171</v>
      </c>
      <c r="C379" s="2944">
        <v>1500</v>
      </c>
      <c r="D379" s="2944">
        <v>1470</v>
      </c>
      <c r="E379" s="2944">
        <v>1430</v>
      </c>
      <c r="F379" s="2944">
        <v>460</v>
      </c>
      <c r="G379" s="2957">
        <v>920</v>
      </c>
    </row>
    <row r="380" spans="1:7" s="2779" customFormat="1">
      <c r="A380" s="2962" t="s">
        <v>3169</v>
      </c>
      <c r="B380" s="2944" t="s">
        <v>3172</v>
      </c>
      <c r="C380" s="2944">
        <v>1620</v>
      </c>
      <c r="D380" s="2944">
        <v>1590</v>
      </c>
      <c r="E380" s="2944">
        <v>1560</v>
      </c>
      <c r="F380" s="2944">
        <v>480</v>
      </c>
      <c r="G380" s="2957">
        <v>1000</v>
      </c>
    </row>
    <row r="381" spans="1:7" s="2779" customFormat="1">
      <c r="A381" s="2962" t="s">
        <v>3169</v>
      </c>
      <c r="B381" s="2944" t="s">
        <v>3173</v>
      </c>
      <c r="C381" s="2944">
        <v>1460</v>
      </c>
      <c r="D381" s="2944">
        <v>1430</v>
      </c>
      <c r="E381" s="2944">
        <v>1390</v>
      </c>
      <c r="F381" s="2944">
        <v>450</v>
      </c>
      <c r="G381" s="2957">
        <v>900</v>
      </c>
    </row>
    <row r="382" spans="1:7" s="2779" customFormat="1">
      <c r="A382" s="2962" t="s">
        <v>3169</v>
      </c>
      <c r="B382" s="2944" t="s">
        <v>3174</v>
      </c>
      <c r="C382" s="2944">
        <v>1310</v>
      </c>
      <c r="D382" s="2944">
        <v>1280</v>
      </c>
      <c r="E382" s="2944">
        <v>1250</v>
      </c>
      <c r="F382" s="2944">
        <v>440</v>
      </c>
      <c r="G382" s="2957">
        <v>800</v>
      </c>
    </row>
    <row r="383" spans="1:7" s="2779" customFormat="1">
      <c r="A383" s="2962" t="s">
        <v>3169</v>
      </c>
      <c r="B383" s="2944" t="s">
        <v>3175</v>
      </c>
      <c r="C383" s="2944">
        <v>1260</v>
      </c>
      <c r="D383" s="2944">
        <v>1230</v>
      </c>
      <c r="E383" s="2944">
        <v>1200</v>
      </c>
      <c r="F383" s="2944">
        <v>420</v>
      </c>
      <c r="G383" s="2957">
        <v>770</v>
      </c>
    </row>
    <row r="384" spans="1:7" s="2779" customFormat="1" ht="12" thickBot="1">
      <c r="A384" s="2963" t="s">
        <v>3169</v>
      </c>
      <c r="B384" s="2951" t="s">
        <v>3176</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45755</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2305</v>
      </c>
      <c r="C26" s="1205">
        <v>43697</v>
      </c>
      <c r="D26" s="2571">
        <v>4.25</v>
      </c>
      <c r="E26" s="2571">
        <v>4.25</v>
      </c>
      <c r="F26" s="2571">
        <v>4.25</v>
      </c>
      <c r="G26" s="2571">
        <v>4.25</v>
      </c>
      <c r="H26" s="2571">
        <v>4.8499999999999996</v>
      </c>
      <c r="I26" s="2571"/>
      <c r="J26" s="2571"/>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4"/>
      <c r="C27" s="2575">
        <v>42301</v>
      </c>
      <c r="D27" s="2576">
        <v>4.3499999999999996</v>
      </c>
      <c r="E27" s="2576">
        <v>4.3499999999999996</v>
      </c>
      <c r="F27" s="2576">
        <v>4.75</v>
      </c>
      <c r="G27" s="2576">
        <v>4.75</v>
      </c>
      <c r="H27" s="2576">
        <v>4.9000000000000004</v>
      </c>
      <c r="I27" s="2576"/>
      <c r="J27" s="2576"/>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799" t="s">
        <v>925</v>
      </c>
      <c r="E3" s="799" t="s">
        <v>931</v>
      </c>
      <c r="F3" s="799" t="s">
        <v>925</v>
      </c>
      <c r="G3" s="799" t="s">
        <v>926</v>
      </c>
      <c r="H3" s="799" t="s">
        <v>925</v>
      </c>
      <c r="I3" s="799" t="s">
        <v>926</v>
      </c>
    </row>
    <row r="4" spans="1:9" ht="15">
      <c r="A4" s="1401" t="str">
        <f>项目基本情况!S2</f>
        <v>北京市房地产</v>
      </c>
      <c r="B4" s="799">
        <f>项目基本情况!C17</f>
        <v>143.31</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75">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75">
      <c r="A8" s="3185" t="str">
        <f>结果表!A122</f>
        <v>房地产抵押价值</v>
      </c>
      <c r="B8" s="3185"/>
      <c r="C8" s="3185"/>
      <c r="D8" s="3185" t="e">
        <f ca="1">结果表!D122</f>
        <v>#REF!</v>
      </c>
      <c r="E8" s="3185"/>
      <c r="F8" s="3185"/>
      <c r="G8" s="3185"/>
      <c r="H8" s="3185"/>
      <c r="I8" s="3185"/>
    </row>
    <row r="9" spans="1:9" ht="15">
      <c r="A9" s="3184" t="s">
        <v>927</v>
      </c>
      <c r="B9" s="3184"/>
      <c r="C9" s="3184"/>
      <c r="D9" s="3184" t="e">
        <f ca="1">结果表!D123</f>
        <v>#REF!</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75" thickBot="1">
      <c r="A13" s="3189" t="s">
        <v>927</v>
      </c>
      <c r="B13" s="3189"/>
      <c r="C13" s="3189"/>
      <c r="D13" s="3189" t="e">
        <f>结果表!D127</f>
        <v>#VALUE!</v>
      </c>
      <c r="E13" s="3189"/>
      <c r="F13" s="3189"/>
      <c r="G13" s="3189"/>
      <c r="H13" s="3189"/>
      <c r="I13" s="3189"/>
    </row>
    <row r="14" spans="1:9" ht="15" thickTop="1">
      <c r="A14" s="3190" t="s">
        <v>932</v>
      </c>
      <c r="B14" s="3190"/>
      <c r="C14" s="3190"/>
      <c r="D14" s="3190"/>
      <c r="E14" s="3190"/>
      <c r="F14" s="3190"/>
      <c r="G14" s="3190"/>
      <c r="H14" s="3190"/>
      <c r="I14" s="3190"/>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91" t="s">
        <v>949</v>
      </c>
      <c r="B1" s="3191"/>
      <c r="C1" s="3191"/>
      <c r="D1" s="3191"/>
    </row>
    <row r="2" spans="1:4" ht="18">
      <c r="A2" s="3192" t="s">
        <v>933</v>
      </c>
      <c r="B2" s="3192"/>
      <c r="C2" s="3192"/>
      <c r="D2" s="319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92" t="s">
        <v>939</v>
      </c>
      <c r="B6" s="3192"/>
      <c r="C6" s="3192"/>
      <c r="D6" s="319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3" t="s">
        <v>942</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5"/>
      <c r="C12" s="3195"/>
      <c r="D12" s="3195"/>
    </row>
    <row r="13" spans="1:4" ht="30" customHeight="1">
      <c r="A13" s="3194" t="str">
        <f>IF(项目基本情况!B8="抵押","3.抵押双方在办理抵押登记手续时，应使用本公司出具的正式《房地产评估报告》，特提醒报告使用者注意。","——")</f>
        <v>——</v>
      </c>
      <c r="B13" s="3195"/>
      <c r="C13" s="3195"/>
      <c r="D13" s="3195"/>
    </row>
    <row r="14" spans="1:4" ht="15.75" customHeight="1">
      <c r="A14" s="3194" t="str">
        <f>IF(项目基本情况!B8="抵押","4.本次评估估价师所知悉的法定优先受偿款情况说明如下：","——")</f>
        <v>——</v>
      </c>
      <c r="B14" s="3195"/>
      <c r="C14" s="3195"/>
      <c r="D14" s="3195"/>
    </row>
    <row r="15" spans="1:4" ht="42" customHeight="1">
      <c r="A15" s="3194" t="str">
        <f>IF(项目基本情况!B8="抵押","（1）"&amp;CONCATENATE(项目基本情况!L20,项目基本情况!L21,项目基本情况!L22),"——")</f>
        <v>——</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8"/>
      <c r="C21" s="3198"/>
      <c r="D21" s="3198"/>
    </row>
    <row r="22" spans="1:4" ht="18.75" customHeight="1">
      <c r="A22" s="3199" t="s">
        <v>945</v>
      </c>
      <c r="B22" s="3199"/>
      <c r="C22" s="3199"/>
      <c r="D22" s="3199"/>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5" t="s">
        <v>956</v>
      </c>
      <c r="B15" s="3200" t="s">
        <v>109</v>
      </c>
      <c r="C15" s="3201"/>
    </row>
    <row r="16" spans="1:7" ht="13.5">
      <c r="A16" s="3206"/>
      <c r="B16" s="3200" t="s">
        <v>42</v>
      </c>
      <c r="C16" s="3201"/>
    </row>
    <row r="17" spans="1:3" ht="13.5">
      <c r="A17" s="3206"/>
      <c r="B17" s="3203" t="s">
        <v>957</v>
      </c>
      <c r="C17" s="1427" t="s">
        <v>956</v>
      </c>
    </row>
    <row r="18" spans="1:3" ht="13.5">
      <c r="A18" s="3206"/>
      <c r="B18" s="3203"/>
      <c r="C18" s="1427" t="s">
        <v>958</v>
      </c>
    </row>
    <row r="19" spans="1:3" ht="13.5">
      <c r="A19" s="3206"/>
      <c r="B19" s="3203"/>
      <c r="C19" s="1427" t="s">
        <v>959</v>
      </c>
    </row>
    <row r="20" spans="1:3" ht="13.5">
      <c r="A20" s="3207"/>
      <c r="B20" s="3202" t="s">
        <v>960</v>
      </c>
      <c r="C20" s="3201"/>
    </row>
    <row r="21" spans="1:3" ht="13.5">
      <c r="A21" s="1428" t="s">
        <v>961</v>
      </c>
      <c r="B21" s="1429"/>
      <c r="C21" s="1430"/>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7" t="s">
        <v>967</v>
      </c>
    </row>
    <row r="26" spans="1:3" ht="13.5">
      <c r="A26" s="3204"/>
      <c r="B26" s="3203"/>
      <c r="C26" s="1427" t="s">
        <v>968</v>
      </c>
    </row>
    <row r="27" spans="1:3" ht="13.5">
      <c r="A27" s="3204"/>
      <c r="B27" s="3203"/>
      <c r="C27" s="1427" t="s">
        <v>969</v>
      </c>
    </row>
    <row r="28" spans="1:3" ht="13.5">
      <c r="A28" s="3204"/>
      <c r="B28" s="3203"/>
      <c r="C28" s="1427" t="s">
        <v>970</v>
      </c>
    </row>
    <row r="29" spans="1:3" ht="13.5">
      <c r="A29" s="3204"/>
      <c r="B29" s="3203"/>
      <c r="C29" s="1427" t="s">
        <v>971</v>
      </c>
    </row>
    <row r="30" spans="1:3" ht="13.5">
      <c r="A30" s="3204"/>
      <c r="B30" s="3203"/>
      <c r="C30" s="1427" t="s">
        <v>972</v>
      </c>
    </row>
    <row r="31" spans="1:3" ht="13.5">
      <c r="A31" s="3204"/>
      <c r="B31" s="3203"/>
      <c r="C31" s="1427" t="s">
        <v>973</v>
      </c>
    </row>
    <row r="32" spans="1:3" ht="13.5">
      <c r="A32" s="3204"/>
      <c r="B32" s="3203"/>
      <c r="C32" s="1427" t="s">
        <v>974</v>
      </c>
    </row>
    <row r="33" spans="1:3" ht="13.5">
      <c r="A33" s="3204"/>
      <c r="B33" s="320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45761</v>
      </c>
      <c r="C2" s="2155" t="s">
        <v>2140</v>
      </c>
      <c r="D2" s="2155"/>
      <c r="E2" s="2155"/>
      <c r="F2" s="2151"/>
      <c r="G2" s="2151"/>
      <c r="H2" s="2151"/>
    </row>
    <row r="3" spans="1:8" ht="24" customHeight="1">
      <c r="A3" s="2156" t="s">
        <v>2141</v>
      </c>
      <c r="B3" s="1217" t="s">
        <v>2142</v>
      </c>
      <c r="C3" s="1217" t="s">
        <v>2143</v>
      </c>
      <c r="D3" s="2157" t="s">
        <v>2144</v>
      </c>
      <c r="E3" s="2158" t="s">
        <v>2145</v>
      </c>
      <c r="F3" s="1217" t="s">
        <v>2146</v>
      </c>
      <c r="G3" s="1217" t="s">
        <v>2143</v>
      </c>
      <c r="H3" s="2157" t="s">
        <v>2147</v>
      </c>
    </row>
    <row r="4" spans="1:8" ht="24" customHeight="1">
      <c r="A4" s="1217" t="s">
        <v>2148</v>
      </c>
      <c r="B4" s="1217">
        <f ca="1">IF(C4&lt;B2,"已过期",1119970066)</f>
        <v>1119970066</v>
      </c>
      <c r="C4" s="2159">
        <v>45937</v>
      </c>
      <c r="D4" s="2160" t="str">
        <f ca="1">A4&amp;"（注册号："&amp;B4&amp;"）"</f>
        <v>梁津（注册号：1119970066）</v>
      </c>
      <c r="E4" s="2161" t="s">
        <v>2148</v>
      </c>
      <c r="F4" s="1217">
        <f ca="1">IF(G4&lt;B2,"已过期",96010014)</f>
        <v>96010014</v>
      </c>
      <c r="G4" s="2162">
        <v>47118</v>
      </c>
      <c r="H4" s="2163" t="str">
        <f ca="1">E4&amp;"（注册号："&amp;F4&amp;"）"</f>
        <v>梁津（注册号：96010014）</v>
      </c>
    </row>
    <row r="5" spans="1:8" ht="24" customHeight="1">
      <c r="A5" s="1217" t="s">
        <v>2149</v>
      </c>
      <c r="B5" s="1217">
        <f ca="1">IF(C5&lt;B2,"已过期",1119970111)</f>
        <v>1119970111</v>
      </c>
      <c r="C5" s="2159">
        <v>45937</v>
      </c>
      <c r="D5" s="2160" t="str">
        <f t="shared" ref="D5:D15" ca="1" si="0">A5&amp;"（注册号："&amp;B5&amp;"）"</f>
        <v>叶凌（注册号：1119970111）</v>
      </c>
      <c r="E5" s="2161" t="s">
        <v>2149</v>
      </c>
      <c r="F5" s="1217">
        <f ca="1">IF(G5&lt;B2,"已过期",94010078)</f>
        <v>94010078</v>
      </c>
      <c r="G5" s="2162">
        <v>46387</v>
      </c>
      <c r="H5" s="2163" t="str">
        <f t="shared" ref="H5:H16" ca="1" si="1">E5&amp;"（注册号："&amp;F5&amp;"）"</f>
        <v>叶凌（注册号：94010078）</v>
      </c>
    </row>
    <row r="6" spans="1:8" ht="24" customHeight="1">
      <c r="A6" s="1217" t="s">
        <v>2150</v>
      </c>
      <c r="B6" s="1217" t="str">
        <f ca="1">IF(C6&lt;B2,"已过期",1120050019)</f>
        <v>已过期</v>
      </c>
      <c r="C6" s="2159">
        <v>45410</v>
      </c>
      <c r="D6" s="2160" t="str">
        <f t="shared" ca="1" si="0"/>
        <v>王鹏（注册号：已过期）</v>
      </c>
      <c r="E6" s="2161" t="s">
        <v>2150</v>
      </c>
      <c r="F6" s="1217">
        <f ca="1">IF(G6&lt;B2,"已过期",2002110030)</f>
        <v>2002110030</v>
      </c>
      <c r="G6" s="2162">
        <v>46387</v>
      </c>
      <c r="H6" s="2163" t="str">
        <f t="shared" ca="1" si="1"/>
        <v>王鹏（注册号：2002110030）</v>
      </c>
    </row>
    <row r="7" spans="1:8" ht="24" customHeight="1">
      <c r="A7" s="1217" t="s">
        <v>2151</v>
      </c>
      <c r="B7" s="1217">
        <f ca="1">IF(C7&lt;B2,"已过期",1120000080)</f>
        <v>1120000080</v>
      </c>
      <c r="C7" s="2159">
        <v>45937</v>
      </c>
      <c r="D7" s="2160" t="str">
        <f t="shared" ca="1" si="0"/>
        <v>欧红伟（注册号：1120000080）</v>
      </c>
      <c r="E7" s="2161" t="s">
        <v>2151</v>
      </c>
      <c r="F7" s="1217">
        <f ca="1">IF(G7&lt;B2,"已过期",2000110082)</f>
        <v>2000110082</v>
      </c>
      <c r="G7" s="2162">
        <v>46387</v>
      </c>
      <c r="H7" s="2163" t="str">
        <f t="shared" ca="1" si="1"/>
        <v>欧红伟（注册号：2000110082）</v>
      </c>
    </row>
    <row r="8" spans="1:8" ht="24" customHeight="1">
      <c r="A8" s="1217" t="s">
        <v>2152</v>
      </c>
      <c r="B8" s="1217">
        <f ca="1">IF(C8&lt;B2,"已过期",1419970001)</f>
        <v>1419970001</v>
      </c>
      <c r="C8" s="2159">
        <v>45937</v>
      </c>
      <c r="D8" s="2160" t="str">
        <f t="shared" ca="1" si="0"/>
        <v>吴薇（注册号：1419970001）</v>
      </c>
      <c r="E8" s="2161" t="s">
        <v>2152</v>
      </c>
      <c r="F8" s="1217">
        <f ca="1">IF(G8&lt;B2,"已过期",2002110125)</f>
        <v>2002110125</v>
      </c>
      <c r="G8" s="2162">
        <v>47118</v>
      </c>
      <c r="H8" s="2163" t="str">
        <f t="shared" ca="1" si="1"/>
        <v>吴薇（注册号：2002110125）</v>
      </c>
    </row>
    <row r="9" spans="1:8" ht="24" customHeight="1">
      <c r="A9" s="1217" t="s">
        <v>2153</v>
      </c>
      <c r="B9" s="1217" t="str">
        <f ca="1">IF(C9&lt;B2,"已过期",1120060040)</f>
        <v>已过期</v>
      </c>
      <c r="C9" s="2164">
        <v>45592</v>
      </c>
      <c r="D9" s="2160" t="str">
        <f t="shared" ca="1" si="0"/>
        <v>陈颖（注册号：已过期）</v>
      </c>
      <c r="E9" s="2161" t="s">
        <v>2153</v>
      </c>
      <c r="F9" s="1217">
        <f ca="1">IF(G9&lt;B2,"已过期",2004110096)</f>
        <v>2004110096</v>
      </c>
      <c r="G9" s="2162">
        <v>47118</v>
      </c>
      <c r="H9" s="2163" t="str">
        <f t="shared" ca="1" si="1"/>
        <v>陈颖（注册号：2004110096）</v>
      </c>
    </row>
    <row r="10" spans="1:8" ht="24" customHeight="1">
      <c r="A10" s="1217" t="s">
        <v>2154</v>
      </c>
      <c r="B10" s="1217" t="str">
        <f ca="1">IF(C10&lt;B2,"已过期",1120100036)</f>
        <v>已过期</v>
      </c>
      <c r="C10" s="2164">
        <v>45752</v>
      </c>
      <c r="D10" s="2160" t="str">
        <f t="shared" ca="1" si="0"/>
        <v>崔锴（注册号：已过期）</v>
      </c>
      <c r="E10" s="2161" t="s">
        <v>2154</v>
      </c>
      <c r="F10" s="1217">
        <f ca="1">IF(G10&lt;B2,"已过期",2010110070)</f>
        <v>2010110070</v>
      </c>
      <c r="G10" s="2162">
        <v>47907</v>
      </c>
      <c r="H10" s="2163" t="str">
        <f t="shared" ca="1" si="1"/>
        <v>崔锴（注册号：2010110070）</v>
      </c>
    </row>
    <row r="11" spans="1:8" ht="24" customHeight="1">
      <c r="A11" s="1217" t="s">
        <v>2155</v>
      </c>
      <c r="B11" s="1217">
        <f ca="1">IF(C11&lt;B2,"已过期",1120070131)</f>
        <v>1120070131</v>
      </c>
      <c r="C11" s="2159">
        <v>45937</v>
      </c>
      <c r="D11" s="2160" t="str">
        <f t="shared" ca="1" si="0"/>
        <v>郑燚（注册号：1120070131）</v>
      </c>
      <c r="E11" s="2161" t="s">
        <v>2155</v>
      </c>
      <c r="F11" s="1217">
        <f ca="1">IF(G11&lt;B2,"已过期",2014110011)</f>
        <v>2014110011</v>
      </c>
      <c r="G11" s="2162">
        <v>49302</v>
      </c>
      <c r="H11" s="2163" t="str">
        <f t="shared" ca="1" si="1"/>
        <v>郑燚（注册号：2014110011）</v>
      </c>
    </row>
    <row r="12" spans="1:8" ht="24" customHeight="1">
      <c r="A12" s="1217" t="s">
        <v>2156</v>
      </c>
      <c r="B12" s="1217">
        <f ca="1">IF(C12&lt;B2,"已过期",1120040230)</f>
        <v>1120040230</v>
      </c>
      <c r="C12" s="2164">
        <v>45937</v>
      </c>
      <c r="D12" s="2160" t="str">
        <f t="shared" ca="1" si="0"/>
        <v>苏海（注册号：1120040230）</v>
      </c>
      <c r="E12" s="2161" t="s">
        <v>2156</v>
      </c>
      <c r="F12" s="1217">
        <f ca="1">IF(G12&lt;B2,"已过期",98030020)</f>
        <v>98030020</v>
      </c>
      <c r="G12" s="2162">
        <v>47118</v>
      </c>
      <c r="H12" s="2163" t="str">
        <f t="shared" ca="1" si="1"/>
        <v>苏海（注册号：98030020）</v>
      </c>
    </row>
    <row r="13" spans="1:8" ht="24" customHeight="1">
      <c r="A13" s="1217" t="s">
        <v>2157</v>
      </c>
      <c r="B13" s="1217" t="str">
        <f ca="1">IF(C13&lt;B2,"已过期",1120020033)</f>
        <v>已过期</v>
      </c>
      <c r="C13" s="2159">
        <v>45375</v>
      </c>
      <c r="D13" s="2160" t="str">
        <f t="shared" ca="1" si="0"/>
        <v>刘敬东（注册号：已过期）</v>
      </c>
      <c r="E13" s="2161" t="s">
        <v>2157</v>
      </c>
      <c r="F13" s="1217">
        <f ca="1">IF(G13&lt;B2,"已过期",2000110137)</f>
        <v>2000110137</v>
      </c>
      <c r="G13" s="2162">
        <v>46387</v>
      </c>
      <c r="H13" s="2163" t="str">
        <f t="shared" ca="1" si="1"/>
        <v>刘敬东（注册号：2000110137）</v>
      </c>
    </row>
    <row r="14" spans="1:8" ht="24" customHeight="1">
      <c r="A14" s="1217" t="s">
        <v>2158</v>
      </c>
      <c r="B14" s="1217" t="str">
        <f ca="1">IF(C14&lt;B2,"已过期",1119980106)</f>
        <v>已过期</v>
      </c>
      <c r="C14" s="2164">
        <v>44969</v>
      </c>
      <c r="D14" s="2160" t="str">
        <f t="shared" ca="1" si="0"/>
        <v>刘俊财（注册号：已过期）</v>
      </c>
      <c r="E14" s="2161" t="s">
        <v>2158</v>
      </c>
      <c r="F14" s="1217">
        <f ca="1">IF(G14&lt;B2,"已过期",96010063)</f>
        <v>96010063</v>
      </c>
      <c r="G14" s="2162">
        <v>47483</v>
      </c>
      <c r="H14" s="2163" t="str">
        <f t="shared" ca="1" si="1"/>
        <v>刘俊财（注册号：96010063）</v>
      </c>
    </row>
    <row r="15" spans="1:8" ht="24" customHeight="1">
      <c r="A15" s="1217" t="s">
        <v>2433</v>
      </c>
      <c r="B15" s="1217">
        <v>1120210056</v>
      </c>
      <c r="C15" s="2164">
        <v>45410</v>
      </c>
      <c r="D15" s="2160" t="str">
        <f t="shared" si="0"/>
        <v>宁小鳗（注册号：1120210056）</v>
      </c>
      <c r="E15" s="2161" t="s">
        <v>2159</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08" t="s">
        <v>2160</v>
      </c>
      <c r="B17" s="3208"/>
      <c r="C17" s="3208"/>
      <c r="D17" s="3208"/>
      <c r="E17" s="3208"/>
      <c r="F17" s="3208"/>
      <c r="G17" s="3208"/>
      <c r="H17" s="3208"/>
    </row>
    <row r="18" spans="1:8" ht="24" customHeight="1">
      <c r="A18" s="3209" t="s">
        <v>2161</v>
      </c>
      <c r="B18" s="3209"/>
      <c r="C18" s="3209"/>
      <c r="D18" s="2157"/>
      <c r="E18" s="3210" t="s">
        <v>2162</v>
      </c>
      <c r="F18" s="3209"/>
      <c r="G18" s="3209"/>
    </row>
    <row r="19" spans="1:8" s="2167" customFormat="1" ht="24" customHeight="1">
      <c r="A19" s="2166" t="s">
        <v>2163</v>
      </c>
      <c r="B19" s="1217" t="s">
        <v>2164</v>
      </c>
      <c r="C19" s="1217" t="s">
        <v>2143</v>
      </c>
      <c r="D19" s="2157"/>
      <c r="E19" s="2161" t="s">
        <v>2163</v>
      </c>
      <c r="F19" s="1217" t="s">
        <v>2164</v>
      </c>
      <c r="G19" s="1217"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2025-04-14T05:59:06Z</dcterms:modified>
</cp:coreProperties>
</file>