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1FCBE7DE-E0C4-4B35-BFAC-C3101156D44D}" xr6:coauthVersionLast="46" xr6:coauthVersionMax="46" xr10:uidLastSave="{00000000-0000-0000-0000-000000000000}"/>
  <bookViews>
    <workbookView xWindow="-120" yWindow="-120" windowWidth="19440" windowHeight="15000" tabRatio="897"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80" r:id="rId45"/>
    <sheet name="面积拆分" sheetId="79" r:id="rId46"/>
    <sheet name="Sheet3" sheetId="81" r:id="rId47"/>
    <sheet name="Sheet4" sheetId="82"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44" hidden="1">土地案例!$A$1:$O$51</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结果表!$A$1:$O$127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88" i="9" l="1"/>
  <c r="E38" i="39"/>
  <c r="C38" i="39"/>
  <c r="L7" i="1"/>
  <c r="E8" i="79"/>
  <c r="D3" i="79"/>
  <c r="D8" i="79"/>
  <c r="C8" i="79"/>
  <c r="C3" i="79"/>
  <c r="C2" i="79"/>
  <c r="B8" i="79"/>
  <c r="J6" i="79"/>
  <c r="J5" i="79"/>
  <c r="J4" i="79"/>
  <c r="J2" i="79"/>
  <c r="K2" i="79" s="1"/>
  <c r="E7" i="79"/>
  <c r="E6" i="79"/>
  <c r="E5" i="79"/>
  <c r="E4" i="79"/>
  <c r="E3" i="79"/>
  <c r="E2" i="79"/>
  <c r="D7" i="79"/>
  <c r="D6" i="79"/>
  <c r="D5" i="79"/>
  <c r="D4" i="79"/>
  <c r="D2" i="79"/>
  <c r="C7" i="79"/>
  <c r="C6" i="79"/>
  <c r="C5" i="79"/>
  <c r="C4" i="79"/>
  <c r="G8" i="79"/>
  <c r="F8" i="79"/>
  <c r="H8" i="79" s="1"/>
  <c r="C5" i="81"/>
  <c r="C6" i="81"/>
  <c r="C7" i="81"/>
  <c r="C8" i="81"/>
  <c r="C9" i="81"/>
  <c r="C10" i="81"/>
  <c r="C11" i="81"/>
  <c r="C12" i="81"/>
  <c r="C13" i="81"/>
  <c r="C14" i="81"/>
  <c r="C15" i="81"/>
  <c r="C16" i="81"/>
  <c r="C17" i="81"/>
  <c r="C18" i="81"/>
  <c r="C19" i="81"/>
  <c r="C20" i="81"/>
  <c r="C21" i="81"/>
  <c r="C22" i="81"/>
  <c r="C23" i="81"/>
  <c r="C24" i="81"/>
  <c r="C25" i="81"/>
  <c r="C26" i="81"/>
  <c r="C27" i="81"/>
  <c r="C28" i="81"/>
  <c r="C29" i="81"/>
  <c r="C30" i="81"/>
  <c r="C31" i="81"/>
  <c r="C32" i="81"/>
  <c r="C33" i="81"/>
  <c r="C34" i="81"/>
  <c r="C35" i="81"/>
  <c r="C36" i="81"/>
  <c r="C37" i="81"/>
  <c r="C38" i="81"/>
  <c r="C39" i="81"/>
  <c r="C40" i="81"/>
  <c r="C41" i="81"/>
  <c r="C42" i="81"/>
  <c r="C43" i="81"/>
  <c r="C44" i="81"/>
  <c r="C45" i="81"/>
  <c r="C46" i="81"/>
  <c r="C47" i="81"/>
  <c r="C48" i="81"/>
  <c r="C49" i="81"/>
  <c r="C50" i="81"/>
  <c r="C51" i="81"/>
  <c r="C52" i="81"/>
  <c r="C53" i="81"/>
  <c r="C54" i="81"/>
  <c r="C55"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C101" i="81"/>
  <c r="C102" i="81"/>
  <c r="C103" i="81"/>
  <c r="C104" i="81"/>
  <c r="C105" i="81"/>
  <c r="C106" i="81"/>
  <c r="C107" i="81"/>
  <c r="C108" i="81"/>
  <c r="C109" i="81"/>
  <c r="C110" i="81"/>
  <c r="C301" i="81"/>
  <c r="C302" i="81"/>
  <c r="C303" i="81"/>
  <c r="C304" i="81"/>
  <c r="C305" i="81"/>
  <c r="C306" i="81"/>
  <c r="C307" i="81"/>
  <c r="C308" i="81"/>
  <c r="C309" i="81"/>
  <c r="C310" i="81"/>
  <c r="C311" i="81"/>
  <c r="C312" i="81"/>
  <c r="C313" i="81"/>
  <c r="C314" i="81"/>
  <c r="C315" i="81"/>
  <c r="C316" i="81"/>
  <c r="C317" i="81"/>
  <c r="C318" i="81"/>
  <c r="C319" i="81"/>
  <c r="C320" i="81"/>
  <c r="C321" i="81"/>
  <c r="C322" i="81"/>
  <c r="C323" i="81"/>
  <c r="C324" i="81"/>
  <c r="C325" i="81"/>
  <c r="C326" i="81"/>
  <c r="C327" i="81"/>
  <c r="C328" i="81"/>
  <c r="C329" i="81"/>
  <c r="C330" i="81"/>
  <c r="C331" i="81"/>
  <c r="C332" i="81"/>
  <c r="C333" i="81"/>
  <c r="C334" i="81"/>
  <c r="C335" i="81"/>
  <c r="C336" i="81"/>
  <c r="C337" i="81"/>
  <c r="C338" i="81"/>
  <c r="C339" i="81"/>
  <c r="C340" i="81"/>
  <c r="C341" i="81"/>
  <c r="C342" i="81"/>
  <c r="C343" i="81"/>
  <c r="C344" i="81"/>
  <c r="C345" i="81"/>
  <c r="C346" i="81"/>
  <c r="C347" i="81"/>
  <c r="C348" i="81"/>
  <c r="C349" i="81"/>
  <c r="C350" i="81"/>
  <c r="C351" i="81"/>
  <c r="C352" i="81"/>
  <c r="C353" i="81"/>
  <c r="C359" i="81"/>
  <c r="C360" i="81"/>
  <c r="C361" i="81"/>
  <c r="C362" i="81"/>
  <c r="C363" i="81"/>
  <c r="C364" i="81"/>
  <c r="C365" i="81"/>
  <c r="C366" i="81"/>
  <c r="C367" i="81"/>
  <c r="C368" i="81"/>
  <c r="C369" i="81"/>
  <c r="C370" i="81"/>
  <c r="C371" i="81"/>
  <c r="C372" i="81"/>
  <c r="C373" i="81"/>
  <c r="C374" i="81"/>
  <c r="C375" i="81"/>
  <c r="C376" i="81"/>
  <c r="C377" i="81"/>
  <c r="C378" i="81"/>
  <c r="C379" i="81"/>
  <c r="C380" i="81"/>
  <c r="C381" i="81"/>
  <c r="C382" i="81"/>
  <c r="C383" i="81"/>
  <c r="C384" i="81"/>
  <c r="C385" i="81"/>
  <c r="C386" i="81"/>
  <c r="C387" i="81"/>
  <c r="C388" i="81"/>
  <c r="C389" i="81"/>
  <c r="C390" i="81"/>
  <c r="C391" i="81"/>
  <c r="C392" i="81"/>
  <c r="C393" i="81"/>
  <c r="C394" i="81"/>
  <c r="C395" i="81"/>
  <c r="C396" i="81"/>
  <c r="C397" i="81"/>
  <c r="C398" i="81"/>
  <c r="C399" i="81"/>
  <c r="C400" i="81"/>
  <c r="C401" i="81"/>
  <c r="C402" i="81"/>
  <c r="C403" i="81"/>
  <c r="C404" i="81"/>
  <c r="C405" i="81"/>
  <c r="C406" i="81"/>
  <c r="C407" i="81"/>
  <c r="C408" i="81"/>
  <c r="C409" i="81"/>
  <c r="C600" i="81"/>
  <c r="C601" i="81"/>
  <c r="C602" i="81"/>
  <c r="C603" i="81"/>
  <c r="C604" i="81"/>
  <c r="C605" i="81"/>
  <c r="C606" i="81"/>
  <c r="C607" i="81"/>
  <c r="C608" i="81"/>
  <c r="C609" i="81"/>
  <c r="C610" i="81"/>
  <c r="C611" i="81"/>
  <c r="C612" i="81"/>
  <c r="C613" i="81"/>
  <c r="C614" i="81"/>
  <c r="C615" i="81"/>
  <c r="C616" i="81"/>
  <c r="C617" i="81"/>
  <c r="C618" i="81"/>
  <c r="C619" i="81"/>
  <c r="C620" i="81"/>
  <c r="C621" i="81"/>
  <c r="C622" i="81"/>
  <c r="C623" i="81"/>
  <c r="C624" i="81"/>
  <c r="C625" i="81"/>
  <c r="C626" i="81"/>
  <c r="C627" i="81"/>
  <c r="C628" i="81"/>
  <c r="C629" i="81"/>
  <c r="C630" i="81"/>
  <c r="C631" i="81"/>
  <c r="C632" i="81"/>
  <c r="C633" i="81"/>
  <c r="C634" i="81"/>
  <c r="C635" i="81"/>
  <c r="C636" i="81"/>
  <c r="C637" i="81"/>
  <c r="C638" i="81"/>
  <c r="C639" i="81"/>
  <c r="C640" i="81"/>
  <c r="C641" i="81"/>
  <c r="C642" i="81"/>
  <c r="C643" i="81"/>
  <c r="C644" i="81"/>
  <c r="C645" i="81"/>
  <c r="C646" i="81"/>
  <c r="C647" i="81"/>
  <c r="C648" i="81"/>
  <c r="C649" i="81"/>
  <c r="C650" i="81"/>
  <c r="C651" i="81"/>
  <c r="C652" i="81"/>
  <c r="C658" i="81"/>
  <c r="C659" i="81"/>
  <c r="C660" i="81"/>
  <c r="C661" i="81"/>
  <c r="C662" i="81"/>
  <c r="C663" i="81"/>
  <c r="C664" i="81"/>
  <c r="C665" i="81"/>
  <c r="C666" i="81"/>
  <c r="C667" i="81"/>
  <c r="C668" i="81"/>
  <c r="C669" i="81"/>
  <c r="C670" i="81"/>
  <c r="C671" i="81"/>
  <c r="C672" i="81"/>
  <c r="C673" i="81"/>
  <c r="C674" i="81"/>
  <c r="C675" i="81"/>
  <c r="C676" i="81"/>
  <c r="C677" i="81"/>
  <c r="C678" i="81"/>
  <c r="C679" i="81"/>
  <c r="C680" i="81"/>
  <c r="C681" i="81"/>
  <c r="C682" i="81"/>
  <c r="C683" i="81"/>
  <c r="C684" i="81"/>
  <c r="C685" i="81"/>
  <c r="C686" i="81"/>
  <c r="C687" i="81"/>
  <c r="C688" i="81"/>
  <c r="C689" i="81"/>
  <c r="C690" i="81"/>
  <c r="C691" i="81"/>
  <c r="C692" i="81"/>
  <c r="C693" i="81"/>
  <c r="C694" i="81"/>
  <c r="C695" i="81"/>
  <c r="C696" i="81"/>
  <c r="C889" i="81"/>
  <c r="C890" i="81"/>
  <c r="C891" i="81"/>
  <c r="C892" i="81"/>
  <c r="C893" i="81"/>
  <c r="C894" i="81"/>
  <c r="C895" i="81"/>
  <c r="C896" i="81"/>
  <c r="C903" i="81"/>
  <c r="C904" i="81"/>
  <c r="C905" i="81"/>
  <c r="C906" i="81"/>
  <c r="C907" i="81"/>
  <c r="C908" i="81"/>
  <c r="C909" i="81"/>
  <c r="C910" i="81"/>
  <c r="C911" i="81"/>
  <c r="C912" i="81"/>
  <c r="C913" i="81"/>
  <c r="C914" i="81"/>
  <c r="C915" i="81"/>
  <c r="C916" i="81"/>
  <c r="C917" i="81"/>
  <c r="C918" i="81"/>
  <c r="C919" i="81"/>
  <c r="C920" i="81"/>
  <c r="C921" i="81"/>
  <c r="C922" i="81"/>
  <c r="C923" i="81"/>
  <c r="C924" i="81"/>
  <c r="C925" i="81"/>
  <c r="C926" i="81"/>
  <c r="C927" i="81"/>
  <c r="C928" i="81"/>
  <c r="C929" i="81"/>
  <c r="C930" i="81"/>
  <c r="C931" i="81"/>
  <c r="C932" i="81"/>
  <c r="C933" i="81"/>
  <c r="C934" i="81"/>
  <c r="C935" i="81"/>
  <c r="C936" i="81"/>
  <c r="C937" i="81"/>
  <c r="C938" i="81"/>
  <c r="C939" i="81"/>
  <c r="C940" i="81"/>
  <c r="C941" i="81"/>
  <c r="C942" i="81"/>
  <c r="C943" i="81"/>
  <c r="C944" i="81"/>
  <c r="C945" i="81"/>
  <c r="C946" i="81"/>
  <c r="C947" i="81"/>
  <c r="C948" i="81"/>
  <c r="C949" i="81"/>
  <c r="C950" i="81"/>
  <c r="C951" i="81"/>
  <c r="C952" i="81"/>
  <c r="C953" i="81"/>
  <c r="C954" i="81"/>
  <c r="C955" i="81"/>
  <c r="C956" i="81"/>
  <c r="C957" i="81"/>
  <c r="C963" i="81"/>
  <c r="C964" i="81"/>
  <c r="C965" i="81"/>
  <c r="C966" i="81"/>
  <c r="C967" i="81"/>
  <c r="C968" i="81"/>
  <c r="C969" i="81"/>
  <c r="C970" i="81"/>
  <c r="C971" i="81"/>
  <c r="C972" i="81"/>
  <c r="C973" i="81"/>
  <c r="C974" i="81"/>
  <c r="C975" i="81"/>
  <c r="C976" i="81"/>
  <c r="C977" i="81"/>
  <c r="C978" i="81"/>
  <c r="C979" i="81"/>
  <c r="C980" i="81"/>
  <c r="C981" i="81"/>
  <c r="C982" i="81"/>
  <c r="C983" i="81"/>
  <c r="C984" i="81"/>
  <c r="C985" i="81"/>
  <c r="C986" i="81"/>
  <c r="C987" i="81"/>
  <c r="C988" i="81"/>
  <c r="C989" i="81"/>
  <c r="C990" i="81"/>
  <c r="C1183" i="81"/>
  <c r="C1184" i="81"/>
  <c r="C1185" i="81"/>
  <c r="C1186" i="81"/>
  <c r="C1187" i="81"/>
  <c r="C1188" i="81"/>
  <c r="C1189" i="81"/>
  <c r="C1190" i="81"/>
  <c r="C1191" i="81"/>
  <c r="C1192" i="81"/>
  <c r="C1193" i="81"/>
  <c r="C1194" i="81"/>
  <c r="C1195" i="81"/>
  <c r="C1196" i="81"/>
  <c r="C1197" i="81"/>
  <c r="C1198" i="81"/>
  <c r="C1199" i="81"/>
  <c r="C1200" i="81"/>
  <c r="C1201" i="81"/>
  <c r="C1207" i="81"/>
  <c r="C1208" i="81"/>
  <c r="C1209" i="81"/>
  <c r="C1210" i="81"/>
  <c r="C1211" i="81"/>
  <c r="C1212" i="81"/>
  <c r="C1213" i="81"/>
  <c r="C1214" i="81"/>
  <c r="C1215" i="81"/>
  <c r="C1216" i="81"/>
  <c r="C1217" i="81"/>
  <c r="C1218" i="81"/>
  <c r="C1219" i="81"/>
  <c r="C1220" i="81"/>
  <c r="C1221" i="81"/>
  <c r="C1222" i="81"/>
  <c r="C1223" i="81"/>
  <c r="C1224" i="81"/>
  <c r="C1225" i="81"/>
  <c r="C1226" i="81"/>
  <c r="C1227" i="81"/>
  <c r="C1228" i="81"/>
  <c r="C1229" i="81"/>
  <c r="C1230" i="81"/>
  <c r="C1231" i="81"/>
  <c r="C1232" i="81"/>
  <c r="C1233" i="81"/>
  <c r="C1234" i="81"/>
  <c r="C1235" i="81"/>
  <c r="C1236" i="81"/>
  <c r="C1237" i="81"/>
  <c r="C1238" i="81"/>
  <c r="C1239" i="81"/>
  <c r="C1240" i="81"/>
  <c r="C1241" i="81"/>
  <c r="C1242" i="81"/>
  <c r="C1243" i="81"/>
  <c r="C1244" i="81"/>
  <c r="C1245" i="81"/>
  <c r="C1246" i="81"/>
  <c r="C1247" i="81"/>
  <c r="C1248" i="81"/>
  <c r="C1249" i="81"/>
  <c r="C1250" i="81"/>
  <c r="C1251" i="81"/>
  <c r="C1252" i="81"/>
  <c r="C1253" i="81"/>
  <c r="C1254" i="81"/>
  <c r="C1255" i="81"/>
  <c r="C1256" i="81"/>
  <c r="C1257" i="81"/>
  <c r="C1258" i="81"/>
  <c r="C1259" i="81"/>
  <c r="C1260" i="81"/>
  <c r="C1261" i="81"/>
  <c r="C1267" i="81"/>
  <c r="C1268" i="81"/>
  <c r="C1269" i="81"/>
  <c r="C1270" i="81"/>
  <c r="C1271" i="81"/>
  <c r="C1272" i="81"/>
  <c r="C1273" i="81"/>
  <c r="C1274" i="81"/>
  <c r="C1275" i="81"/>
  <c r="C1276" i="81"/>
  <c r="C1277" i="81"/>
  <c r="C1278" i="81"/>
  <c r="C1279" i="81"/>
  <c r="C1280" i="81"/>
  <c r="C1281" i="81"/>
  <c r="C1282" i="81"/>
  <c r="C1283" i="81"/>
  <c r="C1284" i="81"/>
  <c r="C1285" i="81"/>
  <c r="C1286" i="81"/>
  <c r="C1287" i="81"/>
  <c r="C1288" i="81"/>
  <c r="C1289" i="81"/>
  <c r="C1290" i="81"/>
  <c r="C1291" i="81"/>
  <c r="C1292" i="81"/>
  <c r="C1293" i="81"/>
  <c r="C1294" i="81"/>
  <c r="C1295" i="81"/>
  <c r="C1296" i="81"/>
  <c r="C1297" i="81"/>
  <c r="C1298" i="81"/>
  <c r="C1299" i="81"/>
  <c r="C1300" i="81"/>
  <c r="C1301" i="81"/>
  <c r="C1302" i="81"/>
  <c r="C1303" i="81"/>
  <c r="C1304" i="81"/>
  <c r="C1305" i="81"/>
  <c r="C1306" i="81"/>
  <c r="C1307" i="81"/>
  <c r="C1308" i="81"/>
  <c r="C1498" i="81"/>
  <c r="C1499" i="81"/>
  <c r="C1500" i="81"/>
  <c r="C1501" i="81"/>
  <c r="C1502" i="81"/>
  <c r="C1509" i="81"/>
  <c r="C1510" i="81"/>
  <c r="C1511" i="81"/>
  <c r="C1512" i="81"/>
  <c r="C1513" i="81"/>
  <c r="C1514" i="81"/>
  <c r="C1515" i="81"/>
  <c r="C1516" i="81"/>
  <c r="C1517" i="81"/>
  <c r="C1518" i="81"/>
  <c r="C1519" i="81"/>
  <c r="C1520" i="81"/>
  <c r="C1521" i="81"/>
  <c r="C1522" i="81"/>
  <c r="C1523" i="81"/>
  <c r="C1524" i="81"/>
  <c r="C1525" i="81"/>
  <c r="C1526" i="81"/>
  <c r="C1527" i="81"/>
  <c r="C1528" i="81"/>
  <c r="C1529" i="81"/>
  <c r="C1530" i="81"/>
  <c r="C1531" i="81"/>
  <c r="C1532" i="81"/>
  <c r="C1533" i="81"/>
  <c r="C1534" i="81"/>
  <c r="C1535" i="81"/>
  <c r="C1536" i="81"/>
  <c r="C1537" i="81"/>
  <c r="C1538" i="81"/>
  <c r="C1539" i="81"/>
  <c r="C1540" i="81"/>
  <c r="C1541" i="81"/>
  <c r="C1542" i="81"/>
  <c r="C1543" i="81"/>
  <c r="C1544" i="81"/>
  <c r="C1545" i="81"/>
  <c r="C1546" i="81"/>
  <c r="C1547" i="81"/>
  <c r="C1548" i="81"/>
  <c r="C1549" i="81"/>
  <c r="C1550" i="81"/>
  <c r="C1551" i="81"/>
  <c r="C1552" i="81"/>
  <c r="C1553" i="81"/>
  <c r="C1554" i="81"/>
  <c r="C1555" i="81"/>
  <c r="C1556" i="81"/>
  <c r="C1557" i="81"/>
  <c r="C1558" i="81"/>
  <c r="C1559" i="81"/>
  <c r="C1560" i="81"/>
  <c r="C1561" i="81"/>
  <c r="C1562" i="81"/>
  <c r="C1563" i="81"/>
  <c r="C1569" i="81"/>
  <c r="C1570" i="81"/>
  <c r="C1571" i="81"/>
  <c r="C1572" i="81"/>
  <c r="C1573" i="81"/>
  <c r="C1574" i="81"/>
  <c r="C1575" i="81"/>
  <c r="C1576" i="81"/>
  <c r="C1577" i="81"/>
  <c r="C1578" i="81"/>
  <c r="C1579" i="81"/>
  <c r="C1580" i="81"/>
  <c r="C1581" i="81"/>
  <c r="C1582" i="81"/>
  <c r="C1583" i="81"/>
  <c r="C1584" i="81"/>
  <c r="C1585" i="81"/>
  <c r="C1586" i="81"/>
  <c r="C1587" i="81"/>
  <c r="C1588" i="81"/>
  <c r="C1589" i="81"/>
  <c r="C1590" i="81"/>
  <c r="C1591" i="81"/>
  <c r="C1592" i="81"/>
  <c r="C1593" i="81"/>
  <c r="C1594" i="81"/>
  <c r="C1595" i="81"/>
  <c r="C1596" i="81"/>
  <c r="C1597" i="81"/>
  <c r="C1598" i="81"/>
  <c r="C1599" i="81"/>
  <c r="C1600" i="81"/>
  <c r="C1601" i="81"/>
  <c r="C1602" i="81"/>
  <c r="C1603" i="81"/>
  <c r="C1604" i="81"/>
  <c r="C1605" i="81"/>
  <c r="C1606" i="81"/>
  <c r="C1607" i="81"/>
  <c r="C1608" i="81"/>
  <c r="C1609" i="81"/>
  <c r="C1610" i="81"/>
  <c r="C1611" i="81"/>
  <c r="C1612" i="81"/>
  <c r="C1613" i="81"/>
  <c r="C1614" i="81"/>
  <c r="K3" i="79"/>
  <c r="K4" i="79"/>
  <c r="K5" i="79"/>
  <c r="K6" i="79"/>
  <c r="K7" i="79"/>
  <c r="I38" i="39"/>
  <c r="G38" i="39"/>
  <c r="I7" i="39"/>
  <c r="G7" i="39"/>
  <c r="E7" i="39"/>
  <c r="I5" i="39"/>
  <c r="G5" i="39"/>
  <c r="E5" i="39"/>
  <c r="AF13" i="3" l="1"/>
  <c r="I13" i="3"/>
  <c r="H9" i="79"/>
  <c r="K13" i="3"/>
  <c r="G20" i="6" s="1"/>
  <c r="K8" i="79"/>
  <c r="J8" i="79" s="1"/>
  <c r="N7" i="1"/>
  <c r="F19" i="6" l="1"/>
  <c r="D29" i="43" l="1"/>
  <c r="F36" i="6"/>
  <c r="E20" i="43"/>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AB15" i="71" s="1"/>
  <c r="P15" i="71"/>
  <c r="P16" i="71"/>
  <c r="O15" i="71"/>
  <c r="O16" i="71"/>
  <c r="N15" i="71"/>
  <c r="N16" i="71"/>
  <c r="N17" i="71"/>
  <c r="AH16" i="71"/>
  <c r="AG16" i="71"/>
  <c r="AE16" i="71"/>
  <c r="AF16" i="71" s="1"/>
  <c r="AD16" i="71"/>
  <c r="Q17" i="71"/>
  <c r="P17" i="71"/>
  <c r="O17" i="71"/>
  <c r="D19" i="71"/>
  <c r="AH17" i="71"/>
  <c r="AG17" i="71"/>
  <c r="AE17" i="71"/>
  <c r="AF17" i="71" s="1"/>
  <c r="AD17" i="71"/>
  <c r="AD18" i="71"/>
  <c r="AG18" i="71"/>
  <c r="AH18" i="71"/>
  <c r="AE18" i="71"/>
  <c r="AF18" i="71" s="1"/>
  <c r="N18" i="71"/>
  <c r="Q18" i="71"/>
  <c r="P18" i="71"/>
  <c r="O18" i="71"/>
  <c r="Q19" i="71"/>
  <c r="P19" i="71"/>
  <c r="E18" i="71"/>
  <c r="E17" i="71" s="1"/>
  <c r="O19" i="71"/>
  <c r="N19" i="71"/>
  <c r="V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0" i="71"/>
  <c r="P20" i="71"/>
  <c r="O20" i="71"/>
  <c r="Y20" i="71" s="1"/>
  <c r="Z20" i="71" s="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1" i="71"/>
  <c r="C21" i="71" s="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6" i="72"/>
  <c r="B10" i="72"/>
  <c r="C53" i="10"/>
  <c r="B51" i="10"/>
  <c r="B19" i="72"/>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D59" i="71"/>
  <c r="Q58" i="71"/>
  <c r="P58" i="71"/>
  <c r="O58" i="71"/>
  <c r="N58" i="71"/>
  <c r="Q57" i="71"/>
  <c r="P57" i="71"/>
  <c r="O57" i="71"/>
  <c r="N57" i="71"/>
  <c r="Q56" i="71"/>
  <c r="P56" i="71"/>
  <c r="O56" i="71"/>
  <c r="N56" i="71"/>
  <c r="Q55" i="71"/>
  <c r="F56" i="71"/>
  <c r="F57" i="71" s="1"/>
  <c r="F58" i="71" s="1"/>
  <c r="V58" i="71" s="1"/>
  <c r="P55" i="71"/>
  <c r="E56" i="71" s="1"/>
  <c r="O55" i="71"/>
  <c r="C56" i="71" s="1"/>
  <c r="N55" i="71"/>
  <c r="B56" i="71" s="1"/>
  <c r="D55" i="71"/>
  <c r="Q54" i="71"/>
  <c r="P54" i="71"/>
  <c r="O54" i="71"/>
  <c r="N54" i="71"/>
  <c r="Q53" i="71"/>
  <c r="P53" i="71"/>
  <c r="O53" i="71"/>
  <c r="N53" i="71"/>
  <c r="Q52" i="71"/>
  <c r="P52" i="71"/>
  <c r="O52" i="71"/>
  <c r="N52" i="71"/>
  <c r="Q51" i="71"/>
  <c r="F52" i="71" s="1"/>
  <c r="F53" i="71" s="1"/>
  <c r="F54" i="71" s="1"/>
  <c r="V54" i="71" s="1"/>
  <c r="P51" i="71"/>
  <c r="E52" i="71"/>
  <c r="E53" i="71" s="1"/>
  <c r="E54" i="71" s="1"/>
  <c r="U54" i="71" s="1"/>
  <c r="O51" i="71"/>
  <c r="C52" i="71"/>
  <c r="C53" i="71" s="1"/>
  <c r="C54" i="71" s="1"/>
  <c r="D54" i="71" s="1"/>
  <c r="N51" i="71"/>
  <c r="B52" i="71"/>
  <c r="B53" i="71" s="1"/>
  <c r="B54" i="71" s="1"/>
  <c r="S54" i="71" s="1"/>
  <c r="D51" i="71"/>
  <c r="Q50" i="71"/>
  <c r="P50" i="71"/>
  <c r="O50" i="71"/>
  <c r="N50" i="71"/>
  <c r="Q49" i="71"/>
  <c r="P49" i="71"/>
  <c r="O49" i="71"/>
  <c r="N49" i="71"/>
  <c r="Q48" i="71"/>
  <c r="P48" i="71"/>
  <c r="E49" i="71" s="1"/>
  <c r="E50" i="71" s="1"/>
  <c r="U50" i="71" s="1"/>
  <c r="O48" i="71"/>
  <c r="N48" i="71"/>
  <c r="Q47" i="71"/>
  <c r="F48" i="71" s="1"/>
  <c r="F49" i="71"/>
  <c r="F50" i="71" s="1"/>
  <c r="V50" i="71" s="1"/>
  <c r="P47" i="71"/>
  <c r="E48" i="71"/>
  <c r="O47" i="71"/>
  <c r="C48" i="71" s="1"/>
  <c r="C49" i="71" s="1"/>
  <c r="C50" i="71" s="1"/>
  <c r="D50" i="71" s="1"/>
  <c r="N47" i="71"/>
  <c r="B48" i="71" s="1"/>
  <c r="B49" i="71"/>
  <c r="B50" i="71" s="1"/>
  <c r="S50" i="71" s="1"/>
  <c r="D47" i="71"/>
  <c r="Q46" i="71"/>
  <c r="P46" i="71"/>
  <c r="O46" i="71"/>
  <c r="N46" i="71"/>
  <c r="Q45" i="71"/>
  <c r="P45" i="71"/>
  <c r="O45" i="71"/>
  <c r="N45" i="71"/>
  <c r="Q44" i="71"/>
  <c r="P44" i="71"/>
  <c r="O44" i="71"/>
  <c r="N44" i="71"/>
  <c r="Q43" i="71"/>
  <c r="F44" i="71" s="1"/>
  <c r="P43" i="71"/>
  <c r="E44" i="71" s="1"/>
  <c r="E45" i="71" s="1"/>
  <c r="E46" i="71" s="1"/>
  <c r="U46" i="71" s="1"/>
  <c r="O43" i="71"/>
  <c r="C44" i="71"/>
  <c r="C45" i="71" s="1"/>
  <c r="C46" i="71" s="1"/>
  <c r="D46" i="71" s="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C41" i="71" s="1"/>
  <c r="D41"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D36" i="71" s="1"/>
  <c r="N35" i="71"/>
  <c r="B36" i="71"/>
  <c r="B37" i="71" s="1"/>
  <c r="B38" i="71" s="1"/>
  <c r="S38" i="71" s="1"/>
  <c r="D35" i="71"/>
  <c r="Q34" i="71"/>
  <c r="P34" i="71"/>
  <c r="O34" i="71"/>
  <c r="N34" i="71"/>
  <c r="Q33" i="71"/>
  <c r="AB33" i="71" s="1"/>
  <c r="P33" i="71"/>
  <c r="AA33" i="71"/>
  <c r="O33" i="71"/>
  <c r="Y33" i="71"/>
  <c r="Z33" i="71" s="1"/>
  <c r="N33" i="71"/>
  <c r="X33" i="71" s="1"/>
  <c r="Q32" i="71"/>
  <c r="P32" i="71"/>
  <c r="AA32" i="71" s="1"/>
  <c r="O32" i="71"/>
  <c r="Y32" i="71"/>
  <c r="Z32" i="71" s="1"/>
  <c r="N32" i="71"/>
  <c r="Q31" i="71"/>
  <c r="F32" i="71" s="1"/>
  <c r="F33" i="71" s="1"/>
  <c r="F34" i="71" s="1"/>
  <c r="P31" i="71"/>
  <c r="O31" i="71"/>
  <c r="N31" i="71"/>
  <c r="D31" i="71"/>
  <c r="Q30" i="71"/>
  <c r="AB30" i="71" s="1"/>
  <c r="P30" i="71"/>
  <c r="O30" i="71"/>
  <c r="Y30" i="71"/>
  <c r="Z30" i="71" s="1"/>
  <c r="N30" i="71"/>
  <c r="Q29" i="71"/>
  <c r="AB29" i="71"/>
  <c r="P29" i="71"/>
  <c r="O29" i="71"/>
  <c r="N29" i="71"/>
  <c r="Q28" i="71"/>
  <c r="P28" i="71"/>
  <c r="O28" i="71"/>
  <c r="Y28" i="71"/>
  <c r="Z28" i="71" s="1"/>
  <c r="N28" i="71"/>
  <c r="X28" i="71" s="1"/>
  <c r="Q27" i="71"/>
  <c r="F28" i="71" s="1"/>
  <c r="F29" i="71" s="1"/>
  <c r="F30" i="71" s="1"/>
  <c r="V30" i="71" s="1"/>
  <c r="P27" i="71"/>
  <c r="E28" i="71" s="1"/>
  <c r="E29" i="71" s="1"/>
  <c r="E30" i="71" s="1"/>
  <c r="U30" i="71" s="1"/>
  <c r="O27" i="71"/>
  <c r="N27" i="71"/>
  <c r="D27" i="71"/>
  <c r="Q26" i="71"/>
  <c r="AB26" i="71" s="1"/>
  <c r="P26" i="71"/>
  <c r="O26" i="71"/>
  <c r="Y26" i="71"/>
  <c r="Z26" i="71" s="1"/>
  <c r="N26" i="71"/>
  <c r="Q25" i="71"/>
  <c r="AB25" i="71"/>
  <c r="P25" i="71"/>
  <c r="O25" i="71"/>
  <c r="N25" i="71"/>
  <c r="Q24" i="71"/>
  <c r="P24" i="71"/>
  <c r="AA24" i="71" s="1"/>
  <c r="O24" i="71"/>
  <c r="Y24" i="71"/>
  <c r="Z24" i="71" s="1"/>
  <c r="N24" i="71"/>
  <c r="Q23" i="71"/>
  <c r="F24" i="71" s="1"/>
  <c r="F25" i="71" s="1"/>
  <c r="F26" i="71" s="1"/>
  <c r="V26" i="71" s="1"/>
  <c r="P23" i="71"/>
  <c r="O23" i="71"/>
  <c r="N23" i="71"/>
  <c r="D23" i="71"/>
  <c r="O22" i="71"/>
  <c r="C22" i="71" s="1"/>
  <c r="N22" i="71"/>
  <c r="B24" i="71"/>
  <c r="B25" i="71" s="1"/>
  <c r="B26" i="71"/>
  <c r="S26" i="71" s="1"/>
  <c r="B28" i="71"/>
  <c r="B29" i="71" s="1"/>
  <c r="B30" i="71" s="1"/>
  <c r="S30" i="71" s="1"/>
  <c r="X27" i="71"/>
  <c r="E32" i="71"/>
  <c r="N62" i="71"/>
  <c r="C24" i="71"/>
  <c r="AB23" i="71"/>
  <c r="AA25" i="71"/>
  <c r="C28" i="71"/>
  <c r="C29" i="71"/>
  <c r="C30" i="71" s="1"/>
  <c r="D30" i="71" s="1"/>
  <c r="X29" i="71"/>
  <c r="C32" i="71"/>
  <c r="D32" i="71" s="1"/>
  <c r="Y31" i="71"/>
  <c r="Z31" i="71"/>
  <c r="F45" i="71"/>
  <c r="F46" i="71" s="1"/>
  <c r="V46" i="71" s="1"/>
  <c r="Y19" i="71"/>
  <c r="Z19" i="71" s="1"/>
  <c r="Y21" i="71"/>
  <c r="Z21" i="71" s="1"/>
  <c r="B22" i="71"/>
  <c r="X20" i="71"/>
  <c r="C25" i="71"/>
  <c r="D24" i="71"/>
  <c r="D28" i="71"/>
  <c r="C37" i="71"/>
  <c r="C38" i="71" s="1"/>
  <c r="D38" i="71" s="1"/>
  <c r="D40" i="71"/>
  <c r="P22" i="71"/>
  <c r="E57" i="71"/>
  <c r="E58" i="71" s="1"/>
  <c r="U58" i="71" s="1"/>
  <c r="U62" i="71"/>
  <c r="E61" i="71"/>
  <c r="Q22" i="71"/>
  <c r="AB22" i="71" s="1"/>
  <c r="D52" i="71"/>
  <c r="C57" i="71"/>
  <c r="D56" i="71"/>
  <c r="T62" i="71"/>
  <c r="O62" i="71"/>
  <c r="D62" i="71"/>
  <c r="C61" i="71"/>
  <c r="Q62" i="71"/>
  <c r="C65" i="71"/>
  <c r="E65" i="71"/>
  <c r="E64" i="71" s="1"/>
  <c r="D66" i="71"/>
  <c r="C69" i="71"/>
  <c r="E69" i="71"/>
  <c r="E68" i="71" s="1"/>
  <c r="D70" i="71"/>
  <c r="C73" i="71"/>
  <c r="E73" i="71"/>
  <c r="E72" i="71" s="1"/>
  <c r="D74" i="71"/>
  <c r="C81" i="71"/>
  <c r="C80" i="71" s="1"/>
  <c r="D80" i="71" s="1"/>
  <c r="F22" i="71"/>
  <c r="F21" i="71" s="1"/>
  <c r="F20" i="71" s="1"/>
  <c r="AB20" i="71"/>
  <c r="E22" i="71"/>
  <c r="E21" i="71"/>
  <c r="E20" i="71" s="1"/>
  <c r="AA3" i="71"/>
  <c r="AA22" i="71"/>
  <c r="C60" i="71"/>
  <c r="O61" i="71"/>
  <c r="D61" i="71"/>
  <c r="C58" i="71"/>
  <c r="D58" i="71" s="1"/>
  <c r="D57" i="71"/>
  <c r="D69" i="71"/>
  <c r="C68" i="71"/>
  <c r="D68" i="71" s="1"/>
  <c r="D81" i="71"/>
  <c r="D73" i="71"/>
  <c r="C72" i="71"/>
  <c r="D72" i="71" s="1"/>
  <c r="D65" i="71"/>
  <c r="C64" i="71"/>
  <c r="D64" i="71"/>
  <c r="D49" i="71"/>
  <c r="P61" i="71"/>
  <c r="E60" i="71"/>
  <c r="P59" i="71" s="1"/>
  <c r="D37" i="71"/>
  <c r="D29" i="71"/>
  <c r="D25" i="71"/>
  <c r="V22" i="71"/>
  <c r="P60" i="71"/>
  <c r="O60" i="71"/>
  <c r="D60" i="71"/>
  <c r="O59" i="71"/>
  <c r="T30" i="71"/>
  <c r="T46" i="71"/>
  <c r="T54" i="71"/>
  <c r="T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29" i="39"/>
  <c r="AA29" i="39"/>
  <c r="Q18" i="36"/>
  <c r="Z18" i="36"/>
  <c r="D66" i="36"/>
  <c r="E66" i="36"/>
  <c r="F66" i="36" s="1"/>
  <c r="H18" i="36"/>
  <c r="AB18" i="36" s="1"/>
  <c r="F18" i="36"/>
  <c r="AA18" i="36" s="1"/>
  <c r="C18" i="36"/>
  <c r="Q18" i="35"/>
  <c r="Z18" i="35" s="1"/>
  <c r="D68" i="35"/>
  <c r="E68" i="35"/>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29" i="39"/>
  <c r="S18" i="36"/>
  <c r="S21" i="34"/>
  <c r="H25" i="40"/>
  <c r="U25" i="40" s="1"/>
  <c r="J25" i="40"/>
  <c r="W25" i="40" s="1"/>
  <c r="F103" i="39"/>
  <c r="H29" i="39"/>
  <c r="U29" i="39" s="1"/>
  <c r="G103" i="39"/>
  <c r="J29" i="39"/>
  <c r="W29" i="39" s="1"/>
  <c r="G66" i="36"/>
  <c r="J18" i="36"/>
  <c r="W18" i="36" s="1"/>
  <c r="F68" i="35"/>
  <c r="H18" i="35"/>
  <c r="U18" i="35" s="1"/>
  <c r="S18" i="35"/>
  <c r="G68" i="35"/>
  <c r="J18" i="35"/>
  <c r="F77" i="37"/>
  <c r="H21" i="37"/>
  <c r="F21" i="37"/>
  <c r="S21" i="37" s="1"/>
  <c r="H21" i="34"/>
  <c r="U21" i="34" s="1"/>
  <c r="H21" i="33"/>
  <c r="AB21" i="33" s="1"/>
  <c r="F21" i="33"/>
  <c r="E83" i="21"/>
  <c r="H1" i="69"/>
  <c r="AC25" i="40"/>
  <c r="AB25" i="40"/>
  <c r="AB29" i="39"/>
  <c r="AC29" i="39"/>
  <c r="AC18" i="36"/>
  <c r="AB21" i="37"/>
  <c r="U21" i="37"/>
  <c r="AA21" i="37"/>
  <c r="AB21" i="34"/>
  <c r="U21" i="33"/>
  <c r="AA21" i="33"/>
  <c r="S21" i="33"/>
  <c r="AB18" i="35"/>
  <c r="AC18" i="35"/>
  <c r="W18" i="35"/>
  <c r="G77" i="37"/>
  <c r="J21" i="37"/>
  <c r="J21" i="34"/>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6" i="43"/>
  <c r="D88"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N84" i="43" s="1"/>
  <c r="D84" i="43" s="1"/>
  <c r="K84" i="43"/>
  <c r="J84" i="43" s="1"/>
  <c r="M83" i="43"/>
  <c r="N83" i="43" s="1"/>
  <c r="K83" i="43"/>
  <c r="D83" i="43" s="1"/>
  <c r="M82" i="43"/>
  <c r="N82" i="43" s="1"/>
  <c r="K82" i="43"/>
  <c r="J82" i="43" s="1"/>
  <c r="M81" i="43"/>
  <c r="D81" i="43" s="1"/>
  <c r="E81" i="43" s="1"/>
  <c r="B79" i="43" s="1"/>
  <c r="C24"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AZ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AZ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AZ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AZ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AZ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AZ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AZ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AZ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AZ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C7" i="12" s="1"/>
  <c r="E20" i="6"/>
  <c r="E21" i="6"/>
  <c r="K8" i="1"/>
  <c r="M8" i="1" s="1"/>
  <c r="F23" i="15"/>
  <c r="D24" i="15" s="1"/>
  <c r="E22" i="6"/>
  <c r="E23" i="6"/>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s="1"/>
  <c r="Q31" i="39"/>
  <c r="Z31" i="39" s="1"/>
  <c r="Q27" i="39"/>
  <c r="Z27" i="39"/>
  <c r="Q25" i="39"/>
  <c r="Z25" i="39"/>
  <c r="Q23" i="39"/>
  <c r="Z23" i="39"/>
  <c r="Q21" i="39"/>
  <c r="Z21" i="39"/>
  <c r="Q19" i="39"/>
  <c r="Z19" i="39" s="1"/>
  <c r="Q17" i="39"/>
  <c r="Z17" i="39" s="1"/>
  <c r="Q15" i="39"/>
  <c r="Z15" i="39"/>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F13" i="36" s="1"/>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F9" i="36"/>
  <c r="AA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s="1"/>
  <c r="S12" i="34"/>
  <c r="Q11" i="34"/>
  <c r="Z11" i="34"/>
  <c r="Q10" i="34"/>
  <c r="Z10" i="34"/>
  <c r="F10" i="34"/>
  <c r="AA10" i="34"/>
  <c r="Q9" i="34"/>
  <c r="Z9" i="34"/>
  <c r="J8" i="34"/>
  <c r="H8" i="34"/>
  <c r="U8" i="34" s="1"/>
  <c r="F8" i="34"/>
  <c r="S8" i="34" s="1"/>
  <c r="D121" i="33"/>
  <c r="E121" i="33"/>
  <c r="F121" i="33" s="1"/>
  <c r="G121" i="33" s="1"/>
  <c r="H121" i="33" s="1"/>
  <c r="I121" i="33" s="1"/>
  <c r="J121" i="33" s="1"/>
  <c r="K121" i="33" s="1"/>
  <c r="L121" i="33" s="1"/>
  <c r="M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c r="F125" i="21" s="1"/>
  <c r="G125" i="21" s="1"/>
  <c r="D123" i="21"/>
  <c r="E123" i="21"/>
  <c r="F123" i="21" s="1"/>
  <c r="G123" i="21" s="1"/>
  <c r="F42" i="21"/>
  <c r="AA42" i="21" s="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D85" i="21"/>
  <c r="H23" i="21" s="1"/>
  <c r="U23" i="21" s="1"/>
  <c r="F19" i="21"/>
  <c r="AA19" i="21" s="1"/>
  <c r="E81" i="21"/>
  <c r="F81" i="21" s="1"/>
  <c r="G81" i="21" s="1"/>
  <c r="D77" i="21"/>
  <c r="E77" i="21"/>
  <c r="B130" i="21"/>
  <c r="B128" i="21"/>
  <c r="B126" i="21"/>
  <c r="B98" i="21"/>
  <c r="B96" i="21"/>
  <c r="B94" i="21"/>
  <c r="J29" i="21" s="1"/>
  <c r="B92" i="21"/>
  <c r="B90" i="21"/>
  <c r="J27" i="21" s="1"/>
  <c r="B74" i="21"/>
  <c r="F14" i="21" s="1"/>
  <c r="S14" i="21" s="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E5" i="3" s="1"/>
  <c r="BF586" i="3"/>
  <c r="BG586" i="3"/>
  <c r="BH586" i="3"/>
  <c r="BI586" i="3"/>
  <c r="BI5" i="3" s="1"/>
  <c r="BJ586" i="3"/>
  <c r="BK586" i="3"/>
  <c r="BM586" i="3"/>
  <c r="BN586" i="3"/>
  <c r="BO586" i="3"/>
  <c r="BP586" i="3"/>
  <c r="BQ586" i="3"/>
  <c r="BR586" i="3"/>
  <c r="BS586" i="3"/>
  <c r="BT586" i="3"/>
  <c r="BB587" i="3"/>
  <c r="BC587" i="3"/>
  <c r="BD587" i="3"/>
  <c r="BD5" i="3" s="1"/>
  <c r="BE587" i="3"/>
  <c r="BF587" i="3"/>
  <c r="BF5" i="3" s="1"/>
  <c r="BG587" i="3"/>
  <c r="BH587" i="3"/>
  <c r="BH5"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s="1"/>
  <c r="J12" i="21"/>
  <c r="AC12" i="21"/>
  <c r="H12" i="21"/>
  <c r="AB12" i="21" s="1"/>
  <c r="J26" i="21"/>
  <c r="W26" i="21" s="1"/>
  <c r="F26" i="21"/>
  <c r="S26" i="21" s="1"/>
  <c r="AB41" i="21"/>
  <c r="S41" i="21"/>
  <c r="AA41" i="21"/>
  <c r="F45" i="39"/>
  <c r="S45" i="39" s="1"/>
  <c r="J45" i="39"/>
  <c r="J44" i="39"/>
  <c r="AC44" i="39" s="1"/>
  <c r="F36" i="39"/>
  <c r="H36" i="39"/>
  <c r="AB36" i="39" s="1"/>
  <c r="J35" i="39"/>
  <c r="AC35" i="39" s="1"/>
  <c r="F35" i="39"/>
  <c r="AA35" i="39" s="1"/>
  <c r="J36" i="39"/>
  <c r="U9" i="39"/>
  <c r="W40" i="39"/>
  <c r="W25" i="37"/>
  <c r="U30" i="37"/>
  <c r="W31" i="37"/>
  <c r="E103" i="37"/>
  <c r="F103" i="37" s="1"/>
  <c r="G103" i="37"/>
  <c r="H103" i="37" s="1"/>
  <c r="I103" i="37" s="1"/>
  <c r="J103" i="37" s="1"/>
  <c r="K103" i="37" s="1"/>
  <c r="L103" i="37" s="1"/>
  <c r="M103" i="37" s="1"/>
  <c r="F39" i="37"/>
  <c r="S39" i="37"/>
  <c r="U14" i="37"/>
  <c r="F29" i="36"/>
  <c r="AA29" i="36" s="1"/>
  <c r="W8" i="36"/>
  <c r="F16" i="36"/>
  <c r="AA16" i="36"/>
  <c r="W28" i="36"/>
  <c r="S30" i="36"/>
  <c r="AA31" i="36"/>
  <c r="W31" i="36"/>
  <c r="U31" i="36"/>
  <c r="J33" i="36"/>
  <c r="H22" i="35"/>
  <c r="AB22" i="35" s="1"/>
  <c r="AC27" i="35"/>
  <c r="U31" i="35"/>
  <c r="W22" i="35"/>
  <c r="S31" i="35"/>
  <c r="F36" i="34"/>
  <c r="J35" i="34"/>
  <c r="S34" i="34"/>
  <c r="U34" i="34"/>
  <c r="H39" i="33"/>
  <c r="AB39" i="33" s="1"/>
  <c r="F26" i="33"/>
  <c r="AA26" i="33" s="1"/>
  <c r="S9" i="33"/>
  <c r="U33" i="33"/>
  <c r="U35" i="33"/>
  <c r="S40" i="33"/>
  <c r="W33" i="33"/>
  <c r="W39" i="33"/>
  <c r="H39" i="37"/>
  <c r="AB39" i="37" s="1"/>
  <c r="F11" i="40"/>
  <c r="AA11" i="40"/>
  <c r="H11" i="40"/>
  <c r="AB11" i="40"/>
  <c r="W8" i="40"/>
  <c r="AB39" i="40"/>
  <c r="AC40" i="40"/>
  <c r="AA9" i="40"/>
  <c r="AC9" i="40"/>
  <c r="U9" i="40"/>
  <c r="S34" i="40"/>
  <c r="U38" i="40"/>
  <c r="S40" i="40"/>
  <c r="U34" i="40"/>
  <c r="S38" i="40"/>
  <c r="U40" i="40"/>
  <c r="F42" i="39"/>
  <c r="AA42" i="39" s="1"/>
  <c r="F41" i="39"/>
  <c r="S41" i="39" s="1"/>
  <c r="H40" i="39"/>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AC31" i="39" s="1"/>
  <c r="F101" i="39"/>
  <c r="H27" i="39"/>
  <c r="U27" i="39" s="1"/>
  <c r="J19" i="39"/>
  <c r="AC19" i="39" s="1"/>
  <c r="J17" i="39"/>
  <c r="J27" i="39"/>
  <c r="F27" i="39"/>
  <c r="S27" i="39" s="1"/>
  <c r="S34" i="21"/>
  <c r="H11" i="39"/>
  <c r="U11" i="39" s="1"/>
  <c r="S40" i="39"/>
  <c r="C15" i="39"/>
  <c r="H32" i="33"/>
  <c r="AB32" i="33"/>
  <c r="H37" i="40"/>
  <c r="U37" i="40"/>
  <c r="H36" i="40"/>
  <c r="AB36" i="40"/>
  <c r="F35" i="40"/>
  <c r="AA35" i="40"/>
  <c r="H23" i="40"/>
  <c r="AB23" i="40"/>
  <c r="H17" i="40"/>
  <c r="U17" i="40"/>
  <c r="J15" i="40"/>
  <c r="W15" i="40"/>
  <c r="J11" i="40"/>
  <c r="W11" i="40"/>
  <c r="AB8" i="39"/>
  <c r="AB12" i="33"/>
  <c r="AA12" i="34"/>
  <c r="AB12" i="36"/>
  <c r="W32" i="40"/>
  <c r="S44" i="39"/>
  <c r="F37" i="39"/>
  <c r="AA37" i="39" s="1"/>
  <c r="J34" i="36"/>
  <c r="U30" i="36"/>
  <c r="J30" i="35"/>
  <c r="W30" i="35"/>
  <c r="H30" i="35"/>
  <c r="AB30" i="35"/>
  <c r="F22" i="35"/>
  <c r="AA22" i="35"/>
  <c r="H10" i="35"/>
  <c r="U10" i="35"/>
  <c r="F33" i="36"/>
  <c r="AA33" i="36" s="1"/>
  <c r="W30" i="36"/>
  <c r="H16" i="36"/>
  <c r="AB16" i="36"/>
  <c r="J29" i="36"/>
  <c r="AC29" i="36" s="1"/>
  <c r="F12" i="36"/>
  <c r="AA12" i="36" s="1"/>
  <c r="F24" i="36"/>
  <c r="AA24" i="36"/>
  <c r="F34" i="36"/>
  <c r="S34"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A39" i="37"/>
  <c r="AB34" i="37"/>
  <c r="J33" i="37"/>
  <c r="AC33" i="37"/>
  <c r="U42" i="34"/>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J28" i="34"/>
  <c r="F41" i="33"/>
  <c r="S38" i="33"/>
  <c r="E113" i="33"/>
  <c r="F32" i="33"/>
  <c r="AA32" i="33" s="1"/>
  <c r="J19" i="33"/>
  <c r="AC19" i="33" s="1"/>
  <c r="J15" i="33"/>
  <c r="AC15" i="33" s="1"/>
  <c r="F11" i="33"/>
  <c r="AA11" i="33" s="1"/>
  <c r="S26" i="33"/>
  <c r="U8" i="33"/>
  <c r="S8" i="33"/>
  <c r="F37" i="40"/>
  <c r="AA37" i="40"/>
  <c r="F36" i="40"/>
  <c r="AA36" i="40"/>
  <c r="H28" i="40"/>
  <c r="U28" i="40"/>
  <c r="F23" i="40"/>
  <c r="AA23" i="40"/>
  <c r="F17" i="40"/>
  <c r="AA17" i="40"/>
  <c r="J17" i="40"/>
  <c r="W17" i="40"/>
  <c r="F15" i="40"/>
  <c r="S15" i="40"/>
  <c r="H15" i="40"/>
  <c r="AB15" i="40"/>
  <c r="AC11" i="40"/>
  <c r="AB30" i="36"/>
  <c r="U30" i="35"/>
  <c r="F29" i="35"/>
  <c r="S29" i="35" s="1"/>
  <c r="H29" i="35"/>
  <c r="AB29" i="35" s="1"/>
  <c r="H33" i="37"/>
  <c r="F33" i="37"/>
  <c r="AA33" i="37" s="1"/>
  <c r="U34" i="37"/>
  <c r="W33" i="37"/>
  <c r="S34" i="37"/>
  <c r="AA34" i="37"/>
  <c r="J43" i="34"/>
  <c r="W43" i="34" s="1"/>
  <c r="AB42" i="34"/>
  <c r="J40" i="34"/>
  <c r="W40" i="34" s="1"/>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F28" i="40"/>
  <c r="AA28" i="40" s="1"/>
  <c r="AA42" i="34"/>
  <c r="S42" i="34"/>
  <c r="AC38" i="34"/>
  <c r="AA38" i="34"/>
  <c r="J37" i="34"/>
  <c r="AC37" i="34"/>
  <c r="J11" i="33"/>
  <c r="W11" i="33"/>
  <c r="U23" i="40"/>
  <c r="H123" i="21"/>
  <c r="I123" i="21" s="1"/>
  <c r="J123" i="21"/>
  <c r="K123" i="21" s="1"/>
  <c r="L123" i="21" s="1"/>
  <c r="M123" i="21" s="1"/>
  <c r="J42" i="21"/>
  <c r="AC42" i="21" s="1"/>
  <c r="H42" i="21"/>
  <c r="U42" i="21" s="1"/>
  <c r="J44" i="34"/>
  <c r="W44" i="34" s="1"/>
  <c r="F44" i="34"/>
  <c r="AA44" i="34"/>
  <c r="J10" i="35"/>
  <c r="W10" i="35"/>
  <c r="J14" i="21"/>
  <c r="W14" i="21" s="1"/>
  <c r="H14" i="21"/>
  <c r="U14"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J13" i="21"/>
  <c r="AC13" i="21" s="1"/>
  <c r="H27" i="21"/>
  <c r="AB27" i="21" s="1"/>
  <c r="F27" i="21"/>
  <c r="AA27" i="21" s="1"/>
  <c r="H29" i="21"/>
  <c r="U29" i="21" s="1"/>
  <c r="F27" i="33"/>
  <c r="AA27" i="33"/>
  <c r="H13" i="33"/>
  <c r="F13" i="33"/>
  <c r="J29" i="33"/>
  <c r="AC29" i="33" s="1"/>
  <c r="H29" i="33"/>
  <c r="U29" i="33" s="1"/>
  <c r="F29" i="33"/>
  <c r="S29" i="33" s="1"/>
  <c r="J31" i="33"/>
  <c r="W31" i="33" s="1"/>
  <c r="H31" i="33"/>
  <c r="U31" i="33" s="1"/>
  <c r="H45" i="33"/>
  <c r="J45" i="33"/>
  <c r="F45" i="33"/>
  <c r="AA45" i="33" s="1"/>
  <c r="J14" i="34"/>
  <c r="W14" i="34" s="1"/>
  <c r="F14" i="34"/>
  <c r="H14" i="34"/>
  <c r="F30" i="34"/>
  <c r="S30" i="34" s="1"/>
  <c r="J30" i="34"/>
  <c r="W30" i="34" s="1"/>
  <c r="H32" i="34"/>
  <c r="AB32" i="34" s="1"/>
  <c r="J32" i="34"/>
  <c r="W32" i="34" s="1"/>
  <c r="H46" i="34"/>
  <c r="F46" i="34"/>
  <c r="H11" i="35"/>
  <c r="J11" i="35"/>
  <c r="AC11" i="35" s="1"/>
  <c r="F11" i="35"/>
  <c r="S11" i="35" s="1"/>
  <c r="J26" i="36"/>
  <c r="W26" i="36" s="1"/>
  <c r="H28" i="36"/>
  <c r="U28" i="36" s="1"/>
  <c r="J32" i="36"/>
  <c r="W32" i="36" s="1"/>
  <c r="J11" i="36"/>
  <c r="H11" i="36"/>
  <c r="U11" i="36" s="1"/>
  <c r="F11" i="36"/>
  <c r="AA11" i="36" s="1"/>
  <c r="H13" i="36"/>
  <c r="AB13" i="36" s="1"/>
  <c r="J13" i="36"/>
  <c r="W13" i="36" s="1"/>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27" i="37"/>
  <c r="AA27" i="37" s="1"/>
  <c r="F13" i="39"/>
  <c r="J13" i="39"/>
  <c r="W13" i="39"/>
  <c r="H13" i="39"/>
  <c r="H14" i="40"/>
  <c r="J14" i="40"/>
  <c r="W14" i="40" s="1"/>
  <c r="F14" i="40"/>
  <c r="AA14" i="40" s="1"/>
  <c r="J14" i="37"/>
  <c r="J27" i="37"/>
  <c r="AC27" i="37" s="1"/>
  <c r="AA44" i="33"/>
  <c r="AA13" i="35"/>
  <c r="U31" i="34"/>
  <c r="J36" i="37"/>
  <c r="AC36" i="37"/>
  <c r="AB11" i="36"/>
  <c r="J10" i="36"/>
  <c r="AC10" i="36" s="1"/>
  <c r="AB26" i="33"/>
  <c r="AA14" i="37"/>
  <c r="W31" i="34"/>
  <c r="AC13" i="36"/>
  <c r="S11" i="36"/>
  <c r="W11" i="35"/>
  <c r="AC30" i="34"/>
  <c r="AB31" i="33"/>
  <c r="W29" i="33"/>
  <c r="S44" i="34"/>
  <c r="BA586" i="3"/>
  <c r="F15" i="21"/>
  <c r="S15" i="21" s="1"/>
  <c r="J41" i="39"/>
  <c r="W41" i="39"/>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AZ514" i="3" s="1"/>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AZ497" i="3" s="1"/>
  <c r="BQ495" i="3"/>
  <c r="BL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F125" i="33"/>
  <c r="H43" i="33"/>
  <c r="AB43" i="33"/>
  <c r="H17" i="37"/>
  <c r="U17" i="37"/>
  <c r="U32" i="33"/>
  <c r="F39" i="33"/>
  <c r="AA39" i="33" s="1"/>
  <c r="E123" i="33"/>
  <c r="F42" i="33"/>
  <c r="AA42" i="33"/>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S28" i="31"/>
  <c r="S27" i="31"/>
  <c r="S26" i="31"/>
  <c r="S22" i="31" s="1"/>
  <c r="R22" i="31" s="1"/>
  <c r="U35" i="35"/>
  <c r="AB28" i="37"/>
  <c r="W26" i="37"/>
  <c r="AC8" i="37"/>
  <c r="U26" i="37"/>
  <c r="W47" i="34"/>
  <c r="W37" i="34"/>
  <c r="AB37" i="34"/>
  <c r="AC36" i="34"/>
  <c r="W44" i="33"/>
  <c r="U19" i="21"/>
  <c r="AC46" i="21"/>
  <c r="U12" i="21"/>
  <c r="AB38" i="21"/>
  <c r="F43" i="33"/>
  <c r="AA43" i="33"/>
  <c r="W15" i="34"/>
  <c r="AC15" i="34"/>
  <c r="W16" i="35"/>
  <c r="W40" i="37"/>
  <c r="G107" i="37"/>
  <c r="H107" i="37"/>
  <c r="I107" i="37" s="1"/>
  <c r="J107" i="37" s="1"/>
  <c r="K107" i="37" s="1"/>
  <c r="L107" i="37" s="1"/>
  <c r="M107" i="37" s="1"/>
  <c r="H19" i="34"/>
  <c r="AB19" i="34"/>
  <c r="J9" i="37"/>
  <c r="W9" i="37"/>
  <c r="H9" i="37"/>
  <c r="AB9" i="37"/>
  <c r="F9" i="37"/>
  <c r="S9" i="37"/>
  <c r="J12" i="37"/>
  <c r="W12" i="37"/>
  <c r="H12" i="37"/>
  <c r="AB12" i="37"/>
  <c r="F12" i="37"/>
  <c r="S12" i="37"/>
  <c r="E71" i="37"/>
  <c r="F15" i="37"/>
  <c r="AA15" i="37" s="1"/>
  <c r="E94" i="37"/>
  <c r="F94" i="37" s="1"/>
  <c r="F31" i="37"/>
  <c r="S31" i="37"/>
  <c r="F12" i="39"/>
  <c r="S12" i="39" s="1"/>
  <c r="J42" i="39"/>
  <c r="AC42" i="39" s="1"/>
  <c r="H21" i="40"/>
  <c r="AB21" i="40" s="1"/>
  <c r="AC12" i="37"/>
  <c r="G94" i="37"/>
  <c r="H94" i="37" s="1"/>
  <c r="I94" i="37" s="1"/>
  <c r="J94" i="37" s="1"/>
  <c r="K94" i="37" s="1"/>
  <c r="L94" i="37" s="1"/>
  <c r="M94" i="37" s="1"/>
  <c r="H31" i="37"/>
  <c r="U31" i="37"/>
  <c r="F71" i="37"/>
  <c r="G71" i="37"/>
  <c r="J15" i="37"/>
  <c r="W15" i="37"/>
  <c r="U12" i="37"/>
  <c r="AT6"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AB41" i="39" s="1"/>
  <c r="AB34" i="39"/>
  <c r="S42" i="39"/>
  <c r="W9" i="39"/>
  <c r="W8" i="39"/>
  <c r="J19" i="40"/>
  <c r="AC19" i="40"/>
  <c r="J50" i="40"/>
  <c r="H103" i="9"/>
  <c r="D8" i="53" s="1"/>
  <c r="B16" i="53"/>
  <c r="B33" i="72" s="1"/>
  <c r="C7" i="37"/>
  <c r="C7" i="34"/>
  <c r="C7" i="36"/>
  <c r="A4" i="52"/>
  <c r="B41" i="72" s="1"/>
  <c r="J11" i="39"/>
  <c r="W11" i="39" s="1"/>
  <c r="F11" i="39"/>
  <c r="AA11" i="39" s="1"/>
  <c r="G4" i="4"/>
  <c r="I4" i="4"/>
  <c r="K5" i="4" s="1"/>
  <c r="B47" i="48" s="1"/>
  <c r="A2" i="9"/>
  <c r="F59" i="43"/>
  <c r="H62" i="43" s="1"/>
  <c r="AZ20" i="3"/>
  <c r="AZ24" i="3"/>
  <c r="AZ28" i="3"/>
  <c r="AZ32" i="3"/>
  <c r="BL549" i="3"/>
  <c r="AZ549" i="3" s="1"/>
  <c r="AZ502" i="3"/>
  <c r="AZ546" i="3"/>
  <c r="G546" i="3"/>
  <c r="G524" i="3"/>
  <c r="G303" i="3"/>
  <c r="BL304" i="3"/>
  <c r="AZ304" i="3" s="1"/>
  <c r="G305" i="3"/>
  <c r="BL306" i="3"/>
  <c r="BA308" i="3"/>
  <c r="AZ308" i="3"/>
  <c r="BA309" i="3"/>
  <c r="BL309" i="3"/>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AZ389" i="3" s="1"/>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8" i="3"/>
  <c r="AZ319" i="3"/>
  <c r="G342" i="3"/>
  <c r="BL345" i="3"/>
  <c r="G346" i="3"/>
  <c r="BL349" i="3"/>
  <c r="BL352" i="3"/>
  <c r="G353" i="3"/>
  <c r="BA357" i="3"/>
  <c r="AZ357" i="3"/>
  <c r="BL358" i="3"/>
  <c r="AZ358" i="3"/>
  <c r="G359" i="3"/>
  <c r="BA361" i="3"/>
  <c r="AZ361" i="3" s="1"/>
  <c r="BL362" i="3"/>
  <c r="AZ362" i="3" s="1"/>
  <c r="G363" i="3"/>
  <c r="BA365" i="3"/>
  <c r="AZ365" i="3" s="1"/>
  <c r="BL366" i="3"/>
  <c r="G367" i="3"/>
  <c r="BA369" i="3"/>
  <c r="AZ369" i="3"/>
  <c r="BL370" i="3"/>
  <c r="G371" i="3"/>
  <c r="BA373" i="3"/>
  <c r="AZ373" i="3"/>
  <c r="BL374" i="3"/>
  <c r="AZ374" i="3"/>
  <c r="G375" i="3"/>
  <c r="BA377" i="3"/>
  <c r="AZ377" i="3" s="1"/>
  <c r="AZ229" i="3"/>
  <c r="AZ237"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5" i="3"/>
  <c r="AZ279" i="3"/>
  <c r="AZ283" i="3"/>
  <c r="AZ291" i="3"/>
  <c r="AZ299" i="3"/>
  <c r="BJ5" i="3"/>
  <c r="AZ309" i="3"/>
  <c r="AZ341" i="3"/>
  <c r="AZ506" i="3"/>
  <c r="AZ496" i="3"/>
  <c r="G548" i="3"/>
  <c r="G538" i="3"/>
  <c r="G520" i="3"/>
  <c r="G502" i="3"/>
  <c r="BS5" i="3"/>
  <c r="BP5" i="3"/>
  <c r="BN5" i="3"/>
  <c r="G29" i="6" s="1"/>
  <c r="AZ343" i="3"/>
  <c r="BK5" i="3"/>
  <c r="BG5" i="3"/>
  <c r="G17" i="3"/>
  <c r="BA17" i="3"/>
  <c r="AZ350" i="3"/>
  <c r="AZ352" i="3"/>
  <c r="AZ356" i="3"/>
  <c r="AZ360" i="3"/>
  <c r="AZ364" i="3"/>
  <c r="BA15" i="3"/>
  <c r="AZ15" i="3" s="1"/>
  <c r="BR5" i="3"/>
  <c r="AZ384" i="3"/>
  <c r="AZ388" i="3"/>
  <c r="AZ392" i="3"/>
  <c r="AZ394" i="3"/>
  <c r="AZ509" i="3"/>
  <c r="BL493" i="3"/>
  <c r="AZ493" i="3" s="1"/>
  <c r="AZ491" i="3"/>
  <c r="AZ376" i="3"/>
  <c r="AZ390" i="3"/>
  <c r="AZ382" i="3"/>
  <c r="U36" i="40"/>
  <c r="F36" i="43"/>
  <c r="H113" i="43"/>
  <c r="F48" i="43"/>
  <c r="H52" i="43" s="1"/>
  <c r="F70" i="43"/>
  <c r="H73" i="43" s="1"/>
  <c r="M11" i="43"/>
  <c r="D17" i="43"/>
  <c r="F39" i="43"/>
  <c r="I17" i="43"/>
  <c r="F35" i="43"/>
  <c r="J17" i="43"/>
  <c r="F6" i="1"/>
  <c r="I20" i="43" s="1"/>
  <c r="U17" i="39"/>
  <c r="S14" i="35"/>
  <c r="U43" i="21"/>
  <c r="AC35" i="21"/>
  <c r="U10" i="21"/>
  <c r="G8" i="1"/>
  <c r="G9" i="1"/>
  <c r="G10" i="1"/>
  <c r="AC11" i="39"/>
  <c r="AZ563" i="3"/>
  <c r="AZ501"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40" i="3"/>
  <c r="AZ243" i="3"/>
  <c r="AZ248" i="3"/>
  <c r="AZ256" i="3"/>
  <c r="AZ259" i="3"/>
  <c r="AZ268"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K9" i="1"/>
  <c r="M9" i="1" s="1"/>
  <c r="AE9" i="1"/>
  <c r="D93" i="9"/>
  <c r="AC26" i="33"/>
  <c r="W27" i="34"/>
  <c r="AB34" i="36"/>
  <c r="U34" i="36"/>
  <c r="AB33" i="36"/>
  <c r="U33" i="36"/>
  <c r="AC12" i="39"/>
  <c r="AC39" i="40"/>
  <c r="W39" i="40"/>
  <c r="AZ401" i="3"/>
  <c r="AZ417" i="3"/>
  <c r="AZ433" i="3"/>
  <c r="W12" i="33"/>
  <c r="AC12" i="33"/>
  <c r="S32" i="36"/>
  <c r="AZ550" i="3"/>
  <c r="AZ408" i="3"/>
  <c r="AZ437" i="3"/>
  <c r="AZ441" i="3"/>
  <c r="AZ457" i="3"/>
  <c r="AZ490" i="3"/>
  <c r="AA39" i="34"/>
  <c r="F28" i="6"/>
  <c r="BL14" i="3"/>
  <c r="AZ266" i="3"/>
  <c r="U30" i="33"/>
  <c r="AC13" i="34"/>
  <c r="AA47" i="34"/>
  <c r="W28" i="37"/>
  <c r="S19" i="39"/>
  <c r="F12" i="33"/>
  <c r="AA12" i="33" s="1"/>
  <c r="H12" i="39"/>
  <c r="AB12" i="39"/>
  <c r="F39" i="40"/>
  <c r="BA14" i="3"/>
  <c r="AZ14" i="3" s="1"/>
  <c r="AZ367" i="3"/>
  <c r="AZ224" i="3"/>
  <c r="AZ234" i="3"/>
  <c r="AZ238" i="3"/>
  <c r="AZ250" i="3"/>
  <c r="AZ254" i="3"/>
  <c r="AZ281" i="3"/>
  <c r="AZ286"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AC34" i="33"/>
  <c r="AA34" i="33"/>
  <c r="B41" i="1"/>
  <c r="F53" i="9" s="1"/>
  <c r="J100" i="43"/>
  <c r="AB37" i="40"/>
  <c r="S35" i="40"/>
  <c r="U35" i="40"/>
  <c r="AC36" i="40"/>
  <c r="W38" i="40"/>
  <c r="AA32" i="40"/>
  <c r="S17" i="40"/>
  <c r="S23" i="40"/>
  <c r="AC17" i="40"/>
  <c r="AC15" i="40"/>
  <c r="S30" i="40"/>
  <c r="S28" i="40"/>
  <c r="U21" i="40"/>
  <c r="W42" i="39"/>
  <c r="U37" i="39"/>
  <c r="W39" i="39"/>
  <c r="S43" i="39"/>
  <c r="U35" i="39"/>
  <c r="F32" i="39"/>
  <c r="U25" i="39"/>
  <c r="U31" i="39"/>
  <c r="J21" i="39"/>
  <c r="W21" i="39" s="1"/>
  <c r="F21" i="39"/>
  <c r="G95" i="39"/>
  <c r="H21" i="39"/>
  <c r="W19" i="39"/>
  <c r="S17" i="39"/>
  <c r="AC15" i="39"/>
  <c r="S15" i="39"/>
  <c r="AA12" i="39"/>
  <c r="S9" i="39"/>
  <c r="U14" i="39"/>
  <c r="AC13" i="39"/>
  <c r="U12" i="39"/>
  <c r="S23" i="36"/>
  <c r="U13" i="36"/>
  <c r="AC27" i="36"/>
  <c r="AB27" i="36"/>
  <c r="S33" i="36"/>
  <c r="S27" i="36"/>
  <c r="AA26" i="36"/>
  <c r="AA34" i="36"/>
  <c r="S29" i="36"/>
  <c r="AC26" i="36"/>
  <c r="AA22" i="36"/>
  <c r="AB14" i="36"/>
  <c r="U22" i="36"/>
  <c r="S16" i="36"/>
  <c r="S24" i="36"/>
  <c r="U24" i="36"/>
  <c r="U23" i="36"/>
  <c r="U16" i="36"/>
  <c r="S14" i="36"/>
  <c r="U10" i="36"/>
  <c r="W10" i="36"/>
  <c r="AA25" i="35"/>
  <c r="S23" i="35"/>
  <c r="AB13" i="35"/>
  <c r="U29" i="35"/>
  <c r="U28" i="35"/>
  <c r="AB27" i="35"/>
  <c r="U32" i="35"/>
  <c r="AA33" i="35"/>
  <c r="AC30" i="35"/>
  <c r="S32"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U29" i="37"/>
  <c r="S32" i="37"/>
  <c r="AB31" i="37"/>
  <c r="W30" i="37"/>
  <c r="S36" i="37"/>
  <c r="AA38" i="37"/>
  <c r="U32" i="37"/>
  <c r="W38" i="37"/>
  <c r="AC35" i="37"/>
  <c r="S30" i="37"/>
  <c r="S37" i="37"/>
  <c r="AC15" i="37"/>
  <c r="J17" i="37"/>
  <c r="W17" i="37"/>
  <c r="F17" i="37"/>
  <c r="AA17" i="37" s="1"/>
  <c r="AB17" i="37"/>
  <c r="F75" i="37"/>
  <c r="F19" i="37"/>
  <c r="S19" i="37" s="1"/>
  <c r="F23" i="37"/>
  <c r="S23" i="37" s="1"/>
  <c r="U23" i="37"/>
  <c r="U15" i="37"/>
  <c r="AC13" i="37"/>
  <c r="U9" i="37"/>
  <c r="AA13" i="37"/>
  <c r="AA12" i="37"/>
  <c r="AA9" i="37"/>
  <c r="H10" i="37"/>
  <c r="H60" i="37"/>
  <c r="I60" i="37" s="1"/>
  <c r="F63" i="37"/>
  <c r="F11" i="37"/>
  <c r="S11" i="37" s="1"/>
  <c r="S27" i="34"/>
  <c r="W25" i="34"/>
  <c r="AB8" i="34"/>
  <c r="U44" i="34"/>
  <c r="U43" i="34"/>
  <c r="AC39" i="34"/>
  <c r="W41" i="34"/>
  <c r="AC42" i="34"/>
  <c r="AB35" i="34"/>
  <c r="U39" i="34"/>
  <c r="S43" i="34"/>
  <c r="AB41" i="34"/>
  <c r="AA45" i="34"/>
  <c r="W34" i="34"/>
  <c r="AA25" i="34"/>
  <c r="U28" i="34"/>
  <c r="S17" i="34"/>
  <c r="AA29" i="34"/>
  <c r="U27" i="34"/>
  <c r="S23" i="34"/>
  <c r="S10" i="34"/>
  <c r="H67" i="34"/>
  <c r="I67" i="34" s="1"/>
  <c r="H10" i="34"/>
  <c r="F11" i="34"/>
  <c r="S11" i="34" s="1"/>
  <c r="F70" i="34"/>
  <c r="W42" i="33"/>
  <c r="AA35" i="33"/>
  <c r="S27" i="33"/>
  <c r="S32" i="33"/>
  <c r="AA29" i="33"/>
  <c r="AB29" i="33"/>
  <c r="W38" i="33"/>
  <c r="H41" i="33"/>
  <c r="U41" i="33" s="1"/>
  <c r="U42" i="33"/>
  <c r="S42" i="33"/>
  <c r="F36" i="33"/>
  <c r="G111" i="33"/>
  <c r="J35" i="33"/>
  <c r="AC35" i="33" s="1"/>
  <c r="S37" i="33"/>
  <c r="AA37" i="33"/>
  <c r="F101" i="33"/>
  <c r="G101" i="33" s="1"/>
  <c r="H101" i="33" s="1"/>
  <c r="I101" i="33" s="1"/>
  <c r="J101" i="33" s="1"/>
  <c r="K101" i="33" s="1"/>
  <c r="L101" i="33" s="1"/>
  <c r="M101" i="33" s="1"/>
  <c r="J32" i="33"/>
  <c r="W32" i="33" s="1"/>
  <c r="W43" i="33"/>
  <c r="S43" i="33"/>
  <c r="F91" i="33"/>
  <c r="H27" i="33"/>
  <c r="F87" i="33"/>
  <c r="H25" i="33"/>
  <c r="F25" i="33"/>
  <c r="AA25" i="33" s="1"/>
  <c r="J23" i="33"/>
  <c r="F85" i="33"/>
  <c r="G85" i="33" s="1"/>
  <c r="H23" i="33"/>
  <c r="F81" i="33"/>
  <c r="F19" i="33"/>
  <c r="S19" i="33"/>
  <c r="W19" i="33"/>
  <c r="J17" i="33"/>
  <c r="AC17" i="33" s="1"/>
  <c r="S15" i="33"/>
  <c r="U9" i="33"/>
  <c r="J10" i="33"/>
  <c r="W10" i="33" s="1"/>
  <c r="H10" i="33"/>
  <c r="AA10" i="33"/>
  <c r="AC11" i="33"/>
  <c r="AB14" i="33"/>
  <c r="W43" i="21"/>
  <c r="W36" i="21"/>
  <c r="W41" i="21"/>
  <c r="AB39" i="21"/>
  <c r="AA43" i="21"/>
  <c r="S39" i="21"/>
  <c r="AA36" i="21"/>
  <c r="AC40" i="21"/>
  <c r="J15" i="21"/>
  <c r="W15" i="21" s="1"/>
  <c r="F77" i="21"/>
  <c r="G77" i="21" s="1"/>
  <c r="F23" i="21"/>
  <c r="S23" i="21" s="1"/>
  <c r="E85" i="21"/>
  <c r="F85" i="21" s="1"/>
  <c r="G85" i="21" s="1"/>
  <c r="AA14" i="21"/>
  <c r="AB8" i="21"/>
  <c r="M3" i="43"/>
  <c r="M1" i="43"/>
  <c r="N8" i="43"/>
  <c r="D120" i="9"/>
  <c r="D121" i="9" s="1"/>
  <c r="D7" i="52" s="1"/>
  <c r="F34" i="67"/>
  <c r="F62" i="67" s="1"/>
  <c r="M20" i="67"/>
  <c r="F34" i="15"/>
  <c r="F62" i="15" s="1"/>
  <c r="BL17" i="3"/>
  <c r="AZ17" i="3"/>
  <c r="BL13" i="3"/>
  <c r="J56" i="9"/>
  <c r="J57" i="9" s="1"/>
  <c r="J59" i="9" s="1"/>
  <c r="J61" i="9" s="1"/>
  <c r="A24" i="51"/>
  <c r="B18" i="72" s="1"/>
  <c r="U29" i="34"/>
  <c r="E32" i="6"/>
  <c r="G1" i="68"/>
  <c r="K1" i="12"/>
  <c r="E19" i="69"/>
  <c r="E19" i="68"/>
  <c r="E19" i="11"/>
  <c r="E1" i="73"/>
  <c r="G22" i="69"/>
  <c r="G22" i="68"/>
  <c r="G26" i="12"/>
  <c r="G22" i="11"/>
  <c r="C100" i="43"/>
  <c r="E48" i="43"/>
  <c r="B46" i="43" s="1"/>
  <c r="E70" i="43"/>
  <c r="B68" i="43" s="1"/>
  <c r="F100" i="43"/>
  <c r="H17" i="43"/>
  <c r="G6" i="1"/>
  <c r="H53" i="43"/>
  <c r="H78" i="43"/>
  <c r="C17" i="43"/>
  <c r="F33" i="43"/>
  <c r="K17" i="43"/>
  <c r="F34" i="43"/>
  <c r="N6" i="43"/>
  <c r="N3" i="43"/>
  <c r="F38" i="43"/>
  <c r="F37" i="43"/>
  <c r="M9" i="43"/>
  <c r="C6" i="43" s="1"/>
  <c r="N5" i="43"/>
  <c r="M12" i="43"/>
  <c r="B19" i="53"/>
  <c r="B37" i="72"/>
  <c r="C7" i="39"/>
  <c r="C68" i="39" s="1"/>
  <c r="C7" i="35"/>
  <c r="C7" i="33"/>
  <c r="C58" i="33" s="1"/>
  <c r="C7" i="2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A4" i="51"/>
  <c r="B6" i="72" s="1"/>
  <c r="C48" i="35"/>
  <c r="D48" i="35" s="1"/>
  <c r="H64" i="43"/>
  <c r="H55" i="43"/>
  <c r="H72" i="43"/>
  <c r="L20" i="6"/>
  <c r="B6" i="1"/>
  <c r="E6" i="1" s="1"/>
  <c r="S8" i="1"/>
  <c r="AQ8" i="1" s="1"/>
  <c r="K11" i="1"/>
  <c r="M11" i="1" s="1"/>
  <c r="O11" i="1" s="1"/>
  <c r="P11" i="1" s="1"/>
  <c r="B9" i="1"/>
  <c r="E9" i="1" s="1"/>
  <c r="K7" i="1"/>
  <c r="G1" i="15"/>
  <c r="G1" i="69"/>
  <c r="G1" i="67"/>
  <c r="W23" i="40"/>
  <c r="U32" i="40"/>
  <c r="AB31" i="40"/>
  <c r="S37" i="40"/>
  <c r="AB28" i="40"/>
  <c r="W28" i="40"/>
  <c r="W34" i="40"/>
  <c r="W19" i="40"/>
  <c r="W27" i="40"/>
  <c r="S36" i="40"/>
  <c r="W37" i="40"/>
  <c r="S13" i="40"/>
  <c r="AA15" i="40"/>
  <c r="U11" i="40"/>
  <c r="S31" i="40"/>
  <c r="U15" i="40"/>
  <c r="AB17" i="40"/>
  <c r="U8" i="40"/>
  <c r="S8" i="40"/>
  <c r="AA39" i="39"/>
  <c r="AC41" i="39"/>
  <c r="U42" i="39"/>
  <c r="U41" i="39"/>
  <c r="W25" i="39"/>
  <c r="AC25" i="39"/>
  <c r="U13" i="39"/>
  <c r="AB13" i="39"/>
  <c r="AA13" i="39"/>
  <c r="S13" i="39"/>
  <c r="S14" i="39"/>
  <c r="AA14" i="39"/>
  <c r="U43" i="39"/>
  <c r="AB43" i="39"/>
  <c r="AB11" i="39"/>
  <c r="AA27" i="39"/>
  <c r="W17" i="39"/>
  <c r="AC17" i="39"/>
  <c r="W31" i="39"/>
  <c r="S23" i="39"/>
  <c r="AA45" i="39"/>
  <c r="AB39" i="39"/>
  <c r="U38" i="39"/>
  <c r="S8" i="39"/>
  <c r="S20" i="36"/>
  <c r="S28" i="36"/>
  <c r="W29" i="36"/>
  <c r="AA13" i="36"/>
  <c r="W22" i="36"/>
  <c r="W23" i="36"/>
  <c r="S9" i="36"/>
  <c r="AC25" i="35"/>
  <c r="U25" i="35"/>
  <c r="W33" i="35"/>
  <c r="AA30" i="35"/>
  <c r="S35" i="35"/>
  <c r="W35" i="35"/>
  <c r="AA16" i="35"/>
  <c r="AA35" i="37"/>
  <c r="W36" i="37"/>
  <c r="S28" i="37"/>
  <c r="W32" i="37"/>
  <c r="U36" i="37"/>
  <c r="U38" i="37"/>
  <c r="AB37" i="37"/>
  <c r="S33" i="37"/>
  <c r="AC34" i="37"/>
  <c r="AB35" i="37"/>
  <c r="AA31"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AA19" i="34"/>
  <c r="S19" i="34"/>
  <c r="AA36" i="34"/>
  <c r="S36" i="34"/>
  <c r="AA8" i="34"/>
  <c r="S46" i="34"/>
  <c r="AA46" i="34"/>
  <c r="U32" i="34"/>
  <c r="U14" i="34"/>
  <c r="AB14" i="34"/>
  <c r="AC43" i="34"/>
  <c r="AA11" i="34"/>
  <c r="W23" i="34"/>
  <c r="AC23" i="34"/>
  <c r="AC35" i="34"/>
  <c r="W35"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F33" i="21"/>
  <c r="S33" i="21" s="1"/>
  <c r="J33" i="21"/>
  <c r="W33" i="21" s="1"/>
  <c r="H33" i="21"/>
  <c r="AB33" i="21" s="1"/>
  <c r="AA26" i="21"/>
  <c r="AB46" i="21"/>
  <c r="U40" i="21"/>
  <c r="AC15" i="21"/>
  <c r="U13" i="21"/>
  <c r="AB13" i="21"/>
  <c r="W8" i="21"/>
  <c r="S35" i="21"/>
  <c r="H15" i="21"/>
  <c r="AB15" i="21" s="1"/>
  <c r="J17" i="21"/>
  <c r="AC17" i="21" s="1"/>
  <c r="W39" i="21"/>
  <c r="AC14" i="21"/>
  <c r="H45" i="21"/>
  <c r="U45" i="21" s="1"/>
  <c r="F29" i="21"/>
  <c r="S29" i="21" s="1"/>
  <c r="F13" i="21"/>
  <c r="AA13" i="21" s="1"/>
  <c r="AC38" i="21"/>
  <c r="H32" i="21"/>
  <c r="H9" i="21"/>
  <c r="U9" i="21" s="1"/>
  <c r="J32" i="21"/>
  <c r="AC32" i="21" s="1"/>
  <c r="F32" i="21"/>
  <c r="S19" i="21"/>
  <c r="S9" i="21"/>
  <c r="K141" i="21"/>
  <c r="K144" i="21"/>
  <c r="K143" i="21"/>
  <c r="AB25" i="21"/>
  <c r="W13" i="21"/>
  <c r="F10" i="21"/>
  <c r="AA10" i="21" s="1"/>
  <c r="K145" i="21"/>
  <c r="W25" i="21"/>
  <c r="S27" i="21"/>
  <c r="AC26" i="21"/>
  <c r="AC34" i="21"/>
  <c r="W10" i="21"/>
  <c r="W12" i="21"/>
  <c r="AB36" i="21"/>
  <c r="C19" i="39"/>
  <c r="C17" i="40"/>
  <c r="C21" i="40"/>
  <c r="U30" i="40"/>
  <c r="B54" i="43"/>
  <c r="B49" i="43"/>
  <c r="B52" i="43"/>
  <c r="B56" i="43"/>
  <c r="B63" i="43"/>
  <c r="B67" i="43"/>
  <c r="D23" i="15"/>
  <c r="D22" i="15"/>
  <c r="E4" i="4"/>
  <c r="B5" i="62" s="1"/>
  <c r="B73" i="72" s="1"/>
  <c r="C4" i="4"/>
  <c r="AA39" i="40"/>
  <c r="S39" i="40"/>
  <c r="S12" i="33"/>
  <c r="J32" i="39"/>
  <c r="W32" i="39" s="1"/>
  <c r="H32" i="39"/>
  <c r="AA32" i="39"/>
  <c r="S32" i="39"/>
  <c r="AB21" i="39"/>
  <c r="U21" i="39"/>
  <c r="AA21" i="39"/>
  <c r="S21" i="39"/>
  <c r="AC21" i="39"/>
  <c r="S26" i="35"/>
  <c r="U9" i="35"/>
  <c r="AB9" i="35"/>
  <c r="S9" i="35"/>
  <c r="W26" i="35"/>
  <c r="AB26" i="35"/>
  <c r="U26" i="35"/>
  <c r="AC17" i="37"/>
  <c r="S17" i="37"/>
  <c r="J19" i="37"/>
  <c r="G75" i="37"/>
  <c r="AA19" i="37"/>
  <c r="J23" i="37"/>
  <c r="W23" i="37" s="1"/>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J23" i="21"/>
  <c r="AC23" i="21" s="1"/>
  <c r="S13" i="21"/>
  <c r="D6" i="52"/>
  <c r="AP7" i="1"/>
  <c r="AC33" i="21"/>
  <c r="W32" i="21"/>
  <c r="AB9" i="21"/>
  <c r="AA32" i="21"/>
  <c r="S32" i="21"/>
  <c r="AB32" i="21"/>
  <c r="U32" i="21"/>
  <c r="U32" i="39"/>
  <c r="AB32" i="39"/>
  <c r="AC32" i="39"/>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W23" i="21"/>
  <c r="M18" i="9"/>
  <c r="B118" i="9" s="1"/>
  <c r="B14" i="74" s="1"/>
  <c r="B1" i="74" s="1"/>
  <c r="AC11" i="37"/>
  <c r="W11" i="37"/>
  <c r="W11" i="34"/>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J1" i="73"/>
  <c r="H77" i="43"/>
  <c r="H67" i="43"/>
  <c r="M4" i="43"/>
  <c r="M5" i="43"/>
  <c r="N12" i="43"/>
  <c r="N11" i="43"/>
  <c r="M10" i="43"/>
  <c r="M2" i="43"/>
  <c r="M7" i="43"/>
  <c r="H54" i="43"/>
  <c r="N9" i="43"/>
  <c r="F81" i="43" s="1"/>
  <c r="M8" i="43"/>
  <c r="N10" i="43"/>
  <c r="H48" i="43"/>
  <c r="M6" i="43"/>
  <c r="N7" i="43"/>
  <c r="N4" i="43"/>
  <c r="N2" i="43"/>
  <c r="H49" i="43"/>
  <c r="N17" i="43"/>
  <c r="L17" i="43"/>
  <c r="O17" i="43"/>
  <c r="M17" i="43"/>
  <c r="E17" i="43"/>
  <c r="C24" i="12"/>
  <c r="AB16" i="71"/>
  <c r="X14" i="71"/>
  <c r="X13" i="71"/>
  <c r="AA14" i="71"/>
  <c r="AA13" i="71"/>
  <c r="X17" i="71"/>
  <c r="Y13" i="71"/>
  <c r="Z13" i="71" s="1"/>
  <c r="AB14" i="71"/>
  <c r="AB13" i="71"/>
  <c r="Y14" i="71"/>
  <c r="Z14" i="71" s="1"/>
  <c r="X3" i="71"/>
  <c r="I59" i="34"/>
  <c r="J59" i="34" s="1"/>
  <c r="F38" i="15"/>
  <c r="F40" i="15"/>
  <c r="M24" i="15"/>
  <c r="M6" i="67"/>
  <c r="F20" i="31"/>
  <c r="B11" i="76"/>
  <c r="M9" i="15"/>
  <c r="B12" i="76"/>
  <c r="D2" i="34"/>
  <c r="D2" i="35"/>
  <c r="M29" i="67"/>
  <c r="M9" i="67"/>
  <c r="F6" i="67"/>
  <c r="F43" i="15"/>
  <c r="F8" i="15"/>
  <c r="F13" i="67"/>
  <c r="F40" i="67"/>
  <c r="B9" i="76"/>
  <c r="E7" i="76"/>
  <c r="F35" i="67"/>
  <c r="C76" i="15"/>
  <c r="M24" i="67"/>
  <c r="C76" i="67"/>
  <c r="M29" i="15"/>
  <c r="D6" i="73"/>
  <c r="M8" i="67"/>
  <c r="F26" i="15"/>
  <c r="L47" i="67"/>
  <c r="M8" i="15"/>
  <c r="D5" i="73"/>
  <c r="F16" i="67"/>
  <c r="F41" i="67"/>
  <c r="AO11" i="1"/>
  <c r="E10" i="76"/>
  <c r="D3" i="73"/>
  <c r="M21" i="67"/>
  <c r="E2" i="68"/>
  <c r="M23" i="67"/>
  <c r="D2" i="21"/>
  <c r="D7" i="73"/>
  <c r="F37" i="67"/>
  <c r="B10" i="76"/>
  <c r="F9" i="15"/>
  <c r="AO12" i="1"/>
  <c r="F43" i="67"/>
  <c r="M26" i="67"/>
  <c r="J15" i="15"/>
  <c r="D2" i="36"/>
  <c r="L47" i="15"/>
  <c r="M28" i="15"/>
  <c r="M22" i="15"/>
  <c r="F16" i="15"/>
  <c r="L48" i="67"/>
  <c r="D4" i="73"/>
  <c r="M6" i="15"/>
  <c r="F36" i="15"/>
  <c r="F8" i="67"/>
  <c r="B7" i="76"/>
  <c r="F7" i="15"/>
  <c r="M23" i="15"/>
  <c r="F37" i="15"/>
  <c r="J15" i="67"/>
  <c r="F38" i="67"/>
  <c r="AO8" i="1"/>
  <c r="L48" i="15"/>
  <c r="M22" i="67"/>
  <c r="E11" i="76"/>
  <c r="E8" i="76"/>
  <c r="E13" i="76"/>
  <c r="AO10" i="1"/>
  <c r="F3" i="73"/>
  <c r="B8" i="76"/>
  <c r="F42" i="15"/>
  <c r="F26" i="67"/>
  <c r="F6" i="73"/>
  <c r="F7" i="73"/>
  <c r="F7" i="67"/>
  <c r="M28" i="67"/>
  <c r="AO13" i="1"/>
  <c r="F4" i="73"/>
  <c r="E9" i="76"/>
  <c r="D2" i="33"/>
  <c r="F9" i="67"/>
  <c r="E12" i="76"/>
  <c r="E2" i="69"/>
  <c r="F6" i="15"/>
  <c r="M27" i="67"/>
  <c r="D2" i="37"/>
  <c r="F13" i="15"/>
  <c r="AO9" i="1"/>
  <c r="F36" i="67"/>
  <c r="M26" i="15"/>
  <c r="F5" i="73"/>
  <c r="B13" i="76"/>
  <c r="M27" i="15"/>
  <c r="F42" i="67"/>
  <c r="AC38" i="39" l="1"/>
  <c r="S38" i="39"/>
  <c r="G13" i="3"/>
  <c r="AR11" i="1"/>
  <c r="AR10" i="1"/>
  <c r="K6" i="1"/>
  <c r="H16" i="1" s="1"/>
  <c r="T13" i="1"/>
  <c r="T11" i="1"/>
  <c r="AQ13" i="1"/>
  <c r="AQ12" i="1"/>
  <c r="T8" i="1"/>
  <c r="T9" i="1"/>
  <c r="AQ9" i="1"/>
  <c r="T10" i="1"/>
  <c r="T12" i="1"/>
  <c r="BA13" i="3"/>
  <c r="AZ13" i="3" s="1"/>
  <c r="E8" i="6"/>
  <c r="F27" i="6" s="1"/>
  <c r="E5" i="6"/>
  <c r="D9" i="11" s="1"/>
  <c r="C9" i="11" s="1"/>
  <c r="A118" i="9"/>
  <c r="H37" i="21"/>
  <c r="F37" i="21"/>
  <c r="AA37" i="21" s="1"/>
  <c r="H113" i="21"/>
  <c r="J37" i="21"/>
  <c r="E10" i="6"/>
  <c r="E11" i="6"/>
  <c r="E61" i="39" s="1"/>
  <c r="AZ557" i="3"/>
  <c r="AZ513" i="3"/>
  <c r="AZ517" i="3"/>
  <c r="AZ567" i="3"/>
  <c r="AZ571" i="3"/>
  <c r="AZ575" i="3"/>
  <c r="AZ579" i="3"/>
  <c r="AC14" i="37"/>
  <c r="W14" i="37"/>
  <c r="AC35" i="40"/>
  <c r="W35" i="40"/>
  <c r="AC14" i="39"/>
  <c r="W14" i="39"/>
  <c r="U13" i="34"/>
  <c r="AB13" i="34"/>
  <c r="U11" i="35"/>
  <c r="AB11" i="35"/>
  <c r="U46" i="34"/>
  <c r="AB46" i="34"/>
  <c r="S14" i="34"/>
  <c r="AA14" i="34"/>
  <c r="U45" i="33"/>
  <c r="AB45" i="33"/>
  <c r="S13" i="33"/>
  <c r="AA13" i="33"/>
  <c r="AB33" i="37"/>
  <c r="U33" i="37"/>
  <c r="W28" i="34"/>
  <c r="AC28" i="34"/>
  <c r="U23" i="34"/>
  <c r="AB23" i="34"/>
  <c r="AB33" i="35"/>
  <c r="U33" i="35"/>
  <c r="W33" i="36"/>
  <c r="AC33" i="36"/>
  <c r="AB34" i="21"/>
  <c r="U34" i="21"/>
  <c r="G585" i="3"/>
  <c r="H5" i="3"/>
  <c r="BL587" i="3"/>
  <c r="BA587" i="3"/>
  <c r="BO5" i="3"/>
  <c r="BL586" i="3"/>
  <c r="AZ586" i="3" s="1"/>
  <c r="H31" i="21"/>
  <c r="J31" i="21"/>
  <c r="E79" i="21"/>
  <c r="F79" i="21" s="1"/>
  <c r="G79" i="21" s="1"/>
  <c r="H17" i="21"/>
  <c r="AB17" i="21" s="1"/>
  <c r="I69" i="21"/>
  <c r="J69" i="21" s="1"/>
  <c r="K69" i="21" s="1"/>
  <c r="L69" i="21" s="1"/>
  <c r="M69" i="21" s="1"/>
  <c r="F11" i="21"/>
  <c r="H11" i="21"/>
  <c r="U11" i="21" s="1"/>
  <c r="B71" i="43"/>
  <c r="C21" i="39"/>
  <c r="AC8" i="34"/>
  <c r="W8" i="34"/>
  <c r="J9" i="34"/>
  <c r="H9" i="34"/>
  <c r="U12" i="35"/>
  <c r="AB12" i="35"/>
  <c r="AC28" i="35"/>
  <c r="W28" i="35"/>
  <c r="H36" i="35"/>
  <c r="J36" i="35"/>
  <c r="F36" i="35"/>
  <c r="AA10" i="36"/>
  <c r="S10" i="36"/>
  <c r="W16" i="36"/>
  <c r="AC16" i="36"/>
  <c r="J25" i="36"/>
  <c r="F25" i="36"/>
  <c r="H25" i="36"/>
  <c r="U27" i="37"/>
  <c r="AB27" i="37"/>
  <c r="H74" i="43"/>
  <c r="H70" i="43"/>
  <c r="H60" i="43"/>
  <c r="H76" i="43"/>
  <c r="D17" i="53"/>
  <c r="B36" i="72" s="1"/>
  <c r="AA33" i="21"/>
  <c r="AB45" i="21"/>
  <c r="M7" i="1"/>
  <c r="O7" i="1" s="1"/>
  <c r="P7" i="1" s="1"/>
  <c r="AA23" i="21"/>
  <c r="AA23" i="37"/>
  <c r="B60" i="43"/>
  <c r="B65" i="43"/>
  <c r="C23" i="40"/>
  <c r="C15" i="40"/>
  <c r="W30" i="40"/>
  <c r="AB29" i="21"/>
  <c r="AA15" i="21"/>
  <c r="AA29" i="21"/>
  <c r="W17" i="21"/>
  <c r="W42" i="21"/>
  <c r="U27" i="21"/>
  <c r="J9" i="21"/>
  <c r="AC9" i="21" s="1"/>
  <c r="S46" i="21"/>
  <c r="AB14" i="21"/>
  <c r="W33" i="34"/>
  <c r="U19" i="37"/>
  <c r="AA11" i="37"/>
  <c r="S40" i="37"/>
  <c r="S27" i="37"/>
  <c r="AB20" i="35"/>
  <c r="W9" i="36"/>
  <c r="AB28" i="36"/>
  <c r="AC20" i="36"/>
  <c r="W34" i="39"/>
  <c r="AB23" i="39"/>
  <c r="AB13" i="40"/>
  <c r="S33" i="40"/>
  <c r="AC14" i="40"/>
  <c r="H66" i="43"/>
  <c r="H71" i="43"/>
  <c r="E14" i="6"/>
  <c r="E64" i="39" s="1"/>
  <c r="AA38" i="21"/>
  <c r="W15" i="33"/>
  <c r="S46" i="33"/>
  <c r="S39" i="33"/>
  <c r="S13" i="34"/>
  <c r="U15" i="34"/>
  <c r="AA33" i="34"/>
  <c r="W39" i="37"/>
  <c r="AC29" i="37"/>
  <c r="S20" i="35"/>
  <c r="AB20" i="36"/>
  <c r="W14" i="36"/>
  <c r="U26" i="36"/>
  <c r="AB15" i="39"/>
  <c r="U19" i="39"/>
  <c r="S25" i="39"/>
  <c r="AB27" i="39"/>
  <c r="AB19" i="40"/>
  <c r="AA27" i="40"/>
  <c r="AA19" i="40"/>
  <c r="AB27" i="40"/>
  <c r="AC17" i="34"/>
  <c r="U12" i="40"/>
  <c r="S15" i="37"/>
  <c r="U35" i="21"/>
  <c r="G509" i="3"/>
  <c r="BT5" i="3"/>
  <c r="G28" i="6" s="1"/>
  <c r="E28" i="6" s="1"/>
  <c r="BM5" i="3"/>
  <c r="AZ338" i="3"/>
  <c r="AZ347" i="3"/>
  <c r="AZ378" i="3"/>
  <c r="AA41" i="39"/>
  <c r="AC31" i="33"/>
  <c r="U39" i="37"/>
  <c r="W23" i="35"/>
  <c r="AC32" i="36"/>
  <c r="AZ581" i="3"/>
  <c r="AZ568" i="3"/>
  <c r="AZ576" i="3"/>
  <c r="F17" i="21"/>
  <c r="S45" i="33"/>
  <c r="AA14" i="33"/>
  <c r="AB14" i="40"/>
  <c r="U14" i="40"/>
  <c r="W13" i="40"/>
  <c r="AC13" i="40"/>
  <c r="AB46" i="33"/>
  <c r="U46" i="33"/>
  <c r="AC11" i="36"/>
  <c r="W11" i="36"/>
  <c r="H32" i="36"/>
  <c r="W45" i="33"/>
  <c r="AC45" i="33"/>
  <c r="AB13" i="33"/>
  <c r="U13" i="33"/>
  <c r="F31" i="21"/>
  <c r="AA29" i="35"/>
  <c r="AB11" i="33"/>
  <c r="U11" i="33"/>
  <c r="S12" i="36"/>
  <c r="W40" i="33"/>
  <c r="AA41" i="33"/>
  <c r="S41" i="33"/>
  <c r="F28" i="34"/>
  <c r="AB8" i="36"/>
  <c r="W34" i="36"/>
  <c r="AC34" i="36"/>
  <c r="J11" i="21"/>
  <c r="C27" i="39"/>
  <c r="S40" i="21"/>
  <c r="AC27" i="39"/>
  <c r="W27" i="39"/>
  <c r="AB40" i="39"/>
  <c r="U40" i="39"/>
  <c r="W31" i="40"/>
  <c r="S27" i="35"/>
  <c r="AC36" i="39"/>
  <c r="W36" i="39"/>
  <c r="S36" i="39"/>
  <c r="AA36" i="39"/>
  <c r="W45" i="39"/>
  <c r="AC45" i="39"/>
  <c r="AB26" i="21"/>
  <c r="U26" i="21"/>
  <c r="BA585" i="3"/>
  <c r="AZ585" i="3" s="1"/>
  <c r="S12" i="21"/>
  <c r="AA12" i="21"/>
  <c r="H28" i="21"/>
  <c r="F28" i="21"/>
  <c r="J28" i="21"/>
  <c r="H30" i="21"/>
  <c r="F30" i="21"/>
  <c r="J30" i="21"/>
  <c r="J45" i="21"/>
  <c r="F45" i="21"/>
  <c r="B77" i="43"/>
  <c r="C25" i="39"/>
  <c r="AB40" i="33"/>
  <c r="U40" i="33"/>
  <c r="H28" i="33"/>
  <c r="F28" i="33"/>
  <c r="J28" i="33"/>
  <c r="F9" i="34"/>
  <c r="W12" i="34"/>
  <c r="AC12" i="34"/>
  <c r="S12" i="35"/>
  <c r="AA12" i="35"/>
  <c r="J24" i="35"/>
  <c r="F24" i="35"/>
  <c r="H24" i="35"/>
  <c r="J34" i="35"/>
  <c r="H34" i="35"/>
  <c r="F34" i="35"/>
  <c r="AA8" i="36"/>
  <c r="S8" i="36"/>
  <c r="AB9" i="36"/>
  <c r="U9" i="36"/>
  <c r="AZ548" i="3"/>
  <c r="AZ398" i="3"/>
  <c r="AZ405" i="3"/>
  <c r="AZ407" i="3"/>
  <c r="AZ410" i="3"/>
  <c r="AZ415" i="3"/>
  <c r="AZ420" i="3"/>
  <c r="AZ426" i="3"/>
  <c r="AZ431" i="3"/>
  <c r="AZ436" i="3"/>
  <c r="AZ448" i="3"/>
  <c r="AZ452" i="3"/>
  <c r="AZ461" i="3"/>
  <c r="AZ463" i="3"/>
  <c r="AZ468" i="3"/>
  <c r="AZ470" i="3"/>
  <c r="AZ479" i="3"/>
  <c r="AZ485" i="3"/>
  <c r="AZ385" i="3"/>
  <c r="AZ210" i="3"/>
  <c r="AZ217" i="3"/>
  <c r="AZ220" i="3"/>
  <c r="AZ228" i="3"/>
  <c r="AZ231" i="3"/>
  <c r="AZ244" i="3"/>
  <c r="AZ247" i="3"/>
  <c r="AZ260" i="3"/>
  <c r="AZ264" i="3"/>
  <c r="AZ282" i="3"/>
  <c r="AZ285" i="3"/>
  <c r="AZ290" i="3"/>
  <c r="AZ293" i="3"/>
  <c r="AZ153" i="3"/>
  <c r="AZ169" i="3"/>
  <c r="AZ185" i="3"/>
  <c r="A15" i="62"/>
  <c r="B61" i="72" s="1"/>
  <c r="AZ38" i="3"/>
  <c r="AZ48" i="3"/>
  <c r="AZ52" i="3"/>
  <c r="AZ64" i="3"/>
  <c r="AZ68" i="3"/>
  <c r="AZ87" i="3"/>
  <c r="AZ95" i="3"/>
  <c r="AZ100" i="3"/>
  <c r="M19" i="43"/>
  <c r="V34" i="71"/>
  <c r="AZ18" i="3"/>
  <c r="C20" i="71"/>
  <c r="D20" i="71" s="1"/>
  <c r="D21" i="71"/>
  <c r="B21" i="71"/>
  <c r="B20" i="71" s="1"/>
  <c r="S22" i="71"/>
  <c r="Y25" i="71"/>
  <c r="Z25" i="71" s="1"/>
  <c r="C26" i="71"/>
  <c r="X25" i="71"/>
  <c r="X26" i="71"/>
  <c r="AB28" i="71"/>
  <c r="AB27" i="71"/>
  <c r="AA29" i="71"/>
  <c r="AA30" i="71"/>
  <c r="AB21" i="71"/>
  <c r="AB19" i="71"/>
  <c r="X18" i="71"/>
  <c r="Y16" i="71"/>
  <c r="Z16" i="71" s="1"/>
  <c r="Y17" i="71"/>
  <c r="Z17" i="71" s="1"/>
  <c r="C18" i="71"/>
  <c r="Y18" i="71"/>
  <c r="Z18" i="71" s="1"/>
  <c r="AB17" i="71"/>
  <c r="AB18" i="71"/>
  <c r="F18" i="71"/>
  <c r="F17" i="71" s="1"/>
  <c r="F16" i="71" s="1"/>
  <c r="F15" i="71" s="1"/>
  <c r="F14" i="71" s="1"/>
  <c r="F13" i="71" s="1"/>
  <c r="F12" i="71" s="1"/>
  <c r="F11" i="71" s="1"/>
  <c r="AA15" i="71"/>
  <c r="AA12" i="71"/>
  <c r="X12" i="71"/>
  <c r="X9" i="71"/>
  <c r="X8" i="71"/>
  <c r="X5" i="71"/>
  <c r="X7" i="71"/>
  <c r="AA9" i="71"/>
  <c r="AA8" i="71"/>
  <c r="AA7" i="71"/>
  <c r="AA6" i="71"/>
  <c r="X11" i="71"/>
  <c r="AA11" i="71"/>
  <c r="AB6" i="71"/>
  <c r="AA5" i="71"/>
  <c r="M100" i="43"/>
  <c r="I100" i="43"/>
  <c r="E100" i="43"/>
  <c r="D100" i="43"/>
  <c r="C32" i="66"/>
  <c r="E26" i="66" s="1"/>
  <c r="U18" i="36"/>
  <c r="C29" i="39"/>
  <c r="B66" i="43"/>
  <c r="T50" i="71"/>
  <c r="T38" i="71"/>
  <c r="D45" i="71"/>
  <c r="D53" i="71"/>
  <c r="AA20" i="71"/>
  <c r="D48" i="71"/>
  <c r="D44" i="71"/>
  <c r="C33" i="71"/>
  <c r="X22" i="71"/>
  <c r="Y22" i="71"/>
  <c r="Z22" i="71" s="1"/>
  <c r="X32" i="71"/>
  <c r="X30" i="71"/>
  <c r="AA26" i="71"/>
  <c r="Y23" i="71"/>
  <c r="Z23" i="71" s="1"/>
  <c r="AA27" i="71"/>
  <c r="AA31" i="71"/>
  <c r="E33" i="71"/>
  <c r="E34" i="71" s="1"/>
  <c r="U34" i="71" s="1"/>
  <c r="X23" i="71"/>
  <c r="T22" i="71"/>
  <c r="D22" i="71"/>
  <c r="U22" i="71" s="1"/>
  <c r="X19" i="71"/>
  <c r="X21" i="71"/>
  <c r="E24" i="71"/>
  <c r="E25" i="71" s="1"/>
  <c r="E26" i="71" s="1"/>
  <c r="U26" i="71" s="1"/>
  <c r="AA23" i="71"/>
  <c r="AA19" i="71"/>
  <c r="AA21" i="71"/>
  <c r="X24" i="71"/>
  <c r="AB24" i="71"/>
  <c r="AA28" i="71"/>
  <c r="Y29" i="71"/>
  <c r="Z29" i="71" s="1"/>
  <c r="Y27" i="71"/>
  <c r="Z27" i="71" s="1"/>
  <c r="B32" i="71"/>
  <c r="B33" i="71" s="1"/>
  <c r="B34" i="71" s="1"/>
  <c r="S34" i="71" s="1"/>
  <c r="X31" i="71"/>
  <c r="AB32" i="71"/>
  <c r="AB31" i="71"/>
  <c r="B57" i="71"/>
  <c r="B58" i="71" s="1"/>
  <c r="S58" i="71" s="1"/>
  <c r="F60" i="71"/>
  <c r="Q61" i="71"/>
  <c r="D78" i="71"/>
  <c r="C77" i="71"/>
  <c r="E16" i="71"/>
  <c r="E15" i="71" s="1"/>
  <c r="E14" i="71" s="1"/>
  <c r="Y15" i="71"/>
  <c r="Z15" i="71" s="1"/>
  <c r="AA16" i="71"/>
  <c r="Y6" i="71"/>
  <c r="Z6" i="71" s="1"/>
  <c r="X6" i="71"/>
  <c r="S62" i="71"/>
  <c r="B61" i="71"/>
  <c r="AA17" i="71"/>
  <c r="AA18" i="71"/>
  <c r="X16" i="71"/>
  <c r="B18" i="71"/>
  <c r="X15" i="71"/>
  <c r="Y12" i="71"/>
  <c r="Z12" i="71" s="1"/>
  <c r="AB12" i="71"/>
  <c r="Y8" i="71"/>
  <c r="Z8" i="71" s="1"/>
  <c r="Y11" i="71"/>
  <c r="Z11" i="71" s="1"/>
  <c r="AB11" i="71"/>
  <c r="AB5" i="71"/>
  <c r="Y7" i="71"/>
  <c r="Z7" i="71" s="1"/>
  <c r="AB9" i="71"/>
  <c r="AB7" i="71"/>
  <c r="AB8" i="71"/>
  <c r="Y5" i="71"/>
  <c r="Z5" i="71" s="1"/>
  <c r="S37" i="39"/>
  <c r="S31" i="39"/>
  <c r="S35" i="39"/>
  <c r="W35" i="39"/>
  <c r="W27" i="21"/>
  <c r="AC27" i="21"/>
  <c r="AC29" i="21"/>
  <c r="W29" i="21"/>
  <c r="AB23" i="21"/>
  <c r="AC21" i="21"/>
  <c r="S21" i="21"/>
  <c r="AC19" i="21"/>
  <c r="U17" i="21"/>
  <c r="U15" i="21"/>
  <c r="S10" i="21"/>
  <c r="W9" i="21"/>
  <c r="AB42" i="21"/>
  <c r="S42" i="21"/>
  <c r="AB44" i="21"/>
  <c r="W44" i="21"/>
  <c r="D68" i="39"/>
  <c r="C70" i="39"/>
  <c r="C58" i="21"/>
  <c r="D58" i="21" s="1"/>
  <c r="E7" i="21"/>
  <c r="G7" i="21" s="1"/>
  <c r="I7" i="21" s="1"/>
  <c r="J51" i="15"/>
  <c r="J57" i="15" s="1"/>
  <c r="J55" i="15" s="1"/>
  <c r="J58" i="15" s="1"/>
  <c r="Q50" i="15" s="1"/>
  <c r="G30" i="6"/>
  <c r="G31" i="6" s="1"/>
  <c r="E15" i="6"/>
  <c r="E65" i="39" s="1"/>
  <c r="C18" i="9"/>
  <c r="D18" i="9" s="1"/>
  <c r="S37" i="21"/>
  <c r="U33" i="21"/>
  <c r="AB11" i="21"/>
  <c r="S8" i="21"/>
  <c r="AR8" i="1"/>
  <c r="E13" i="6"/>
  <c r="E12" i="6"/>
  <c r="S11" i="39"/>
  <c r="N81" i="43"/>
  <c r="J83" i="43"/>
  <c r="N85" i="43"/>
  <c r="J87" i="43"/>
  <c r="E10" i="43"/>
  <c r="E8" i="43"/>
  <c r="E11" i="43"/>
  <c r="E9" i="43"/>
  <c r="H61" i="43"/>
  <c r="H59" i="43"/>
  <c r="H51" i="43"/>
  <c r="H56" i="43"/>
  <c r="H63" i="43"/>
  <c r="H65" i="43"/>
  <c r="H50" i="43"/>
  <c r="H83" i="43"/>
  <c r="H82" i="43"/>
  <c r="H81" i="43"/>
  <c r="H88" i="43"/>
  <c r="H86" i="43"/>
  <c r="H87" i="43"/>
  <c r="H85" i="43"/>
  <c r="H84" i="43"/>
  <c r="G17" i="43"/>
  <c r="C16" i="43" s="1"/>
  <c r="D5" i="43" s="1"/>
  <c r="P61" i="15"/>
  <c r="D68" i="9"/>
  <c r="F28" i="15"/>
  <c r="C28" i="15" s="1"/>
  <c r="F31" i="12"/>
  <c r="M18" i="67"/>
  <c r="F30" i="68"/>
  <c r="F48" i="68" s="1"/>
  <c r="F48" i="9"/>
  <c r="O52" i="9" s="1"/>
  <c r="C30" i="68"/>
  <c r="C77" i="9"/>
  <c r="C74" i="9" s="1"/>
  <c r="F54" i="9"/>
  <c r="M18" i="15"/>
  <c r="F32" i="15"/>
  <c r="F60" i="15" s="1"/>
  <c r="F30" i="69"/>
  <c r="F32" i="67"/>
  <c r="F60" i="67" s="1"/>
  <c r="F52" i="9"/>
  <c r="F28" i="67"/>
  <c r="C28" i="67" s="1"/>
  <c r="F30" i="11"/>
  <c r="C21" i="69"/>
  <c r="D22" i="67"/>
  <c r="M19" i="9"/>
  <c r="C118" i="9" s="1"/>
  <c r="C14" i="74" s="1"/>
  <c r="B2" i="74" s="1"/>
  <c r="D8" i="74" s="1"/>
  <c r="F22" i="43"/>
  <c r="K101" i="43"/>
  <c r="N101" i="43"/>
  <c r="G101" i="43"/>
  <c r="J101" i="43"/>
  <c r="L101" i="43"/>
  <c r="D101" i="43"/>
  <c r="M101" i="43"/>
  <c r="I101" i="43"/>
  <c r="E101" i="43"/>
  <c r="AJ11" i="43"/>
  <c r="AJ13" i="43" s="1"/>
  <c r="AF11" i="43"/>
  <c r="AF13" i="43" s="1"/>
  <c r="AB11" i="43"/>
  <c r="AB13" i="43" s="1"/>
  <c r="Z7" i="43"/>
  <c r="AI11" i="43"/>
  <c r="AI13" i="43" s="1"/>
  <c r="AE11" i="43"/>
  <c r="AE13" i="43" s="1"/>
  <c r="AA11" i="43"/>
  <c r="AA13" i="43" s="1"/>
  <c r="S6" i="43"/>
  <c r="S3" i="43"/>
  <c r="B113" i="43"/>
  <c r="F101" i="43"/>
  <c r="E22" i="43"/>
  <c r="C101" i="43"/>
  <c r="N104" i="46"/>
  <c r="H22" i="43"/>
  <c r="H101" i="43"/>
  <c r="G22" i="43"/>
  <c r="S2" i="43"/>
  <c r="AH11" i="43"/>
  <c r="AH13" i="43" s="1"/>
  <c r="AD11" i="43"/>
  <c r="AD13" i="43" s="1"/>
  <c r="Z11" i="43"/>
  <c r="Z13" i="43" s="1"/>
  <c r="S5" i="43"/>
  <c r="AG11" i="43"/>
  <c r="AG13" i="43" s="1"/>
  <c r="AC11" i="43"/>
  <c r="AC13" i="43" s="1"/>
  <c r="Y11" i="43"/>
  <c r="Y13" i="43" s="1"/>
  <c r="C23" i="43"/>
  <c r="S4" i="43"/>
  <c r="S7" i="43"/>
  <c r="O9" i="1"/>
  <c r="P9" i="1" s="1"/>
  <c r="O8" i="1"/>
  <c r="P8" i="1" s="1"/>
  <c r="C8" i="74"/>
  <c r="C7" i="74"/>
  <c r="D12" i="52"/>
  <c r="D127" i="9"/>
  <c r="D13" i="52"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6" i="67"/>
  <c r="B10" i="70"/>
  <c r="Q71" i="15"/>
  <c r="J53" i="15"/>
  <c r="L56"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6" i="67"/>
  <c r="C16" i="15"/>
  <c r="C14" i="67"/>
  <c r="G16" i="1" l="1"/>
  <c r="F10" i="40" s="1"/>
  <c r="S10" i="40" s="1"/>
  <c r="Q16" i="1"/>
  <c r="F28" i="12" s="1"/>
  <c r="C29" i="12" s="1"/>
  <c r="D28" i="12" s="1"/>
  <c r="E56" i="39"/>
  <c r="E60" i="40"/>
  <c r="AP6" i="1"/>
  <c r="C36" i="69" s="1"/>
  <c r="M6" i="1"/>
  <c r="D9" i="68"/>
  <c r="C9" i="68" s="1"/>
  <c r="D19" i="12"/>
  <c r="C19" i="12" s="1"/>
  <c r="D9" i="69"/>
  <c r="C9" i="69" s="1"/>
  <c r="F27" i="11"/>
  <c r="E56" i="40"/>
  <c r="E16" i="6"/>
  <c r="E51" i="40"/>
  <c r="K14" i="1"/>
  <c r="C76" i="71"/>
  <c r="D76" i="71" s="1"/>
  <c r="D77" i="71"/>
  <c r="C34" i="71"/>
  <c r="D33" i="71"/>
  <c r="S34" i="35"/>
  <c r="AA34" i="35"/>
  <c r="AC34" i="35"/>
  <c r="W34" i="35"/>
  <c r="AA24" i="35"/>
  <c r="S24" i="35"/>
  <c r="AA9" i="34"/>
  <c r="S9" i="34"/>
  <c r="AA28" i="33"/>
  <c r="S28" i="33"/>
  <c r="AA45" i="21"/>
  <c r="S45" i="21"/>
  <c r="AC30" i="21"/>
  <c r="W30" i="21"/>
  <c r="AB30" i="21"/>
  <c r="U30" i="21"/>
  <c r="AA28" i="21"/>
  <c r="S28" i="21"/>
  <c r="AB32" i="36"/>
  <c r="U32" i="36"/>
  <c r="AB25" i="36"/>
  <c r="U25" i="36"/>
  <c r="AC25" i="36"/>
  <c r="W25" i="36"/>
  <c r="W36" i="35"/>
  <c r="AC36" i="35"/>
  <c r="U9" i="34"/>
  <c r="AB9" i="34"/>
  <c r="U31" i="21"/>
  <c r="AB31" i="21"/>
  <c r="G5" i="3"/>
  <c r="B3" i="3" s="1"/>
  <c r="E585" i="3" s="1"/>
  <c r="W37" i="21"/>
  <c r="AC37" i="21"/>
  <c r="J7" i="34"/>
  <c r="AC7" i="34" s="1"/>
  <c r="V49" i="34" s="1"/>
  <c r="I49" i="34" s="1"/>
  <c r="E59" i="40"/>
  <c r="B17" i="71"/>
  <c r="B16" i="71" s="1"/>
  <c r="B15" i="71" s="1"/>
  <c r="B14" i="71" s="1"/>
  <c r="S18" i="71"/>
  <c r="N61" i="71"/>
  <c r="B60" i="71"/>
  <c r="E13" i="71"/>
  <c r="E12" i="71" s="1"/>
  <c r="E11" i="71" s="1"/>
  <c r="E10" i="71" s="1"/>
  <c r="V14" i="71"/>
  <c r="Q60" i="71"/>
  <c r="Q59" i="71"/>
  <c r="C17" i="71"/>
  <c r="T18" i="71"/>
  <c r="D18" i="71"/>
  <c r="U18" i="71" s="1"/>
  <c r="D26" i="71"/>
  <c r="T26" i="71"/>
  <c r="U34" i="35"/>
  <c r="AB34" i="35"/>
  <c r="U24" i="35"/>
  <c r="AB24" i="35"/>
  <c r="AC24" i="35"/>
  <c r="W24" i="35"/>
  <c r="AC28" i="33"/>
  <c r="W28" i="33"/>
  <c r="AB28" i="33"/>
  <c r="U28" i="33"/>
  <c r="W45" i="21"/>
  <c r="AC45" i="21"/>
  <c r="S30" i="21"/>
  <c r="AA30" i="21"/>
  <c r="W28" i="21"/>
  <c r="AC28" i="21"/>
  <c r="AB28" i="21"/>
  <c r="U28" i="21"/>
  <c r="W11" i="21"/>
  <c r="AC11" i="21"/>
  <c r="AA28" i="34"/>
  <c r="S28" i="34"/>
  <c r="S31" i="21"/>
  <c r="AA31" i="21"/>
  <c r="AA17" i="21"/>
  <c r="S17" i="21"/>
  <c r="F29" i="6"/>
  <c r="BA5" i="3"/>
  <c r="E27" i="6" s="1"/>
  <c r="K24" i="6" s="1"/>
  <c r="M24" i="6" s="1"/>
  <c r="I24" i="6" s="1"/>
  <c r="S24" i="6" s="1"/>
  <c r="S25" i="36"/>
  <c r="AA25" i="36"/>
  <c r="S36" i="35"/>
  <c r="AA36" i="35"/>
  <c r="AB36" i="35"/>
  <c r="U36" i="35"/>
  <c r="W9" i="34"/>
  <c r="AC9" i="34"/>
  <c r="S11" i="21"/>
  <c r="AA11" i="21"/>
  <c r="AC31" i="21"/>
  <c r="W31" i="21"/>
  <c r="AZ587" i="3"/>
  <c r="AZ5" i="3" s="1"/>
  <c r="BL5" i="3"/>
  <c r="U37" i="21"/>
  <c r="AB37" i="21"/>
  <c r="D70" i="39"/>
  <c r="E68" i="39"/>
  <c r="E58" i="40"/>
  <c r="E63" i="39"/>
  <c r="E57" i="40"/>
  <c r="E62" i="39"/>
  <c r="D7" i="74"/>
  <c r="C7" i="43"/>
  <c r="C5" i="43"/>
  <c r="C48" i="68"/>
  <c r="C30" i="11"/>
  <c r="C48" i="11"/>
  <c r="F48" i="69"/>
  <c r="C30" i="69"/>
  <c r="C48" i="69"/>
  <c r="H107" i="43"/>
  <c r="H106" i="43"/>
  <c r="H105" i="43"/>
  <c r="H102" i="43"/>
  <c r="H103" i="43"/>
  <c r="H104" i="43"/>
  <c r="H109" i="43"/>
  <c r="D22" i="43"/>
  <c r="C104" i="43"/>
  <c r="C105" i="43"/>
  <c r="C102" i="43"/>
  <c r="C109" i="43"/>
  <c r="C106" i="43"/>
  <c r="C107" i="43"/>
  <c r="C103" i="43"/>
  <c r="F104" i="43"/>
  <c r="F107" i="43"/>
  <c r="F106" i="43"/>
  <c r="F103" i="43"/>
  <c r="F102" i="43"/>
  <c r="F105" i="43"/>
  <c r="F109" i="43"/>
  <c r="E104" i="43"/>
  <c r="E107" i="43"/>
  <c r="E105" i="43"/>
  <c r="E102" i="43"/>
  <c r="E106" i="43"/>
  <c r="E103" i="43"/>
  <c r="E109" i="43"/>
  <c r="M104" i="43"/>
  <c r="M107" i="43"/>
  <c r="M105" i="43"/>
  <c r="M109" i="43"/>
  <c r="M102" i="43"/>
  <c r="M106" i="43"/>
  <c r="M103" i="43"/>
  <c r="L109" i="43"/>
  <c r="L102" i="43"/>
  <c r="L105" i="43"/>
  <c r="L104" i="43"/>
  <c r="L106" i="43"/>
  <c r="L103" i="43"/>
  <c r="L107" i="43"/>
  <c r="G105" i="43"/>
  <c r="G102" i="43"/>
  <c r="G103" i="43"/>
  <c r="G109" i="43"/>
  <c r="G107" i="43"/>
  <c r="G104" i="43"/>
  <c r="G106" i="43"/>
  <c r="K103" i="43"/>
  <c r="K107" i="43"/>
  <c r="K104" i="43"/>
  <c r="K106" i="43"/>
  <c r="K102" i="43"/>
  <c r="K105" i="43"/>
  <c r="K109" i="43"/>
  <c r="B115" i="43"/>
  <c r="D117" i="43"/>
  <c r="E117" i="43" s="1"/>
  <c r="F117" i="43" s="1"/>
  <c r="G117" i="43" s="1"/>
  <c r="H117"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I109" i="43"/>
  <c r="I102" i="43"/>
  <c r="I106" i="43"/>
  <c r="I103" i="43"/>
  <c r="I104" i="43"/>
  <c r="I107" i="43"/>
  <c r="I105" i="43"/>
  <c r="D109" i="43"/>
  <c r="D103" i="43"/>
  <c r="D104" i="43"/>
  <c r="D107" i="43"/>
  <c r="D105" i="43"/>
  <c r="D106" i="43"/>
  <c r="D102" i="43"/>
  <c r="J104" i="43"/>
  <c r="J105" i="43"/>
  <c r="J103" i="43"/>
  <c r="J106" i="43"/>
  <c r="J107" i="43"/>
  <c r="J102" i="43"/>
  <c r="J109" i="43"/>
  <c r="N102" i="43"/>
  <c r="N103" i="43"/>
  <c r="N106" i="43"/>
  <c r="N107" i="43"/>
  <c r="N105" i="43"/>
  <c r="N104" i="43"/>
  <c r="N109" i="43"/>
  <c r="H10" i="39"/>
  <c r="AB10" i="39" s="1"/>
  <c r="J7" i="37"/>
  <c r="AC7" i="37" s="1"/>
  <c r="V42" i="37" s="1"/>
  <c r="I42" i="37" s="1"/>
  <c r="H7" i="36"/>
  <c r="F7" i="34"/>
  <c r="AA7" i="34" s="1"/>
  <c r="R49" i="34" s="1"/>
  <c r="F59" i="67"/>
  <c r="H7" i="37"/>
  <c r="AB7" i="37" s="1"/>
  <c r="T42" i="37" s="1"/>
  <c r="G42" i="37" s="1"/>
  <c r="B40" i="1"/>
  <c r="H7" i="33"/>
  <c r="J7" i="33"/>
  <c r="D65" i="40"/>
  <c r="E63" i="40"/>
  <c r="F48" i="35"/>
  <c r="S7" i="36"/>
  <c r="AA7" i="36"/>
  <c r="R36" i="36" s="1"/>
  <c r="AB7" i="36"/>
  <c r="T36" i="36" s="1"/>
  <c r="G36" i="36" s="1"/>
  <c r="U7" i="36"/>
  <c r="AB7" i="34"/>
  <c r="T49" i="34" s="1"/>
  <c r="G49" i="34" s="1"/>
  <c r="U7" i="34"/>
  <c r="S7" i="34"/>
  <c r="F7" i="33"/>
  <c r="E58" i="21"/>
  <c r="AC7" i="36"/>
  <c r="V36" i="36" s="1"/>
  <c r="I36" i="36" s="1"/>
  <c r="W7" i="36"/>
  <c r="F7" i="37"/>
  <c r="W7" i="34"/>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AE7" i="1"/>
  <c r="AA10" i="40" l="1"/>
  <c r="J10" i="39"/>
  <c r="AC10" i="39" s="1"/>
  <c r="J10" i="40"/>
  <c r="AC10" i="40" s="1"/>
  <c r="H10" i="40"/>
  <c r="AB10" i="40" s="1"/>
  <c r="F10" i="39"/>
  <c r="AA10" i="39" s="1"/>
  <c r="F27" i="68"/>
  <c r="F45" i="68" s="1"/>
  <c r="F27" i="69"/>
  <c r="F45" i="69" s="1"/>
  <c r="O6" i="1"/>
  <c r="P6" i="1" s="1"/>
  <c r="C13" i="12" s="1"/>
  <c r="K22" i="6"/>
  <c r="M22" i="6" s="1"/>
  <c r="I22" i="6" s="1"/>
  <c r="S22" i="6" s="1"/>
  <c r="K25" i="6"/>
  <c r="M25" i="6" s="1"/>
  <c r="I25" i="6" s="1"/>
  <c r="S25" i="6" s="1"/>
  <c r="C29" i="11"/>
  <c r="D27" i="11" s="1"/>
  <c r="C47" i="11"/>
  <c r="D45" i="11" s="1"/>
  <c r="K21" i="6"/>
  <c r="M21" i="6" s="1"/>
  <c r="I21" i="6" s="1"/>
  <c r="S21" i="6" s="1"/>
  <c r="K19" i="6"/>
  <c r="S6" i="1" s="1"/>
  <c r="AQ6" i="1" s="1"/>
  <c r="K23" i="6"/>
  <c r="M23" i="6" s="1"/>
  <c r="I23" i="6" s="1"/>
  <c r="S23" i="6" s="1"/>
  <c r="K26" i="6"/>
  <c r="M26" i="6" s="1"/>
  <c r="I26" i="6" s="1"/>
  <c r="S26" i="6" s="1"/>
  <c r="E3" i="6"/>
  <c r="AY6" i="3"/>
  <c r="E41" i="43"/>
  <c r="C41" i="43" s="1"/>
  <c r="C20" i="43"/>
  <c r="F30" i="6"/>
  <c r="F31" i="6" s="1"/>
  <c r="E29" i="6"/>
  <c r="N60" i="71"/>
  <c r="N59" i="71"/>
  <c r="D34" i="71"/>
  <c r="T34" i="71"/>
  <c r="W7" i="37"/>
  <c r="C16" i="71"/>
  <c r="D17" i="71"/>
  <c r="E9" i="71"/>
  <c r="E8" i="71" s="1"/>
  <c r="E7" i="71" s="1"/>
  <c r="E6" i="71" s="1"/>
  <c r="E5" i="71" s="1"/>
  <c r="V10" i="71"/>
  <c r="B13" i="71"/>
  <c r="B12" i="71" s="1"/>
  <c r="B11" i="71" s="1"/>
  <c r="B10" i="71" s="1"/>
  <c r="S14" i="71"/>
  <c r="E125" i="3"/>
  <c r="E53" i="3"/>
  <c r="E319" i="3"/>
  <c r="E347" i="3"/>
  <c r="E583" i="3"/>
  <c r="X6" i="3"/>
  <c r="E399" i="3"/>
  <c r="E336" i="3"/>
  <c r="E246" i="3"/>
  <c r="E397" i="3"/>
  <c r="E568" i="3"/>
  <c r="E511" i="3"/>
  <c r="I6" i="3"/>
  <c r="E16" i="3"/>
  <c r="E536" i="3"/>
  <c r="E434" i="3"/>
  <c r="E453" i="3"/>
  <c r="E306" i="3"/>
  <c r="E368" i="3"/>
  <c r="E296" i="3"/>
  <c r="E262" i="3"/>
  <c r="E216" i="3"/>
  <c r="E189" i="3"/>
  <c r="E169" i="3"/>
  <c r="E134" i="3"/>
  <c r="E61" i="3"/>
  <c r="E254" i="3"/>
  <c r="E135" i="3"/>
  <c r="E91" i="3"/>
  <c r="E221" i="3"/>
  <c r="E161" i="3"/>
  <c r="E180" i="3"/>
  <c r="E140" i="3"/>
  <c r="E120" i="3"/>
  <c r="E85" i="3"/>
  <c r="E45" i="3"/>
  <c r="E223" i="3"/>
  <c r="E277" i="3"/>
  <c r="E238" i="3"/>
  <c r="E224" i="3"/>
  <c r="E197" i="3"/>
  <c r="E177" i="3"/>
  <c r="E116" i="3"/>
  <c r="E193" i="3"/>
  <c r="E173" i="3"/>
  <c r="E133" i="3"/>
  <c r="E105" i="3"/>
  <c r="E313" i="3"/>
  <c r="E369" i="3"/>
  <c r="E330" i="3"/>
  <c r="E519" i="3"/>
  <c r="K6" i="3"/>
  <c r="E532" i="3"/>
  <c r="E534" i="3"/>
  <c r="T6" i="3"/>
  <c r="E560" i="3"/>
  <c r="E543" i="3"/>
  <c r="E437" i="3"/>
  <c r="E427" i="3"/>
  <c r="E458" i="3"/>
  <c r="E456" i="3"/>
  <c r="E472" i="3"/>
  <c r="E486" i="3"/>
  <c r="E474" i="3"/>
  <c r="E469" i="3"/>
  <c r="E481" i="3"/>
  <c r="E507" i="3"/>
  <c r="E512" i="3"/>
  <c r="E406" i="3"/>
  <c r="E422" i="3"/>
  <c r="E438" i="3"/>
  <c r="E408" i="3"/>
  <c r="E424" i="3"/>
  <c r="E440" i="3"/>
  <c r="E457" i="3"/>
  <c r="E451" i="3"/>
  <c r="E465" i="3"/>
  <c r="E490" i="3"/>
  <c r="E288" i="3"/>
  <c r="E360" i="3"/>
  <c r="E344" i="3"/>
  <c r="E376" i="3"/>
  <c r="E556" i="3"/>
  <c r="AH6" i="3"/>
  <c r="AE6" i="3"/>
  <c r="J6" i="3"/>
  <c r="E571" i="3"/>
  <c r="E498" i="3"/>
  <c r="E494" i="3"/>
  <c r="E429" i="3"/>
  <c r="E419" i="3"/>
  <c r="E450" i="3"/>
  <c r="E483" i="3"/>
  <c r="E471" i="3"/>
  <c r="E401" i="3"/>
  <c r="E433" i="3"/>
  <c r="E454" i="3"/>
  <c r="E475" i="3"/>
  <c r="E26" i="3"/>
  <c r="E55" i="3"/>
  <c r="E40" i="3"/>
  <c r="E72" i="3"/>
  <c r="E104" i="3"/>
  <c r="E106" i="3"/>
  <c r="E25" i="3"/>
  <c r="E54" i="3"/>
  <c r="E41" i="3"/>
  <c r="E73" i="3"/>
  <c r="E108" i="3"/>
  <c r="E111" i="3"/>
  <c r="E146" i="3"/>
  <c r="E178" i="3"/>
  <c r="E168" i="3"/>
  <c r="E198" i="3"/>
  <c r="E203" i="3"/>
  <c r="E119" i="3"/>
  <c r="E150" i="3"/>
  <c r="E139" i="3"/>
  <c r="E171" i="3"/>
  <c r="E202" i="3"/>
  <c r="E208" i="3"/>
  <c r="E225" i="3"/>
  <c r="E256" i="3"/>
  <c r="E242" i="3"/>
  <c r="E214" i="3"/>
  <c r="E226" i="3"/>
  <c r="E257" i="3"/>
  <c r="E274" i="3"/>
  <c r="E276" i="3"/>
  <c r="E332" i="3"/>
  <c r="E346" i="3"/>
  <c r="E357" i="3"/>
  <c r="E391" i="3"/>
  <c r="E394" i="3"/>
  <c r="E333" i="3"/>
  <c r="E318" i="3"/>
  <c r="E362" i="3"/>
  <c r="E372" i="3"/>
  <c r="E14"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34" i="3"/>
  <c r="E275" i="3"/>
  <c r="E219" i="3"/>
  <c r="E235" i="3"/>
  <c r="E299" i="3"/>
  <c r="E324" i="3"/>
  <c r="E339" i="3"/>
  <c r="E383" i="3"/>
  <c r="E325" i="3"/>
  <c r="E342" i="3"/>
  <c r="E392" i="3"/>
  <c r="E522" i="3"/>
  <c r="E35" i="3"/>
  <c r="E52" i="3"/>
  <c r="E86" i="3"/>
  <c r="E36" i="3"/>
  <c r="E34" i="3"/>
  <c r="E112" i="3"/>
  <c r="E49" i="3"/>
  <c r="E123" i="3"/>
  <c r="E206" i="3"/>
  <c r="E147" i="3"/>
  <c r="E232" i="3"/>
  <c r="E289" i="3"/>
  <c r="E251" i="3"/>
  <c r="E340" i="3"/>
  <c r="E370" i="3"/>
  <c r="E50" i="3"/>
  <c r="E102" i="3"/>
  <c r="E20" i="3"/>
  <c r="E80" i="3"/>
  <c r="E62" i="3"/>
  <c r="E113" i="3"/>
  <c r="E176" i="3"/>
  <c r="E158" i="3"/>
  <c r="E218" i="3"/>
  <c r="E287" i="3"/>
  <c r="E265" i="3"/>
  <c r="E326" i="3"/>
  <c r="E22" i="3"/>
  <c r="E101" i="3"/>
  <c r="E83" i="3"/>
  <c r="E175" i="3"/>
  <c r="E530" i="3"/>
  <c r="E343" i="3"/>
  <c r="E305" i="3"/>
  <c r="E508"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08" i="3"/>
  <c r="E117" i="3"/>
  <c r="E524" i="3"/>
  <c r="AA6" i="3"/>
  <c r="Q6" i="3"/>
  <c r="AK6" i="3"/>
  <c r="E562" i="3"/>
  <c r="E420" i="3"/>
  <c r="E452" i="3"/>
  <c r="E468" i="3"/>
  <c r="E315" i="3"/>
  <c r="E364" i="3"/>
  <c r="E243" i="3"/>
  <c r="E279" i="3"/>
  <c r="E281" i="3"/>
  <c r="E293" i="3"/>
  <c r="E124" i="3"/>
  <c r="E365" i="3"/>
  <c r="E153" i="3"/>
  <c r="E501" i="3"/>
  <c r="E549" i="3"/>
  <c r="E577" i="3"/>
  <c r="E525" i="3"/>
  <c r="E564" i="3"/>
  <c r="E496" i="3"/>
  <c r="E13" i="3"/>
  <c r="AJ6" i="3"/>
  <c r="E322" i="3"/>
  <c r="E268" i="3"/>
  <c r="E526" i="3"/>
  <c r="E217"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328" i="3"/>
  <c r="E314" i="3"/>
  <c r="E356" i="3"/>
  <c r="E587" i="3"/>
  <c r="W6" i="3"/>
  <c r="AQ6" i="3"/>
  <c r="AF6" i="3"/>
  <c r="E405" i="3"/>
  <c r="E426" i="3"/>
  <c r="E463" i="3"/>
  <c r="E470" i="3"/>
  <c r="E351" i="3"/>
  <c r="E220" i="3"/>
  <c r="E244" i="3"/>
  <c r="E280" i="3"/>
  <c r="E290" i="3"/>
  <c r="E115" i="3"/>
  <c r="E130" i="3"/>
  <c r="E393" i="3"/>
  <c r="E185" i="3"/>
  <c r="E497" i="3"/>
  <c r="E537" i="3"/>
  <c r="E573" i="3"/>
  <c r="E493" i="3"/>
  <c r="E529" i="3"/>
  <c r="E580" i="3"/>
  <c r="E527" i="3"/>
  <c r="N6" i="3"/>
  <c r="E282" i="3"/>
  <c r="E553" i="3"/>
  <c r="E366"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K20" i="6"/>
  <c r="M14" i="1"/>
  <c r="C34" i="69"/>
  <c r="F68" i="39"/>
  <c r="E70" i="39"/>
  <c r="E66" i="39"/>
  <c r="E6" i="70"/>
  <c r="AR6" i="1"/>
  <c r="L18" i="9"/>
  <c r="U10" i="40"/>
  <c r="S10" i="39"/>
  <c r="W10" i="39"/>
  <c r="C115" i="43"/>
  <c r="D113" i="43" s="1"/>
  <c r="J22" i="43" s="1"/>
  <c r="C21" i="43" s="1"/>
  <c r="U10" i="39"/>
  <c r="F50" i="11"/>
  <c r="F50" i="68"/>
  <c r="F50" i="69"/>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W10" i="40" l="1"/>
  <c r="C47" i="69"/>
  <c r="D45" i="69" s="1"/>
  <c r="C29" i="69"/>
  <c r="D27" i="69" s="1"/>
  <c r="C47" i="68"/>
  <c r="D45" i="68" s="1"/>
  <c r="C29" i="68"/>
  <c r="D27" i="68" s="1"/>
  <c r="T6" i="1"/>
  <c r="C35" i="69"/>
  <c r="C38" i="69"/>
  <c r="S7" i="1"/>
  <c r="M20" i="6"/>
  <c r="I20" i="6" s="1"/>
  <c r="S20" i="6" s="1"/>
  <c r="K27" i="6"/>
  <c r="L19" i="6"/>
  <c r="E30" i="6"/>
  <c r="E31" i="6" s="1"/>
  <c r="K15" i="1"/>
  <c r="K16" i="1" s="1"/>
  <c r="AY274" i="3"/>
  <c r="AY109" i="3"/>
  <c r="AY247" i="3"/>
  <c r="AY206" i="3"/>
  <c r="AY395" i="3"/>
  <c r="AY131" i="3"/>
  <c r="AY171" i="3"/>
  <c r="AY237" i="3"/>
  <c r="AY497" i="3"/>
  <c r="AY212" i="3"/>
  <c r="AY478" i="3"/>
  <c r="AY557" i="3"/>
  <c r="AY540" i="3"/>
  <c r="AY105" i="3"/>
  <c r="AY69" i="3"/>
  <c r="AY52" i="3"/>
  <c r="AY198" i="3"/>
  <c r="AY51" i="3"/>
  <c r="AY207" i="3"/>
  <c r="AY166" i="3"/>
  <c r="AY397" i="3"/>
  <c r="AY133" i="3"/>
  <c r="AY569" i="3"/>
  <c r="AY318" i="3"/>
  <c r="AY98" i="3"/>
  <c r="AY163" i="3"/>
  <c r="AY334" i="3"/>
  <c r="AY116" i="3"/>
  <c r="AY343" i="3"/>
  <c r="AY417" i="3"/>
  <c r="AY573" i="3"/>
  <c r="AY539" i="3"/>
  <c r="AY100" i="3"/>
  <c r="AY84" i="3"/>
  <c r="AY20" i="3"/>
  <c r="AY87" i="3"/>
  <c r="AY34" i="3"/>
  <c r="AY326" i="3"/>
  <c r="AY229" i="3"/>
  <c r="AY444" i="3"/>
  <c r="AY75" i="3"/>
  <c r="AY18" i="3"/>
  <c r="AY268" i="3"/>
  <c r="AY452" i="3"/>
  <c r="AY154" i="3"/>
  <c r="AY230" i="3"/>
  <c r="AY56" i="3"/>
  <c r="AY66" i="3"/>
  <c r="AY182" i="3"/>
  <c r="AY36" i="3"/>
  <c r="AY53" i="3"/>
  <c r="AY89" i="3"/>
  <c r="BO6" i="3"/>
  <c r="AY562" i="3"/>
  <c r="AY404" i="3"/>
  <c r="AY481" i="3"/>
  <c r="AY355" i="3"/>
  <c r="AY244" i="3"/>
  <c r="AY199" i="3"/>
  <c r="AY425" i="3"/>
  <c r="AY350" i="3"/>
  <c r="AY147" i="3"/>
  <c r="AY31" i="3"/>
  <c r="AY191" i="3"/>
  <c r="AY58" i="3"/>
  <c r="AY428" i="3"/>
  <c r="AY342" i="3"/>
  <c r="AY553" i="3"/>
  <c r="AY185" i="3"/>
  <c r="AY125" i="3"/>
  <c r="AY262" i="3"/>
  <c r="AY374" i="3"/>
  <c r="AY73" i="3"/>
  <c r="AY145" i="3"/>
  <c r="AY412" i="3"/>
  <c r="AY489" i="3"/>
  <c r="AY363" i="3"/>
  <c r="AY252" i="3"/>
  <c r="AY204" i="3"/>
  <c r="AY123" i="3"/>
  <c r="AY74" i="3"/>
  <c r="AY139" i="3"/>
  <c r="AY196" i="3"/>
  <c r="AY67" i="3"/>
  <c r="AY115" i="3"/>
  <c r="AY276" i="3"/>
  <c r="AY225" i="3"/>
  <c r="AY470" i="3"/>
  <c r="AY180" i="3"/>
  <c r="AY358" i="3"/>
  <c r="AY433" i="3"/>
  <c r="AY541" i="3"/>
  <c r="AY45" i="3"/>
  <c r="AY201" i="3"/>
  <c r="AY138" i="3"/>
  <c r="AY118" i="3"/>
  <c r="AY294" i="3"/>
  <c r="AY231" i="3"/>
  <c r="AY214" i="3"/>
  <c r="AY381" i="3"/>
  <c r="AY554" i="3"/>
  <c r="AY104" i="3"/>
  <c r="AY24" i="3"/>
  <c r="AY177" i="3"/>
  <c r="AY290" i="3"/>
  <c r="AY176" i="3"/>
  <c r="AY42" i="3"/>
  <c r="AY168" i="3"/>
  <c r="AY366" i="3"/>
  <c r="AY441" i="3"/>
  <c r="AY260" i="3"/>
  <c r="AY310" i="3"/>
  <c r="AY549" i="3"/>
  <c r="AY97" i="3"/>
  <c r="AY44" i="3"/>
  <c r="AY178" i="3"/>
  <c r="AY157" i="3"/>
  <c r="AY117" i="3"/>
  <c r="AY271" i="3"/>
  <c r="AY254" i="3"/>
  <c r="AY211" i="3"/>
  <c r="AY365" i="3"/>
  <c r="BI6" i="3"/>
  <c r="AY57" i="3"/>
  <c r="AY186" i="3"/>
  <c r="AY130" i="3"/>
  <c r="AY243" i="3"/>
  <c r="AY210" i="3"/>
  <c r="AY377" i="3"/>
  <c r="AY349" i="3"/>
  <c r="AY317" i="3"/>
  <c r="AY332" i="3"/>
  <c r="AY491" i="3"/>
  <c r="AY488" i="3"/>
  <c r="AY457" i="3"/>
  <c r="AY446" i="3"/>
  <c r="AY414" i="3"/>
  <c r="AY427" i="3"/>
  <c r="AY581" i="3"/>
  <c r="BM6" i="3"/>
  <c r="AY561" i="3"/>
  <c r="BF6" i="3"/>
  <c r="AY546" i="3"/>
  <c r="AY510" i="3"/>
  <c r="AY16" i="3"/>
  <c r="AY95" i="3"/>
  <c r="AY382" i="3"/>
  <c r="AY300" i="3"/>
  <c r="AY401" i="3"/>
  <c r="AY76" i="3"/>
  <c r="AY173" i="3"/>
  <c r="AY286" i="3"/>
  <c r="AY227" i="3"/>
  <c r="AY507" i="3"/>
  <c r="AY29" i="3"/>
  <c r="AY275" i="3"/>
  <c r="AY393" i="3"/>
  <c r="AY325" i="3"/>
  <c r="AY308" i="3"/>
  <c r="AY464" i="3"/>
  <c r="AY422" i="3"/>
  <c r="AY403" i="3"/>
  <c r="AY516" i="3"/>
  <c r="AY527" i="3"/>
  <c r="AY559" i="3"/>
  <c r="AY532" i="3"/>
  <c r="AY496" i="3"/>
  <c r="AY523" i="3"/>
  <c r="AY81" i="3"/>
  <c r="AY64" i="3"/>
  <c r="AY21" i="3"/>
  <c r="AY174" i="3"/>
  <c r="AY153" i="3"/>
  <c r="AY113" i="3"/>
  <c r="AY267" i="3"/>
  <c r="AY250" i="3"/>
  <c r="AY396" i="3"/>
  <c r="AY361" i="3"/>
  <c r="AY337" i="3"/>
  <c r="AY305" i="3"/>
  <c r="AY320" i="3"/>
  <c r="AY479" i="3"/>
  <c r="AY476" i="3"/>
  <c r="AY445" i="3"/>
  <c r="AY434" i="3"/>
  <c r="AY402" i="3"/>
  <c r="AY415" i="3"/>
  <c r="AY529" i="3"/>
  <c r="AY92" i="3"/>
  <c r="AY291" i="3"/>
  <c r="AY368" i="3"/>
  <c r="AY121" i="3"/>
  <c r="AY341" i="3"/>
  <c r="AY480" i="3"/>
  <c r="AY580" i="3"/>
  <c r="AY514" i="3"/>
  <c r="AY189" i="3"/>
  <c r="AY223" i="3"/>
  <c r="AY487" i="3"/>
  <c r="AY423" i="3"/>
  <c r="AY522" i="3"/>
  <c r="AY551" i="3"/>
  <c r="AY563" i="3"/>
  <c r="AY30" i="3"/>
  <c r="AY151" i="3"/>
  <c r="AY233" i="3"/>
  <c r="AY359" i="3"/>
  <c r="AY152" i="3"/>
  <c r="AY217" i="3"/>
  <c r="AY33" i="3"/>
  <c r="AY255" i="3"/>
  <c r="BB6" i="3"/>
  <c r="AY258" i="3"/>
  <c r="AY309" i="3"/>
  <c r="AY449" i="3"/>
  <c r="AY503" i="3"/>
  <c r="AY520" i="3"/>
  <c r="AY494" i="3"/>
  <c r="AY101" i="3"/>
  <c r="AY48" i="3"/>
  <c r="AY158" i="3"/>
  <c r="AY287" i="3"/>
  <c r="AY234" i="3"/>
  <c r="AY364" i="3"/>
  <c r="AY344" i="3"/>
  <c r="AY471" i="3"/>
  <c r="AY458" i="3"/>
  <c r="AY439"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8" i="3"/>
  <c r="AY584" i="3"/>
  <c r="AY96" i="3"/>
  <c r="AY169" i="3"/>
  <c r="AY266" i="3"/>
  <c r="AY313" i="3"/>
  <c r="AY484" i="3"/>
  <c r="AY410" i="3"/>
  <c r="AY505" i="3"/>
  <c r="AY564" i="3"/>
  <c r="AY537" i="3"/>
  <c r="AY545" i="3"/>
  <c r="AY493" i="3"/>
  <c r="AY47" i="3"/>
  <c r="AY19" i="3"/>
  <c r="AY140" i="3"/>
  <c r="AY301" i="3"/>
  <c r="AY248" i="3"/>
  <c r="AY383" i="3"/>
  <c r="AY315" i="3"/>
  <c r="AY451" i="3"/>
  <c r="AY500" i="3"/>
  <c r="AY568" i="3"/>
  <c r="AY71" i="3"/>
  <c r="AY200" i="3"/>
  <c r="AY143" i="3"/>
  <c r="AY257" i="3"/>
  <c r="AY386" i="3"/>
  <c r="AY307" i="3"/>
  <c r="AY443" i="3"/>
  <c r="AY521" i="3"/>
  <c r="BT6" i="3"/>
  <c r="AY440" i="3"/>
  <c r="AY13" i="3"/>
  <c r="AY576" i="3"/>
  <c r="AY39" i="3"/>
  <c r="AY195" i="3"/>
  <c r="AY136" i="3"/>
  <c r="AY272" i="3"/>
  <c r="AY375" i="3"/>
  <c r="AY322" i="3"/>
  <c r="AY432" i="3"/>
  <c r="AY15" i="3"/>
  <c r="AY567" i="3"/>
  <c r="AY436" i="3"/>
  <c r="AY379" i="3"/>
  <c r="AY43" i="3"/>
  <c r="AY387" i="3"/>
  <c r="AY90" i="3"/>
  <c r="AY155" i="3"/>
  <c r="AY106" i="3"/>
  <c r="AY77" i="3"/>
  <c r="AY283" i="3"/>
  <c r="AY360" i="3"/>
  <c r="AY295" i="3"/>
  <c r="AY23" i="3"/>
  <c r="AY83" i="3"/>
  <c r="AY25" i="3"/>
  <c r="AY68" i="3"/>
  <c r="AY85" i="3"/>
  <c r="AY555" i="3"/>
  <c r="AY574" i="3"/>
  <c r="AY535" i="3"/>
  <c r="AY447" i="3"/>
  <c r="AY311" i="3"/>
  <c r="AY390" i="3"/>
  <c r="AY269" i="3"/>
  <c r="AY526" i="3"/>
  <c r="AY486" i="3"/>
  <c r="AY220" i="3"/>
  <c r="AY292" i="3"/>
  <c r="AY132" i="3"/>
  <c r="AY82" i="3"/>
  <c r="AY59" i="3"/>
  <c r="AY371" i="3"/>
  <c r="AY245" i="3"/>
  <c r="AY513" i="3"/>
  <c r="AY60" i="3"/>
  <c r="AY165" i="3"/>
  <c r="AY278" i="3"/>
  <c r="AY219" i="3"/>
  <c r="BH6" i="3"/>
  <c r="AY202" i="3"/>
  <c r="AY259" i="3"/>
  <c r="AY455" i="3"/>
  <c r="AY319" i="3"/>
  <c r="AY209" i="3"/>
  <c r="AY284" i="3"/>
  <c r="AY261" i="3"/>
  <c r="AY183" i="3"/>
  <c r="AY289" i="3"/>
  <c r="AY160" i="3"/>
  <c r="AY50" i="3"/>
  <c r="AY103" i="3"/>
  <c r="AY188" i="3"/>
  <c r="AY297" i="3"/>
  <c r="AY335" i="3"/>
  <c r="AY409" i="3"/>
  <c r="AY228" i="3"/>
  <c r="AY465" i="3"/>
  <c r="BK6" i="3"/>
  <c r="AY108" i="3"/>
  <c r="AY28" i="3"/>
  <c r="AY170" i="3"/>
  <c r="AY149" i="3"/>
  <c r="AY299" i="3"/>
  <c r="AY263" i="3"/>
  <c r="AY246" i="3"/>
  <c r="AY392" i="3"/>
  <c r="AY357" i="3"/>
  <c r="BJ6" i="3"/>
  <c r="AY41" i="3"/>
  <c r="AY197" i="3"/>
  <c r="AY114" i="3"/>
  <c r="AY124" i="3"/>
  <c r="AY281" i="3"/>
  <c r="AY236" i="3"/>
  <c r="AY473" i="3"/>
  <c r="AY26" i="3"/>
  <c r="AY372" i="3"/>
  <c r="AY420" i="3"/>
  <c r="AY533" i="3"/>
  <c r="AY61" i="3"/>
  <c r="AY190" i="3"/>
  <c r="AY146" i="3"/>
  <c r="AY126" i="3"/>
  <c r="AY302" i="3"/>
  <c r="AY239" i="3"/>
  <c r="AY222" i="3"/>
  <c r="AY389" i="3"/>
  <c r="BS6" i="3"/>
  <c r="AY93" i="3"/>
  <c r="AY40" i="3"/>
  <c r="AY150" i="3"/>
  <c r="AY279" i="3"/>
  <c r="AY242" i="3"/>
  <c r="AY388" i="3"/>
  <c r="AY353" i="3"/>
  <c r="AY333" i="3"/>
  <c r="AY348" i="3"/>
  <c r="AY316" i="3"/>
  <c r="AY475" i="3"/>
  <c r="AY472" i="3"/>
  <c r="AY462" i="3"/>
  <c r="AY430" i="3"/>
  <c r="AY398" i="3"/>
  <c r="AY411" i="3"/>
  <c r="BQ6" i="3"/>
  <c r="AY585" i="3"/>
  <c r="AY534" i="3"/>
  <c r="AY571" i="3"/>
  <c r="AY495" i="3"/>
  <c r="BG6" i="3"/>
  <c r="AY501" i="3"/>
  <c r="AY111" i="3"/>
  <c r="AY460" i="3"/>
  <c r="AY327" i="3"/>
  <c r="BE6" i="3"/>
  <c r="AY193" i="3"/>
  <c r="AY134" i="3"/>
  <c r="AY270" i="3"/>
  <c r="AY373" i="3"/>
  <c r="AY88" i="3"/>
  <c r="AY161" i="3"/>
  <c r="AY226" i="3"/>
  <c r="AY356" i="3"/>
  <c r="AY340" i="3"/>
  <c r="AY467" i="3"/>
  <c r="AY454" i="3"/>
  <c r="AY435" i="3"/>
  <c r="AY525" i="3"/>
  <c r="BN6" i="3"/>
  <c r="AY518" i="3"/>
  <c r="AY508" i="3"/>
  <c r="AY556" i="3"/>
  <c r="AY577" i="3"/>
  <c r="AY112" i="3"/>
  <c r="AY49" i="3"/>
  <c r="AY32" i="3"/>
  <c r="AY205" i="3"/>
  <c r="AY142" i="3"/>
  <c r="AY122" i="3"/>
  <c r="AY298" i="3"/>
  <c r="AY235" i="3"/>
  <c r="AY218" i="3"/>
  <c r="AY385" i="3"/>
  <c r="AY352" i="3"/>
  <c r="AY321" i="3"/>
  <c r="AY336" i="3"/>
  <c r="AY304" i="3"/>
  <c r="AY492" i="3"/>
  <c r="AY461" i="3"/>
  <c r="AY450" i="3"/>
  <c r="AY418" i="3"/>
  <c r="AY431" i="3"/>
  <c r="AY144" i="3"/>
  <c r="AY463" i="3"/>
  <c r="AY162" i="3"/>
  <c r="AY238" i="3"/>
  <c r="AY72" i="3"/>
  <c r="AY215" i="3"/>
  <c r="AY324" i="3"/>
  <c r="AY419" i="3"/>
  <c r="AY552" i="3"/>
  <c r="AY80" i="3"/>
  <c r="AY129" i="3"/>
  <c r="AY345" i="3"/>
  <c r="AY442" i="3"/>
  <c r="AY17" i="3"/>
  <c r="AY515" i="3"/>
  <c r="AY548" i="3"/>
  <c r="AY79" i="3"/>
  <c r="AY172" i="3"/>
  <c r="AY296" i="3"/>
  <c r="AY394" i="3"/>
  <c r="AY330" i="3"/>
  <c r="AY303" i="3"/>
  <c r="AY544" i="3"/>
  <c r="AY141" i="3"/>
  <c r="AY384" i="3"/>
  <c r="AY181" i="3"/>
  <c r="AY370" i="3"/>
  <c r="AY483" i="3"/>
  <c r="AY406" i="3"/>
  <c r="AY572" i="3"/>
  <c r="AY543" i="3"/>
  <c r="AY582" i="3"/>
  <c r="AY65" i="3"/>
  <c r="AY194" i="3"/>
  <c r="AY137" i="3"/>
  <c r="AY251" i="3"/>
  <c r="AY380" i="3"/>
  <c r="AY329" i="3"/>
  <c r="AY312" i="3"/>
  <c r="AY468" i="3"/>
  <c r="AY426"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53" i="3"/>
  <c r="AY536" i="3"/>
  <c r="AY519" i="3"/>
  <c r="AY37" i="3"/>
  <c r="AY282" i="3"/>
  <c r="AY369" i="3"/>
  <c r="AY328" i="3"/>
  <c r="AY453" i="3"/>
  <c r="AY399" i="3"/>
  <c r="AY538" i="3"/>
  <c r="AY575" i="3"/>
  <c r="AY530" i="3"/>
  <c r="BP6" i="3"/>
  <c r="AY110" i="3"/>
  <c r="AY62" i="3"/>
  <c r="AY203" i="3"/>
  <c r="AY120" i="3"/>
  <c r="AY265" i="3"/>
  <c r="AY216" i="3"/>
  <c r="AY347" i="3"/>
  <c r="AY485" i="3"/>
  <c r="AY408" i="3"/>
  <c r="AY547" i="3"/>
  <c r="AY107" i="3"/>
  <c r="AY54" i="3"/>
  <c r="AY164" i="3"/>
  <c r="AY293" i="3"/>
  <c r="AY240" i="3"/>
  <c r="AY351" i="3"/>
  <c r="AY477" i="3"/>
  <c r="AY400" i="3"/>
  <c r="AY566" i="3"/>
  <c r="AY482" i="3"/>
  <c r="AY421" i="3"/>
  <c r="AY528" i="3"/>
  <c r="AY102" i="3"/>
  <c r="AY22" i="3"/>
  <c r="AY175" i="3"/>
  <c r="AY288" i="3"/>
  <c r="AY208" i="3"/>
  <c r="AY339" i="3"/>
  <c r="AY474" i="3"/>
  <c r="AY413" i="3"/>
  <c r="AY583" i="3"/>
  <c r="O14" i="1"/>
  <c r="M16" i="1"/>
  <c r="AC6" i="3"/>
  <c r="H6" i="3"/>
  <c r="B9" i="71"/>
  <c r="B8" i="71" s="1"/>
  <c r="B7" i="71" s="1"/>
  <c r="B6" i="71" s="1"/>
  <c r="B5" i="71" s="1"/>
  <c r="S10" i="71"/>
  <c r="C15" i="71"/>
  <c r="D16" i="71"/>
  <c r="E6" i="6"/>
  <c r="D3" i="33"/>
  <c r="D3" i="21"/>
  <c r="D3" i="37"/>
  <c r="D14" i="12"/>
  <c r="D17" i="12" s="1"/>
  <c r="C17" i="12" s="1"/>
  <c r="D3" i="34"/>
  <c r="C17" i="4"/>
  <c r="B4" i="52" s="1"/>
  <c r="B43" i="72" s="1"/>
  <c r="D37" i="11"/>
  <c r="D19" i="11"/>
  <c r="C19" i="11" s="1"/>
  <c r="C20" i="11" s="1"/>
  <c r="C28" i="11" s="1"/>
  <c r="C27" i="11" s="1"/>
  <c r="G68" i="39"/>
  <c r="F70" i="39"/>
  <c r="L19" i="9"/>
  <c r="F69" i="15"/>
  <c r="J29" i="15"/>
  <c r="C19" i="68"/>
  <c r="C24" i="68"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C17" i="15"/>
  <c r="C25" i="11" l="1"/>
  <c r="H20" i="6"/>
  <c r="B2" i="34"/>
  <c r="B3" i="34" s="1"/>
  <c r="D10" i="11"/>
  <c r="C10" i="11" s="1"/>
  <c r="D20" i="12"/>
  <c r="C20" i="12" s="1"/>
  <c r="C18" i="12" s="1"/>
  <c r="D10" i="69"/>
  <c r="D10" i="68"/>
  <c r="D15" i="71"/>
  <c r="C14" i="71"/>
  <c r="P14" i="1"/>
  <c r="P16" i="1" s="1"/>
  <c r="C11" i="12" s="1"/>
  <c r="O16" i="1"/>
  <c r="D6" i="6"/>
  <c r="C18" i="4"/>
  <c r="D13" i="6"/>
  <c r="D29" i="6"/>
  <c r="D24" i="6"/>
  <c r="D25" i="6"/>
  <c r="H24" i="6"/>
  <c r="R24" i="6" s="1"/>
  <c r="D20" i="6"/>
  <c r="D15" i="6"/>
  <c r="H22" i="6"/>
  <c r="D9" i="6"/>
  <c r="D8" i="6"/>
  <c r="H25" i="6"/>
  <c r="H26" i="6"/>
  <c r="D19" i="6"/>
  <c r="D23" i="6"/>
  <c r="D26" i="6"/>
  <c r="D12" i="6"/>
  <c r="D22" i="6"/>
  <c r="D11" i="6"/>
  <c r="D10" i="6"/>
  <c r="D21" i="6"/>
  <c r="D5" i="6"/>
  <c r="D28" i="6"/>
  <c r="D30" i="6" s="1"/>
  <c r="E61" i="40"/>
  <c r="D14" i="6"/>
  <c r="H23" i="6"/>
  <c r="H21" i="6"/>
  <c r="E7" i="70"/>
  <c r="E2" i="70" s="1"/>
  <c r="T7" i="1"/>
  <c r="AQ7" i="1"/>
  <c r="AR7" i="1"/>
  <c r="S16" i="1"/>
  <c r="C24" i="11"/>
  <c r="C22" i="11" s="1"/>
  <c r="C31" i="11" s="1"/>
  <c r="E6" i="3"/>
  <c r="L16" i="1"/>
  <c r="N16" i="1"/>
  <c r="L27" i="6"/>
  <c r="M19" i="6"/>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36" i="67"/>
  <c r="C33" i="67"/>
  <c r="C31" i="67" s="1"/>
  <c r="J14" i="67"/>
  <c r="C13" i="67"/>
  <c r="J19" i="67"/>
  <c r="J17" i="67" s="1"/>
  <c r="C57" i="67"/>
  <c r="Q49" i="67"/>
  <c r="J59" i="67"/>
  <c r="J60" i="67" s="1"/>
  <c r="C14" i="15"/>
  <c r="R20" i="6" l="1"/>
  <c r="R23" i="6"/>
  <c r="R22" i="6"/>
  <c r="R26" i="6"/>
  <c r="R25" i="6"/>
  <c r="C18" i="15"/>
  <c r="C15" i="15"/>
  <c r="T16" i="1"/>
  <c r="D27" i="6"/>
  <c r="D31" i="6" s="1"/>
  <c r="C12" i="12"/>
  <c r="C15" i="12"/>
  <c r="D19" i="69"/>
  <c r="C10" i="69"/>
  <c r="C8" i="69" s="1"/>
  <c r="C5" i="69" s="1"/>
  <c r="C23" i="69" s="1"/>
  <c r="I19" i="6"/>
  <c r="M27" i="6"/>
  <c r="F34" i="68"/>
  <c r="F11" i="12"/>
  <c r="C14" i="12" s="1"/>
  <c r="F34" i="11"/>
  <c r="R21" i="6"/>
  <c r="D16" i="6"/>
  <c r="C4" i="52"/>
  <c r="B45" i="72" s="1"/>
  <c r="A7" i="51"/>
  <c r="B7" i="72" s="1"/>
  <c r="A10" i="51"/>
  <c r="B9" i="72" s="1"/>
  <c r="C13" i="71"/>
  <c r="T14" i="71"/>
  <c r="D14" i="71"/>
  <c r="U14" i="71" s="1"/>
  <c r="D19" i="68"/>
  <c r="D37" i="68" s="1"/>
  <c r="C10" i="68"/>
  <c r="C8" i="68" s="1"/>
  <c r="H70" i="39"/>
  <c r="I68" i="39"/>
  <c r="R7" i="1"/>
  <c r="I63" i="40"/>
  <c r="H65" i="40"/>
  <c r="I58" i="21"/>
  <c r="J58" i="21" s="1"/>
  <c r="K58" i="21" s="1"/>
  <c r="L58" i="21" s="1"/>
  <c r="M58" i="21" s="1"/>
  <c r="N58" i="21" s="1"/>
  <c r="O58" i="21" s="1"/>
  <c r="H7" i="21" s="1"/>
  <c r="F7" i="21"/>
  <c r="J48" i="35"/>
  <c r="Q48" i="15"/>
  <c r="J13" i="67"/>
  <c r="J23" i="67" s="1"/>
  <c r="J22" i="67"/>
  <c r="C61" i="67"/>
  <c r="C59" i="67" s="1"/>
  <c r="C64" i="67"/>
  <c r="Q48" i="67"/>
  <c r="L46" i="67"/>
  <c r="C56" i="67"/>
  <c r="C65" i="67" s="1"/>
  <c r="C75" i="67"/>
  <c r="Q70" i="67"/>
  <c r="C37" i="67"/>
  <c r="C30" i="67" s="1"/>
  <c r="C39" i="67" s="1"/>
  <c r="F35" i="15"/>
  <c r="M21" i="15"/>
  <c r="L51" i="67"/>
  <c r="C37" i="68" l="1"/>
  <c r="C16" i="12"/>
  <c r="C21" i="12" s="1"/>
  <c r="C22" i="12" s="1"/>
  <c r="C19" i="15"/>
  <c r="C20" i="15" s="1"/>
  <c r="C26" i="15" s="1"/>
  <c r="I6" i="6"/>
  <c r="I5" i="6"/>
  <c r="C12" i="71"/>
  <c r="D13" i="71"/>
  <c r="C36" i="11"/>
  <c r="C37" i="11"/>
  <c r="C34" i="11"/>
  <c r="C36" i="68"/>
  <c r="C34" i="68"/>
  <c r="S19" i="6"/>
  <c r="S27" i="6" s="1"/>
  <c r="I27" i="6"/>
  <c r="H19" i="6"/>
  <c r="D37" i="69"/>
  <c r="C37" i="69" s="1"/>
  <c r="C33" i="69" s="1"/>
  <c r="C19" i="69"/>
  <c r="J68" i="39"/>
  <c r="I70" i="39"/>
  <c r="F63" i="15"/>
  <c r="C62" i="15" s="1"/>
  <c r="C34" i="15"/>
  <c r="C31" i="15" s="1"/>
  <c r="J20" i="15"/>
  <c r="J7" i="21"/>
  <c r="AC7" i="21" s="1"/>
  <c r="V48" i="21" s="1"/>
  <c r="I48" i="21" s="1"/>
  <c r="U7" i="21"/>
  <c r="AB7" i="21"/>
  <c r="T48" i="21" s="1"/>
  <c r="G48" i="21" s="1"/>
  <c r="S7" i="21"/>
  <c r="AA7" i="21"/>
  <c r="R48" i="21" s="1"/>
  <c r="J63" i="40"/>
  <c r="I65" i="40"/>
  <c r="K48" i="35"/>
  <c r="L48" i="35" s="1"/>
  <c r="M48" i="35" s="1"/>
  <c r="N48" i="35" s="1"/>
  <c r="O48" i="35" s="1"/>
  <c r="H7" i="35" s="1"/>
  <c r="J7" i="35"/>
  <c r="J16" i="67"/>
  <c r="J25" i="67" s="1"/>
  <c r="C80" i="67"/>
  <c r="C79" i="67" s="1"/>
  <c r="C58" i="67"/>
  <c r="C67" i="67" s="1"/>
  <c r="C68" i="67" s="1"/>
  <c r="Q69" i="67"/>
  <c r="Q68" i="67" s="1"/>
  <c r="C40" i="67"/>
  <c r="C42" i="69" l="1"/>
  <c r="C39" i="69"/>
  <c r="C43" i="69" s="1"/>
  <c r="C35" i="68"/>
  <c r="C38" i="68"/>
  <c r="C35" i="11"/>
  <c r="C38" i="11"/>
  <c r="C11" i="71"/>
  <c r="D12" i="71"/>
  <c r="C20" i="69"/>
  <c r="C24" i="69"/>
  <c r="H27" i="6"/>
  <c r="R19" i="6"/>
  <c r="C23" i="15"/>
  <c r="C29" i="15" s="1"/>
  <c r="J70" i="39"/>
  <c r="K68" i="39"/>
  <c r="W7" i="2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33" i="11" l="1"/>
  <c r="C42" i="11" s="1"/>
  <c r="C33" i="68"/>
  <c r="C42" i="68" s="1"/>
  <c r="C41" i="69"/>
  <c r="C57" i="15"/>
  <c r="J19" i="15"/>
  <c r="J17" i="15" s="1"/>
  <c r="C13" i="15"/>
  <c r="J14" i="15"/>
  <c r="Q49" i="15"/>
  <c r="C36" i="15"/>
  <c r="C28" i="69"/>
  <c r="C27" i="69" s="1"/>
  <c r="C25" i="69"/>
  <c r="C22" i="69" s="1"/>
  <c r="C10" i="71"/>
  <c r="D11" i="71"/>
  <c r="C39" i="68"/>
  <c r="R6" i="1"/>
  <c r="R16" i="1" s="1"/>
  <c r="R27" i="6"/>
  <c r="C46" i="69"/>
  <c r="C45" i="69" s="1"/>
  <c r="L68" i="39"/>
  <c r="K70" i="39"/>
  <c r="S7" i="35"/>
  <c r="AA7" i="35"/>
  <c r="R38" i="35" s="1"/>
  <c r="C49" i="21"/>
  <c r="C6" i="12"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C39" i="11" l="1"/>
  <c r="C43" i="11" s="1"/>
  <c r="C41" i="11" s="1"/>
  <c r="C91" i="9"/>
  <c r="C94" i="9" s="1"/>
  <c r="C31" i="69"/>
  <c r="C49" i="69"/>
  <c r="C51" i="69" s="1"/>
  <c r="J13" i="15"/>
  <c r="J23" i="15" s="1"/>
  <c r="J22" i="15"/>
  <c r="C46" i="68"/>
  <c r="C45" i="68" s="1"/>
  <c r="C43" i="68"/>
  <c r="C41" i="68" s="1"/>
  <c r="C9" i="71"/>
  <c r="T10" i="71"/>
  <c r="D10" i="71"/>
  <c r="U10" i="71" s="1"/>
  <c r="C56" i="15"/>
  <c r="C65" i="15" s="1"/>
  <c r="Q70" i="15"/>
  <c r="C37" i="15"/>
  <c r="C30" i="15" s="1"/>
  <c r="C39" i="15" s="1"/>
  <c r="C75" i="15"/>
  <c r="C61" i="15"/>
  <c r="C59" i="15" s="1"/>
  <c r="C64" i="15"/>
  <c r="M68" i="39"/>
  <c r="L70" i="39"/>
  <c r="B2" i="21"/>
  <c r="B6" i="70"/>
  <c r="R39" i="35"/>
  <c r="E38" i="35"/>
  <c r="M63" i="40"/>
  <c r="L65" i="40"/>
  <c r="B3" i="21" l="1"/>
  <c r="C8" i="12"/>
  <c r="C46" i="11"/>
  <c r="C45" i="11" s="1"/>
  <c r="C49" i="11" s="1"/>
  <c r="C51" i="11" s="1"/>
  <c r="C92" i="9"/>
  <c r="C52" i="69"/>
  <c r="B2" i="69" s="1"/>
  <c r="B3" i="69" s="1"/>
  <c r="C58" i="15"/>
  <c r="C67" i="15" s="1"/>
  <c r="C68" i="15" s="1"/>
  <c r="C71" i="15" s="1"/>
  <c r="C49" i="68"/>
  <c r="C51" i="68" s="1"/>
  <c r="J16" i="15"/>
  <c r="J25" i="15" s="1"/>
  <c r="C40" i="15"/>
  <c r="Q69" i="15"/>
  <c r="Q68" i="15" s="1"/>
  <c r="C80" i="15"/>
  <c r="C79" i="15" s="1"/>
  <c r="C8" i="71"/>
  <c r="D9" i="71"/>
  <c r="M70" i="39"/>
  <c r="N68" i="39"/>
  <c r="C39" i="35"/>
  <c r="B2" i="35" s="1"/>
  <c r="B3" i="35" s="1"/>
  <c r="C38" i="35"/>
  <c r="N63" i="40"/>
  <c r="M65" i="40"/>
  <c r="E43" i="35"/>
  <c r="F43" i="35" s="1"/>
  <c r="E42" i="35"/>
  <c r="F42" i="35" s="1"/>
  <c r="I43" i="35"/>
  <c r="J43" i="35" s="1"/>
  <c r="L51" i="15"/>
  <c r="C57" i="69" l="1"/>
  <c r="C56" i="69" s="1"/>
  <c r="Q67" i="15"/>
  <c r="Q65" i="15"/>
  <c r="Q75" i="15" s="1"/>
  <c r="C83" i="15"/>
  <c r="C82" i="15" s="1"/>
  <c r="D8" i="12"/>
  <c r="C4" i="12" s="1"/>
  <c r="C43" i="15"/>
  <c r="D6" i="12" s="1"/>
  <c r="B2" i="15"/>
  <c r="C46" i="15"/>
  <c r="Q47" i="15"/>
  <c r="Q53" i="15" s="1"/>
  <c r="Q56" i="15"/>
  <c r="Q62" i="15" s="1"/>
  <c r="C52" i="11"/>
  <c r="B2" i="11" s="1"/>
  <c r="B3" i="11" s="1"/>
  <c r="C7" i="71"/>
  <c r="D8" i="71"/>
  <c r="N70" i="39"/>
  <c r="F7" i="39" s="1"/>
  <c r="O68" i="39"/>
  <c r="O70" i="39" s="1"/>
  <c r="H7" i="39"/>
  <c r="O63" i="40"/>
  <c r="O65" i="40" s="1"/>
  <c r="N65" i="40"/>
  <c r="AO7" i="1"/>
  <c r="B7" i="70" l="1"/>
  <c r="B2" i="70" s="1"/>
  <c r="B3" i="70" s="1"/>
  <c r="D7" i="71"/>
  <c r="C6" i="71"/>
  <c r="B3" i="15"/>
  <c r="C23" i="12"/>
  <c r="C31" i="12"/>
  <c r="J7" i="39"/>
  <c r="C56" i="11"/>
  <c r="C57" i="11" s="1"/>
  <c r="U7" i="39"/>
  <c r="AB7" i="39"/>
  <c r="T47" i="39" s="1"/>
  <c r="G47" i="39" s="1"/>
  <c r="W7" i="39"/>
  <c r="AC7" i="39"/>
  <c r="V47" i="39" s="1"/>
  <c r="I47" i="39" s="1"/>
  <c r="AA7" i="39"/>
  <c r="R47" i="39" s="1"/>
  <c r="S7" i="39"/>
  <c r="J7" i="40"/>
  <c r="F7" i="40"/>
  <c r="H7" i="40"/>
  <c r="C27" i="12" l="1"/>
  <c r="C25" i="12" s="1"/>
  <c r="C30" i="12"/>
  <c r="C28" i="12" s="1"/>
  <c r="C5" i="71"/>
  <c r="D6" i="71"/>
  <c r="I51" i="39"/>
  <c r="J51" i="39" s="1"/>
  <c r="G52" i="39"/>
  <c r="H52" i="39" s="1"/>
  <c r="G51" i="39"/>
  <c r="H51" i="39" s="1"/>
  <c r="E47" i="39"/>
  <c r="R48" i="39"/>
  <c r="U7" i="40"/>
  <c r="AB7" i="40"/>
  <c r="T42" i="40" s="1"/>
  <c r="G42" i="40" s="1"/>
  <c r="AA7" i="40"/>
  <c r="R42" i="40" s="1"/>
  <c r="S7" i="40"/>
  <c r="AC7" i="40"/>
  <c r="V42" i="40" s="1"/>
  <c r="I42" i="40" s="1"/>
  <c r="W7" i="40"/>
  <c r="C32" i="12" l="1"/>
  <c r="B2" i="12" s="1"/>
  <c r="B3" i="12" s="1"/>
  <c r="D5" i="71"/>
  <c r="M20" i="43" s="1"/>
  <c r="C19" i="43" s="1"/>
  <c r="C47" i="39"/>
  <c r="C48" i="39"/>
  <c r="E51" i="39"/>
  <c r="F51" i="39" s="1"/>
  <c r="E52" i="39"/>
  <c r="F52" i="39" s="1"/>
  <c r="I52" i="39"/>
  <c r="J52" i="39" s="1"/>
  <c r="I46" i="40"/>
  <c r="J46" i="40" s="1"/>
  <c r="R43" i="40"/>
  <c r="E42" i="40"/>
  <c r="G47" i="40"/>
  <c r="H47" i="40" s="1"/>
  <c r="G46" i="40"/>
  <c r="H46" i="40" s="1"/>
  <c r="D19" i="9"/>
  <c r="D20" i="9"/>
  <c r="D102" i="9" l="1"/>
  <c r="D21" i="9"/>
  <c r="D103" i="9"/>
  <c r="C34" i="43"/>
  <c r="C39" i="43"/>
  <c r="C33" i="43"/>
  <c r="C29" i="43"/>
  <c r="T9" i="43"/>
  <c r="V9" i="43" s="1"/>
  <c r="T13" i="43"/>
  <c r="V13" i="43" s="1"/>
  <c r="T5" i="43"/>
  <c r="V5" i="43" s="1"/>
  <c r="T11" i="43"/>
  <c r="V11" i="43" s="1"/>
  <c r="T10" i="43"/>
  <c r="V10" i="43" s="1"/>
  <c r="T15" i="43"/>
  <c r="V15" i="43" s="1"/>
  <c r="T7" i="43"/>
  <c r="V7" i="43" s="1"/>
  <c r="C35" i="43"/>
  <c r="C38" i="43"/>
  <c r="C37" i="43"/>
  <c r="C36" i="43"/>
  <c r="T2" i="43"/>
  <c r="V2" i="43" s="1"/>
  <c r="T6" i="43"/>
  <c r="V6" i="43" s="1"/>
  <c r="T16" i="43"/>
  <c r="V16" i="43" s="1"/>
  <c r="T3" i="43"/>
  <c r="V3" i="43" s="1"/>
  <c r="T4" i="43"/>
  <c r="V4" i="43" s="1"/>
  <c r="T14" i="43"/>
  <c r="V14" i="43" s="1"/>
  <c r="T8" i="43"/>
  <c r="V8" i="43" s="1"/>
  <c r="T12" i="43"/>
  <c r="V12" i="43" s="1"/>
  <c r="B57" i="39"/>
  <c r="F57" i="39" s="1"/>
  <c r="B56" i="39"/>
  <c r="F56" i="39" s="1"/>
  <c r="C6" i="68" s="1"/>
  <c r="B60" i="39"/>
  <c r="F60" i="39" s="1"/>
  <c r="B61" i="39"/>
  <c r="F61" i="39" s="1"/>
  <c r="B62" i="39"/>
  <c r="F62" i="39" s="1"/>
  <c r="B63" i="39"/>
  <c r="F63" i="39" s="1"/>
  <c r="B65" i="39"/>
  <c r="F65" i="39" s="1"/>
  <c r="B64" i="39"/>
  <c r="F64" i="39" s="1"/>
  <c r="B59" i="39"/>
  <c r="F59" i="39" s="1"/>
  <c r="B58" i="39"/>
  <c r="F58" i="39" s="1"/>
  <c r="C42" i="40"/>
  <c r="C43" i="40"/>
  <c r="E47" i="40"/>
  <c r="F47" i="40" s="1"/>
  <c r="E46" i="40"/>
  <c r="F46" i="40" s="1"/>
  <c r="I47" i="40"/>
  <c r="J47" i="40" s="1"/>
  <c r="G37" i="43" l="1"/>
  <c r="I37" i="43" s="1"/>
  <c r="E37" i="43"/>
  <c r="G35" i="43"/>
  <c r="I35" i="43" s="1"/>
  <c r="E35" i="43"/>
  <c r="E29" i="43"/>
  <c r="C30" i="43"/>
  <c r="E30" i="43" s="1"/>
  <c r="E39" i="43"/>
  <c r="G39" i="43"/>
  <c r="I39" i="43" s="1"/>
  <c r="G36" i="43"/>
  <c r="I36" i="43" s="1"/>
  <c r="E36" i="43"/>
  <c r="E38" i="43"/>
  <c r="G38" i="43"/>
  <c r="I38" i="43" s="1"/>
  <c r="E33" i="43"/>
  <c r="G33" i="43"/>
  <c r="I33" i="43" s="1"/>
  <c r="G34" i="43"/>
  <c r="I34" i="43" s="1"/>
  <c r="E34" i="43"/>
  <c r="C7" i="68"/>
  <c r="C5" i="68" s="1"/>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6" i="43" l="1"/>
  <c r="C27" i="43"/>
  <c r="C23" i="68"/>
  <c r="C20" i="68"/>
  <c r="C25" i="68" s="1"/>
  <c r="E6" i="76"/>
  <c r="C28" i="68" l="1"/>
  <c r="C27" i="68" s="1"/>
  <c r="E2" i="76"/>
  <c r="B2" i="43"/>
  <c r="C22" i="68"/>
  <c r="B6" i="76"/>
  <c r="C31" i="68" l="1"/>
  <c r="C52" i="68" s="1"/>
  <c r="B2" i="68" s="1"/>
  <c r="B2" i="76"/>
  <c r="B3" i="76" s="1"/>
  <c r="B3" i="43"/>
  <c r="C19" i="9"/>
  <c r="C57" i="68" l="1"/>
  <c r="C56" i="68" s="1"/>
  <c r="C102" i="9"/>
  <c r="D22" i="9"/>
  <c r="C21" i="9"/>
  <c r="G19" i="9"/>
  <c r="B3" i="68"/>
  <c r="D35" i="9"/>
  <c r="D34" i="9"/>
  <c r="C20" i="9"/>
  <c r="G20" i="9" l="1"/>
  <c r="C103" i="9"/>
  <c r="C32" i="9"/>
  <c r="D14" i="74"/>
  <c r="G14" i="74"/>
  <c r="B6" i="74" s="1"/>
  <c r="G21" i="9"/>
  <c r="D6" i="74" l="1"/>
  <c r="C6" i="74"/>
  <c r="C35" i="9"/>
  <c r="H118" i="9"/>
  <c r="F14" i="74"/>
  <c r="E14" i="74"/>
  <c r="B5" i="74"/>
  <c r="C5" i="74" l="1"/>
  <c r="D5" i="74"/>
  <c r="C34" i="9"/>
  <c r="D118" i="9" s="1"/>
  <c r="F118" i="9"/>
  <c r="C104" i="9"/>
  <c r="I118" i="9"/>
  <c r="H119" i="9"/>
  <c r="H5" i="52" s="1"/>
  <c r="H101" i="9"/>
  <c r="H4" i="52"/>
  <c r="D45" i="9" l="1"/>
  <c r="D5" i="53"/>
  <c r="M48" i="9"/>
  <c r="H107" i="9"/>
  <c r="C105" i="9"/>
  <c r="H102" i="9"/>
  <c r="D7" i="53" s="1"/>
  <c r="B21" i="72" s="1"/>
  <c r="I4" i="52"/>
  <c r="F4" i="52"/>
  <c r="B51" i="72" s="1"/>
  <c r="F119" i="9"/>
  <c r="F5" i="52" s="1"/>
  <c r="B53" i="72" s="1"/>
  <c r="G118" i="9"/>
  <c r="G4" i="52" s="1"/>
  <c r="B52" i="72" s="1"/>
  <c r="D4" i="52"/>
  <c r="B47" i="72" s="1"/>
  <c r="D119" i="9"/>
  <c r="D5" i="52" s="1"/>
  <c r="B49" i="72" s="1"/>
  <c r="D59" i="9"/>
  <c r="M55" i="9" s="1"/>
  <c r="E118" i="9" l="1"/>
  <c r="E4" i="52" s="1"/>
  <c r="B48" i="72" s="1"/>
  <c r="D13" i="53"/>
  <c r="D122" i="9"/>
  <c r="M49" i="9"/>
  <c r="H108" i="9"/>
  <c r="D15" i="53" s="1"/>
  <c r="B31" i="72" s="1"/>
  <c r="B20" i="72"/>
  <c r="D6" i="53"/>
  <c r="B22" i="72" s="1"/>
  <c r="D52" i="9"/>
  <c r="C72" i="9"/>
  <c r="C93" i="9"/>
  <c r="C86" i="9" s="1"/>
  <c r="C64" i="9"/>
  <c r="C63" i="9" s="1"/>
  <c r="C67" i="9" s="1"/>
  <c r="C68" i="9" s="1"/>
  <c r="D54" i="9" s="1"/>
  <c r="C78" i="9"/>
  <c r="C73" i="9" s="1"/>
  <c r="D53" i="9"/>
  <c r="D48" i="9" s="1"/>
  <c r="M52" i="9" s="1"/>
  <c r="D55" i="9"/>
  <c r="M53" i="9" s="1"/>
  <c r="C85" i="9"/>
  <c r="C95" i="9" l="1"/>
  <c r="C96" i="9" s="1"/>
  <c r="E96" i="9" s="1"/>
  <c r="E97" i="9" s="1"/>
  <c r="C79" i="9"/>
  <c r="C80" i="9" s="1"/>
  <c r="E80" i="9" s="1"/>
  <c r="E81" i="9" s="1"/>
  <c r="L68" i="9"/>
  <c r="M68" i="9" s="1"/>
  <c r="L66" i="9"/>
  <c r="M66" i="9" s="1"/>
  <c r="L63" i="9"/>
  <c r="M63" i="9" s="1"/>
  <c r="L64" i="9"/>
  <c r="M64" i="9" s="1"/>
  <c r="L67" i="9"/>
  <c r="M67" i="9" s="1"/>
  <c r="L65" i="9"/>
  <c r="M65" i="9" s="1"/>
  <c r="D14" i="53"/>
  <c r="B32" i="72" s="1"/>
  <c r="B30" i="72"/>
  <c r="D8" i="52"/>
  <c r="D123" i="9"/>
  <c r="D9" i="52" s="1"/>
  <c r="C97" i="9"/>
  <c r="D58" i="9" s="1"/>
  <c r="D56" i="9" s="1"/>
  <c r="M54" i="9" s="1"/>
  <c r="N57" i="9" s="1"/>
  <c r="P57" i="9" s="1"/>
  <c r="C81" i="9" l="1"/>
  <c r="M69" i="9"/>
  <c r="N69" i="9" s="1"/>
  <c r="N59" i="9"/>
  <c r="N60" i="9" s="1"/>
  <c r="N58"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<sst xmlns="http://schemas.openxmlformats.org/spreadsheetml/2006/main" count="16021" uniqueCount="3938">
  <si>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</si>
  <si>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</si>
  <si>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</si>
  <si>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</si>
  <si>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</si>
  <si>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</si>
  <si>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</si>
  <si>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</si>
  <si>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</si>
  <si>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</si>
  <si>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</si>
  <si>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</si>
  <si>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</si>
  <si>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</si>
  <si>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</si>
  <si>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</si>
  <si>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</si>
  <si>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</si>
  <si>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</si>
  <si>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</si>
  <si>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</si>
  <si>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</si>
  <si>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</si>
  <si>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</si>
  <si>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</si>
  <si>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</si>
  <si>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</si>
  <si>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</si>
  <si>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</si>
  <si>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</si>
  <si>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</si>
  <si>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</si>
  <si>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</si>
  <si>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</si>
  <si>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</si>
  <si>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</si>
  <si>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</si>
  <si>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</si>
  <si>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</si>
  <si>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</si>
  <si>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</si>
  <si>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</si>
  <si>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</si>
  <si>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</si>
  <si>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</si>
  <si>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</si>
  <si>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</si>
  <si>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</si>
  <si>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</si>
  <si>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</si>
  <si>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</si>
  <si>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</si>
  <si>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</si>
  <si>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</si>
  <si>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</si>
  <si>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</si>
  <si>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</si>
  <si>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</si>
  <si>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</si>
  <si>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</si>
  <si>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</si>
  <si>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</si>
  <si>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</si>
  <si>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</si>
  <si>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</si>
  <si>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</si>
  <si>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</si>
  <si>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</si>
  <si>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</si>
  <si>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</si>
  <si>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</si>
  <si>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</si>
  <si>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</si>
  <si>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</si>
  <si>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</si>
  <si>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</si>
  <si>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</si>
  <si>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</si>
  <si>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</si>
  <si>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</si>
  <si>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</si>
  <si>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</si>
  <si>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</si>
  <si>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</si>
  <si>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</si>
  <si>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</si>
  <si>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</si>
  <si>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</si>
  <si>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</si>
  <si>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</si>
  <si>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</si>
  <si>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</si>
  <si>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</si>
  <si>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</si>
  <si>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</si>
  <si>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</si>
  <si>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</si>
  <si>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</si>
  <si>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</si>
  <si>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</si>
  <si>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</si>
  <si>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</si>
  <si>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</si>
  <si>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</si>
  <si>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</si>
  <si>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</si>
  <si>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</si>
  <si>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</si>
  <si>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</si>
  <si>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</si>
  <si>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</si>
  <si>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</si>
  <si>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</si>
  <si>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</si>
  <si>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</si>
  <si>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</si>
  <si>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</si>
  <si>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</si>
  <si>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</si>
  <si>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</si>
  <si>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</si>
  <si>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</si>
  <si>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</si>
  <si>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</si>
  <si>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</si>
  <si>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</si>
  <si>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</si>
  <si>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</si>
  <si>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</si>
  <si>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</si>
  <si>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</si>
  <si>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</si>
  <si>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</si>
  <si>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</si>
  <si>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</si>
  <si>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</si>
  <si>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</si>
  <si>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</si>
  <si>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</si>
  <si>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</si>
  <si>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</si>
  <si>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</si>
  <si>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</si>
  <si>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</si>
  <si>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</si>
  <si>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</si>
  <si>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</si>
  <si>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</si>
  <si>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</si>
  <si>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</si>
  <si>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</si>
  <si>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</si>
  <si>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</si>
  <si>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</si>
  <si>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</si>
  <si>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</si>
  <si>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</si>
  <si>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</si>
  <si>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</si>
  <si>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</si>
  <si>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</si>
  <si>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</si>
  <si>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</si>
  <si>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</si>
  <si>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</si>
  <si>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</si>
  <si>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</si>
  <si>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</si>
  <si>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</si>
  <si>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</si>
  <si>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</si>
  <si>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</si>
  <si>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</si>
  <si>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</si>
  <si>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</si>
  <si>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</si>
  <si>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</si>
  <si>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</si>
  <si>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</si>
  <si>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</si>
  <si>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</si>
  <si>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</si>
  <si>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</si>
  <si>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</si>
  <si>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</si>
  <si>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</si>
  <si>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</si>
  <si>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</si>
  <si>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</si>
  <si>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</si>
  <si>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</si>
  <si>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</si>
  <si>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</si>
  <si>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</si>
  <si>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</si>
  <si>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</si>
  <si>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</si>
  <si>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</si>
  <si>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</si>
  <si>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</si>
  <si>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</si>
  <si>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</si>
  <si>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</si>
  <si>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</si>
  <si>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</si>
  <si>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</si>
  <si>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</si>
  <si>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</si>
  <si>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</si>
  <si>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</si>
  <si>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</si>
  <si>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</si>
  <si>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</si>
  <si>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</si>
  <si>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</si>
  <si>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</si>
  <si>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</si>
  <si>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</si>
  <si>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</si>
  <si>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</si>
  <si>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</si>
  <si>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</si>
  <si>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</si>
  <si>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</si>
  <si>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</si>
  <si>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</si>
  <si>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</si>
  <si>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</si>
  <si>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</si>
  <si>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</si>
  <si>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</si>
  <si>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</si>
  <si>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</si>
  <si>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</si>
  <si>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</si>
  <si>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</si>
  <si>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</si>
  <si>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</si>
  <si>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</si>
  <si>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</si>
  <si>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</si>
  <si>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</si>
  <si>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</si>
  <si>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</si>
  <si>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</si>
  <si>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</si>
  <si>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</si>
  <si>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</si>
  <si>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</si>
  <si>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</si>
  <si>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</si>
  <si>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</si>
  <si>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</si>
  <si>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</si>
  <si>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</si>
  <si>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</si>
  <si>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</si>
  <si>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</si>
  <si>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</si>
  <si>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</si>
  <si>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</si>
  <si>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</si>
  <si>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</si>
  <si>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</si>
  <si>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</si>
  <si>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</si>
  <si>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</si>
  <si>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</si>
  <si>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</si>
  <si>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</si>
  <si>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</si>
  <si>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</si>
  <si>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</si>
  <si>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</si>
  <si>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</si>
  <si>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</si>
  <si>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</si>
  <si>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</si>
  <si>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</si>
  <si>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</si>
  <si>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</si>
  <si>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</si>
  <si>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</si>
  <si>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</si>
  <si>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</si>
  <si>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</si>
  <si>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</si>
  <si>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</si>
  <si>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</si>
  <si>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</si>
  <si>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</si>
  <si>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</si>
  <si>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</si>
  <si>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</si>
  <si>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</si>
  <si>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</si>
  <si>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</si>
  <si>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</si>
  <si>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</si>
  <si>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</si>
  <si>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</si>
  <si>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</si>
  <si>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</si>
  <si>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</si>
  <si>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</si>
  <si>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</si>
  <si>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</si>
  <si>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</si>
  <si>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</si>
  <si>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</si>
  <si>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</si>
  <si>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</si>
  <si>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</si>
  <si>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</si>
  <si>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</si>
  <si>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</si>
  <si>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</si>
  <si>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</si>
  <si>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</si>
  <si>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</si>
  <si>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</si>
  <si>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</si>
  <si>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</si>
  <si>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</si>
  <si>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</si>
  <si>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</si>
  <si>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</si>
  <si>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</si>
  <si>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</si>
  <si>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</si>
  <si>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</si>
  <si>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</si>
  <si>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</si>
  <si>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</si>
  <si>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</si>
  <si>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</si>
  <si>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</si>
  <si>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</si>
  <si>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</si>
  <si>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</si>
  <si>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</si>
  <si>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</si>
  <si>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</si>
  <si>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</si>
  <si>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</si>
  <si>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</si>
  <si>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</si>
  <si>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</si>
  <si>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</si>
  <si>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</si>
  <si>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</si>
  <si>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</si>
  <si>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</si>
  <si>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</si>
  <si>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</si>
  <si>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</si>
  <si>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</si>
  <si>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</si>
  <si>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</si>
  <si>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</si>
  <si>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</si>
  <si>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</si>
  <si>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</si>
  <si>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</si>
  <si>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</si>
  <si>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</si>
  <si>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</si>
  <si>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</si>
  <si>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</si>
  <si>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</si>
  <si>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</si>
  <si>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</si>
  <si>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</si>
  <si>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</si>
  <si>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</si>
  <si>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</si>
  <si>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</si>
  <si>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</si>
  <si>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</si>
  <si>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</si>
  <si>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</si>
  <si>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</si>
  <si>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</si>
  <si>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</si>
  <si>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</si>
  <si>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</si>
  <si>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</si>
  <si>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</si>
  <si>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</si>
  <si>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</si>
  <si>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</si>
  <si>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</si>
  <si>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</si>
  <si>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</si>
  <si>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</si>
  <si>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</si>
  <si>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</si>
  <si>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</si>
  <si>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</si>
  <si>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</si>
  <si>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</si>
  <si>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</si>
  <si>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</si>
  <si>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</si>
  <si>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</si>
  <si>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</si>
  <si>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</si>
  <si>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</si>
  <si>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</si>
  <si>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</si>
  <si>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</si>
  <si>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</si>
  <si>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</si>
  <si>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</si>
  <si>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</si>
  <si>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</si>
  <si>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</si>
  <si>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</si>
  <si>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</si>
  <si>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</si>
  <si>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</si>
  <si>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</si>
  <si>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</si>
  <si>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</si>
  <si>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</si>
  <si>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</si>
  <si>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</si>
  <si>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</si>
  <si>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</si>
  <si>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</si>
  <si>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</si>
  <si>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</si>
  <si>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</si>
  <si>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</si>
  <si>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</si>
  <si>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</si>
  <si>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</si>
  <si>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</si>
  <si>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</si>
  <si>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</si>
  <si>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</si>
  <si>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</si>
  <si>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</si>
  <si>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</si>
  <si>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</si>
  <si>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</si>
  <si>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</si>
  <si>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</si>
  <si>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</si>
  <si>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</si>
  <si>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</si>
  <si>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</si>
  <si>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</si>
  <si>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</si>
  <si>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</si>
  <si>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</si>
  <si>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</si>
  <si>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</si>
  <si>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</si>
  <si>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</si>
  <si>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</si>
  <si>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</si>
  <si>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</si>
  <si>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</si>
  <si>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</si>
  <si>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</si>
  <si>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</si>
  <si>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</si>
  <si>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</si>
  <si>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</si>
  <si>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</si>
  <si>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</si>
  <si>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</si>
  <si>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</si>
  <si>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</si>
  <si>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</si>
  <si>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</si>
  <si>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</si>
  <si>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</si>
  <si>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</si>
  <si>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</si>
  <si>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</si>
  <si>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</si>
  <si>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</si>
  <si>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</si>
  <si>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</si>
  <si>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</si>
  <si>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</si>
  <si>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</si>
  <si>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</si>
  <si>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</si>
  <si>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</si>
  <si>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</si>
  <si>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</si>
  <si>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</si>
  <si>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</si>
  <si>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</si>
  <si>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</si>
  <si>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</si>
  <si>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</si>
  <si>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</si>
  <si>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</si>
  <si>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</si>
  <si>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</si>
  <si>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</si>
  <si>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</si>
  <si>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</si>
  <si>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</si>
  <si>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</si>
  <si>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</si>
  <si>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</si>
  <si>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</si>
  <si>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</si>
  <si>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</si>
  <si>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</si>
  <si>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</si>
  <si>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</si>
  <si>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</si>
  <si>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</si>
  <si>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</si>
  <si>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</si>
  <si>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</si>
  <si>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</si>
  <si>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</si>
  <si>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</si>
  <si>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</si>
  <si>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</si>
  <si>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</si>
  <si>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</si>
  <si>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</si>
  <si>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</si>
  <si>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</si>
  <si>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</si>
  <si>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</si>
  <si>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</si>
  <si>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</si>
  <si>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</si>
  <si>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</si>
  <si>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</si>
  <si>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</si>
  <si>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</si>
  <si>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</si>
  <si>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</si>
  <si>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</si>
  <si>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</si>
  <si>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</si>
  <si>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</si>
  <si>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</si>
  <si>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</si>
  <si>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</si>
  <si>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</si>
  <si>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</si>
  <si>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</si>
  <si>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</si>
  <si>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</si>
  <si>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</si>
  <si>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</si>
  <si>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</si>
  <si>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</si>
  <si>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</si>
  <si>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</si>
  <si>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</si>
  <si>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</si>
  <si>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</si>
  <si>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</si>
  <si>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</si>
  <si>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</si>
  <si>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</si>
  <si>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</si>
  <si>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</si>
  <si>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</si>
  <si>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</si>
  <si>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</si>
  <si>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</si>
  <si>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</si>
  <si>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</si>
  <si>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</si>
  <si>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</si>
  <si>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</si>
  <si>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</si>
  <si>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</si>
  <si>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</si>
  <si>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</si>
  <si>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</si>
  <si>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</si>
  <si>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</si>
  <si>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</si>
  <si>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</si>
  <si>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</si>
  <si>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</si>
  <si>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</si>
  <si>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</si>
  <si>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</si>
  <si>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</si>
  <si>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</si>
  <si>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</si>
  <si>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</si>
  <si>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</si>
  <si>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</si>
  <si>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</si>
  <si>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</si>
  <si>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</si>
  <si>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</si>
  <si>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</si>
  <si>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</si>
  <si>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</si>
  <si>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</si>
  <si>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</si>
  <si>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</si>
  <si>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</si>
  <si>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</si>
  <si>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</si>
  <si>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</si>
  <si>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</si>
  <si>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</si>
  <si>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</si>
  <si>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</si>
  <si>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</si>
  <si>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</si>
  <si>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</si>
  <si>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</si>
  <si>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</si>
  <si>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</si>
  <si>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</si>
  <si>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</si>
  <si>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</si>
  <si>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</si>
  <si>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</si>
  <si>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</si>
  <si>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</si>
  <si>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</si>
  <si>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</si>
  <si>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</si>
  <si>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</si>
  <si>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</si>
  <si>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</si>
  <si>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</si>
  <si>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</si>
  <si>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</si>
  <si>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</si>
  <si>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</si>
  <si>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</si>
  <si>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</si>
  <si>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</si>
  <si>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</si>
  <si>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</si>
  <si>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</si>
  <si>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</si>
  <si>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</si>
  <si>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</si>
  <si>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</si>
  <si>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</si>
  <si>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</si>
  <si>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</si>
  <si>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</si>
  <si>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</si>
  <si>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</si>
  <si>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</si>
  <si>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</si>
  <si>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</si>
  <si>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</si>
  <si>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</si>
  <si>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</si>
  <si>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</si>
  <si>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</si>
  <si>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</si>
  <si>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</si>
  <si>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</si>
  <si>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</si>
  <si>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</si>
  <si>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</si>
  <si>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</si>
  <si>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</si>
  <si>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</si>
  <si>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</si>
  <si>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</si>
  <si>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</si>
  <si>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</si>
  <si>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</si>
  <si>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</si>
  <si>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</si>
  <si>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</si>
  <si>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</si>
  <si>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</si>
  <si>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</si>
  <si>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</si>
  <si>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</si>
  <si>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</si>
  <si>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</si>
  <si>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</si>
  <si>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</si>
  <si>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</si>
  <si>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</si>
  <si>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</si>
  <si>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</si>
  <si>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</si>
  <si>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</si>
  <si>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</si>
  <si>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</si>
  <si>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</si>
  <si>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</si>
  <si>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</si>
  <si>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</si>
  <si>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</si>
  <si>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</si>
  <si>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</si>
  <si>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</si>
  <si>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</si>
  <si>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</si>
  <si>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</si>
  <si>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</si>
  <si>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</si>
  <si>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</si>
  <si>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</si>
  <si>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</si>
  <si>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</si>
  <si>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</si>
  <si>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</si>
  <si>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</si>
  <si>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</si>
  <si>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</si>
  <si>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</si>
  <si>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</si>
  <si>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</si>
  <si>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</si>
  <si>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</si>
  <si>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</si>
  <si>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</si>
  <si>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</si>
  <si>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</si>
  <si>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</si>
  <si>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</si>
  <si>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</si>
  <si>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</si>
  <si>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</si>
  <si>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</si>
  <si>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</si>
  <si>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</si>
  <si>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</si>
  <si>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</si>
  <si>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</si>
  <si>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</si>
  <si>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</si>
  <si>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</si>
  <si>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</si>
  <si>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</si>
  <si>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</si>
  <si>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</si>
  <si>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</si>
  <si>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</si>
  <si>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</si>
  <si>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</si>
  <si>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</si>
  <si>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</si>
  <si>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</si>
  <si>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</si>
  <si>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</si>
  <si>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</si>
  <si>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</si>
  <si>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</si>
  <si>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</si>
  <si>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</si>
  <si>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</si>
  <si>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</si>
  <si>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</si>
  <si>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</si>
  <si>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</si>
  <si>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</si>
  <si>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</si>
  <si>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</si>
  <si>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</si>
  <si>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</si>
  <si>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</si>
  <si>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</si>
  <si>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</si>
  <si>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</si>
  <si>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</si>
  <si>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</si>
  <si>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</si>
  <si>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</si>
  <si>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</si>
  <si>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</si>
  <si>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</si>
  <si>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</si>
  <si>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</si>
  <si>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</si>
  <si>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</si>
  <si>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</si>
  <si>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</si>
  <si>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</si>
  <si>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</si>
  <si>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</si>
  <si>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</si>
  <si>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</si>
  <si>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</si>
  <si>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</si>
  <si>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</si>
  <si>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</si>
  <si>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</si>
  <si>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</si>
  <si>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</si>
  <si>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</si>
  <si>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</si>
  <si>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</si>
  <si>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</si>
  <si>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</si>
  <si>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</si>
  <si>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</si>
  <si>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</si>
  <si>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</si>
  <si>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</si>
  <si>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</si>
  <si>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</si>
  <si>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</si>
  <si>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</si>
  <si>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</si>
  <si>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</si>
  <si>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</si>
  <si>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</si>
  <si>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</si>
  <si>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</si>
  <si>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</si>
  <si>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</si>
  <si>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</si>
  <si>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</si>
  <si>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</si>
  <si>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</si>
  <si>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</si>
  <si>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</si>
  <si>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</si>
  <si>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</si>
  <si>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</si>
  <si>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</si>
  <si>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</si>
  <si>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</si>
  <si>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</si>
  <si>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</si>
  <si>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</si>
  <si>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</si>
  <si>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</si>
  <si>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</si>
  <si>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</si>
  <si>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</si>
  <si>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</si>
  <si>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</si>
  <si>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</si>
  <si>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</si>
  <si>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</si>
  <si>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</si>
  <si>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</si>
  <si>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</si>
  <si>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</si>
  <si>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</si>
  <si>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</si>
  <si>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</si>
  <si>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</si>
  <si>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</si>
  <si>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</si>
  <si>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</si>
  <si>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</si>
  <si>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</si>
  <si>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</si>
  <si>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</si>
  <si>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</si>
  <si>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</si>
  <si>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</si>
  <si>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</si>
  <si>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</si>
  <si>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</si>
  <si>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</si>
  <si>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</si>
  <si>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</si>
  <si>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</si>
  <si>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</si>
  <si>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</si>
  <si>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</si>
  <si>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</si>
  <si>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</si>
  <si>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</si>
  <si>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</si>
  <si>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</si>
  <si>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</si>
  <si>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</si>
  <si>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</si>
  <si>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</si>
  <si>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</si>
  <si>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</si>
  <si>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</si>
  <si>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</si>
  <si>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</si>
  <si>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</si>
  <si>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</si>
  <si>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</si>
  <si>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</si>
  <si>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</si>
  <si>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</si>
  <si>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</si>
  <si>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</si>
  <si>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</si>
  <si>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</si>
  <si>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</si>
  <si>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</si>
  <si>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</si>
  <si>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</si>
  <si>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</si>
  <si>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</si>
  <si>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</si>
  <si>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</si>
  <si>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</si>
  <si>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</si>
  <si>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</si>
  <si>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</si>
  <si>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</si>
  <si>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</si>
  <si>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</si>
  <si>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</si>
  <si>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</si>
  <si>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</si>
  <si>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</si>
  <si>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</si>
  <si>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</si>
  <si>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</si>
  <si>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</si>
  <si>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</si>
  <si>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</si>
  <si>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</si>
  <si>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</si>
  <si>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</si>
  <si>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</si>
  <si>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</si>
  <si>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</si>
  <si>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</si>
  <si>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</si>
  <si>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</si>
  <si>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</si>
  <si>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</si>
  <si>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</si>
  <si>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</si>
  <si>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</si>
  <si>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</si>
  <si>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</si>
  <si>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</si>
  <si>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</si>
  <si>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</si>
  <si>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</si>
  <si>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</si>
  <si>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</si>
  <si>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</si>
  <si>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</si>
  <si>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</si>
  <si>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</si>
  <si>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</si>
  <si>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</si>
  <si>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</si>
  <si>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</si>
  <si>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</si>
  <si>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</si>
  <si>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</si>
  <si>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</si>
  <si>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</si>
  <si>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</si>
  <si>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</si>
  <si>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</si>
  <si>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</si>
  <si>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</si>
  <si>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</si>
  <si>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</si>
  <si>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</si>
  <si>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</si>
  <si>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</si>
  <si>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</si>
  <si>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</si>
  <si>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</si>
  <si>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</si>
  <si>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</si>
  <si>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</si>
  <si>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</si>
  <si>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</si>
  <si>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</si>
  <si>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</si>
  <si>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</si>
  <si>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</si>
  <si>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</si>
  <si>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</si>
  <si>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</si>
  <si>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</si>
  <si>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</si>
  <si>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</si>
  <si>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</si>
  <si>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</si>
  <si>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</si>
  <si>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</si>
  <si>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</si>
  <si>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</si>
  <si>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</si>
  <si>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</si>
  <si>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</si>
  <si>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</si>
  <si>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</si>
  <si>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</si>
  <si>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</si>
  <si>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</si>
  <si>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</si>
  <si>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</si>
  <si>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</si>
  <si>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</si>
  <si>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</si>
  <si>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</si>
  <si>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</si>
  <si>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</si>
  <si>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</si>
  <si>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</si>
  <si>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</si>
  <si>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</si>
  <si>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</si>
  <si>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</si>
  <si>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</si>
  <si>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</si>
  <si>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</si>
  <si>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</si>
  <si>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</si>
  <si>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</si>
  <si>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</si>
  <si>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</si>
  <si>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</si>
  <si>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</si>
  <si>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</si>
  <si>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</si>
  <si>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</si>
  <si>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</si>
  <si>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</si>
  <si>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</si>
  <si>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</si>
  <si>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</si>
  <si>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</si>
  <si>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</si>
  <si>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</si>
  <si>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</si>
  <si>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</si>
  <si>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</si>
  <si>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</si>
  <si>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</si>
  <si>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</si>
  <si>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</si>
  <si>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</si>
  <si>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</si>
  <si>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</si>
  <si>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</si>
  <si>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</si>
  <si>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</si>
  <si>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</si>
  <si>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</si>
  <si>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</si>
  <si>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</si>
  <si>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</si>
  <si>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</si>
  <si>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</si>
  <si>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</si>
  <si>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</si>
  <si>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</si>
  <si>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</si>
  <si>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</si>
  <si>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</si>
  <si>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</si>
  <si>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</si>
  <si>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</si>
  <si>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</si>
  <si>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</si>
  <si>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</si>
  <si>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</si>
  <si>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</si>
  <si>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</si>
  <si>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</si>
  <si>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</si>
  <si>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</si>
  <si>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</si>
  <si>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</si>
  <si>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</si>
  <si>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</si>
  <si>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</si>
  <si>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</si>
  <si>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</si>
  <si>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</si>
  <si>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</si>
  <si>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</si>
  <si>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</si>
  <si>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</si>
  <si>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</si>
  <si>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</si>
  <si>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</si>
  <si>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</si>
  <si>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</si>
  <si>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</si>
  <si>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</si>
  <si>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</si>
  <si>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</si>
  <si>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</si>
  <si>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</si>
  <si>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</si>
  <si>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</si>
  <si>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</si>
  <si>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</si>
  <si>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</si>
  <si>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</si>
  <si>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</si>
  <si>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</si>
  <si>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</si>
  <si>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</si>
  <si>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</si>
  <si>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</si>
  <si>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</si>
  <si>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</si>
  <si>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</si>
  <si>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</si>
  <si>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</si>
  <si>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</si>
  <si>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</si>
  <si>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</si>
  <si>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</si>
  <si>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</si>
  <si>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</si>
  <si>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</si>
  <si>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</si>
  <si>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</si>
  <si>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</si>
  <si>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</si>
  <si>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</si>
  <si>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</si>
  <si>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</si>
  <si>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</si>
  <si>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</si>
  <si>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</si>
  <si>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</si>
  <si>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</si>
  <si>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</si>
  <si>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</si>
  <si>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</si>
  <si>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</si>
  <si>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</si>
  <si>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</si>
  <si>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</si>
  <si>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</si>
  <si>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</si>
  <si>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</si>
  <si>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</si>
  <si>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</si>
  <si>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</si>
  <si>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</si>
  <si>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</si>
  <si>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</si>
  <si>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</si>
  <si>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</si>
  <si>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</si>
  <si>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</si>
  <si>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</si>
  <si>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</si>
  <si>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</si>
  <si>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</si>
  <si>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</si>
  <si>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</si>
  <si>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</si>
  <si>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</si>
  <si>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</si>
  <si>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</si>
  <si>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</si>
  <si>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</si>
  <si>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</si>
  <si>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</si>
  <si>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</si>
  <si>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</si>
  <si>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</si>
  <si>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</si>
  <si>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</si>
  <si>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</si>
  <si>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</si>
  <si>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</si>
  <si>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</si>
  <si>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</si>
  <si>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</si>
  <si>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</si>
  <si>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</si>
  <si>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</si>
  <si>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</si>
  <si>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</si>
  <si>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</si>
  <si>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</si>
  <si>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</si>
  <si>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</si>
  <si>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</si>
  <si>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</si>
  <si>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</si>
  <si>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</si>
  <si>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</si>
  <si>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</si>
  <si>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</si>
  <si>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</si>
  <si>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</si>
  <si>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</si>
  <si>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</si>
  <si>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</si>
  <si>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</si>
  <si>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</si>
  <si>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</si>
  <si>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</si>
  <si>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</si>
  <si>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</si>
  <si>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</si>
  <si>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</si>
  <si>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</si>
  <si>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</si>
  <si>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</si>
  <si>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</si>
  <si>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</si>
  <si>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</si>
  <si>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</si>
  <si>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</si>
  <si>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</si>
  <si>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</si>
  <si>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</si>
  <si>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</si>
  <si>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</si>
  <si>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</si>
  <si>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</si>
  <si>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</si>
  <si>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</si>
  <si>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</si>
  <si>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</si>
  <si>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</si>
  <si>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</si>
  <si>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</si>
  <si>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</si>
  <si>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</si>
  <si>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</si>
  <si>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</si>
  <si>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</si>
  <si>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</si>
  <si>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</si>
  <si>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</si>
  <si>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</si>
  <si>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</si>
  <si>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</si>
  <si>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</si>
  <si>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</si>
  <si>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</si>
  <si>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</si>
  <si>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</si>
  <si>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</si>
  <si>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</si>
  <si>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</si>
  <si>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</si>
  <si>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</si>
  <si>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</si>
  <si>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</si>
  <si>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</si>
  <si>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</si>
  <si>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</si>
  <si>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</si>
  <si>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</si>
  <si>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</si>
  <si>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</si>
  <si>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</si>
  <si>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</si>
  <si>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</si>
  <si>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</si>
  <si>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</si>
  <si>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</si>
  <si>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</si>
  <si>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</si>
  <si>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</si>
  <si>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</si>
  <si>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</si>
  <si>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</si>
  <si>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</si>
  <si>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</si>
  <si>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</si>
  <si>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</si>
  <si>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</si>
  <si>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</si>
  <si>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</si>
  <si>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</si>
  <si>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</si>
  <si>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</si>
  <si>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</si>
  <si>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</si>
  <si>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</si>
  <si>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</si>
  <si>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</si>
  <si>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</si>
  <si>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</si>
  <si>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</si>
  <si>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</si>
  <si>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</si>
  <si>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</si>
  <si>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</si>
  <si>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</si>
  <si>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</si>
  <si>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</si>
  <si>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</si>
  <si>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</si>
  <si>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</si>
  <si>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</si>
  <si>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</si>
  <si>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</si>
  <si>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</si>
  <si>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</si>
  <si>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</si>
  <si>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</si>
  <si>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</si>
  <si>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</si>
  <si>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</si>
  <si>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</si>
  <si>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</si>
  <si>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</si>
  <si>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</si>
  <si>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</si>
  <si>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</si>
  <si>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</si>
  <si>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</si>
  <si>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</si>
  <si>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</si>
  <si>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</si>
  <si>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</si>
  <si>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</si>
  <si>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</si>
  <si>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</si>
  <si>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</si>
  <si>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</si>
  <si>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</si>
  <si>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</si>
  <si>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</si>
  <si>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</si>
  <si>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</si>
  <si>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</si>
  <si>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</si>
  <si>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</si>
  <si>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</si>
  <si>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</si>
  <si>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</si>
  <si>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</si>
  <si>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</si>
  <si>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</si>
  <si>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</si>
  <si>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</si>
  <si>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</si>
  <si>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</si>
  <si>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</si>
  <si>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</si>
  <si>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</si>
  <si>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</si>
  <si>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</si>
  <si>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</si>
  <si>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</si>
  <si>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</si>
  <si>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</si>
  <si>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</si>
  <si>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</si>
  <si>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</si>
  <si>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</si>
  <si>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</si>
  <si>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</si>
  <si>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</si>
  <si>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</si>
  <si>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</si>
  <si>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</si>
  <si>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</si>
  <si>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</si>
  <si>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</si>
  <si>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</si>
  <si>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</si>
  <si>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</si>
  <si>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</si>
  <si>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</si>
  <si>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</si>
  <si>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</si>
  <si>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</si>
  <si>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</si>
  <si>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</si>
  <si>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</si>
  <si>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</si>
  <si>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</si>
  <si>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</si>
  <si>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</si>
  <si>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</si>
  <si>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</si>
  <si>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</si>
  <si>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</si>
  <si>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</si>
  <si>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</si>
  <si>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</si>
  <si>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</si>
  <si>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</si>
  <si>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</si>
  <si>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</si>
  <si>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</si>
  <si>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</si>
  <si>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</si>
  <si>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</si>
  <si>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</si>
  <si>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</si>
  <si>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</si>
  <si>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</si>
  <si>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</si>
  <si>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</si>
  <si>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</si>
  <si>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</si>
  <si>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</si>
  <si>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</si>
  <si>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</si>
  <si>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</si>
  <si>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</si>
  <si>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</si>
  <si>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</si>
  <si>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</si>
  <si>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</si>
  <si>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</si>
  <si>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</si>
  <si>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</si>
  <si>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</si>
  <si>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</si>
  <si>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</si>
  <si>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</si>
  <si>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</si>
  <si>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</si>
  <si>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</si>
  <si>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</si>
  <si>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</si>
  <si>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</si>
  <si>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</si>
  <si>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</si>
  <si>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</si>
  <si>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</si>
  <si>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</si>
  <si>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</si>
  <si>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</si>
  <si>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</si>
  <si>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</si>
  <si>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</si>
  <si>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</si>
  <si>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</si>
  <si>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</si>
  <si>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</si>
  <si>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</si>
  <si>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</si>
  <si>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</si>
  <si>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</si>
  <si>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</si>
  <si>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</si>
  <si>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</si>
  <si>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</si>
  <si>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</si>
  <si>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</si>
  <si>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</si>
  <si>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</si>
  <si>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</si>
  <si>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</si>
  <si>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</si>
  <si>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</si>
  <si>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</si>
  <si>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</si>
  <si>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</si>
  <si>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</si>
  <si>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</si>
  <si>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</si>
  <si>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</si>
  <si>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</si>
  <si>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</si>
  <si>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</si>
  <si>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</si>
  <si>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</si>
  <si>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</si>
  <si>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</si>
  <si>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</si>
  <si>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</si>
  <si>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</si>
  <si>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</si>
  <si>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</si>
  <si>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</si>
  <si>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</si>
  <si>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</si>
  <si>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</si>
  <si>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</si>
  <si>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</si>
  <si>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</si>
  <si>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</si>
  <si>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</si>
  <si>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</si>
  <si>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</si>
  <si>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</si>
  <si>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</si>
  <si>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</si>
  <si>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</si>
  <si>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</si>
  <si>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</si>
  <si>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</si>
  <si>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</si>
  <si>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</si>
  <si>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</si>
  <si>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</si>
  <si>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</si>
  <si>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</si>
  <si>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</si>
  <si>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</si>
  <si>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</si>
  <si>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</si>
  <si>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</si>
  <si>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</si>
  <si>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</si>
  <si>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</si>
  <si>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</si>
  <si>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</si>
  <si>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</si>
  <si>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</si>
  <si>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</si>
  <si>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</si>
  <si>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</si>
  <si>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</si>
  <si>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</si>
  <si>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</si>
  <si>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</si>
  <si>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</si>
  <si>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</si>
  <si>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</si>
  <si>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</si>
  <si>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</si>
  <si>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</si>
  <si>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</si>
  <si>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</si>
  <si>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</si>
  <si>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</si>
  <si>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</si>
  <si>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</si>
  <si>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</si>
  <si>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</si>
  <si>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</si>
  <si>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</si>
  <si>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</si>
  <si>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</si>
  <si>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</si>
  <si>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</si>
  <si>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</si>
  <si>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</si>
  <si>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</si>
  <si>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</si>
  <si>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</si>
  <si>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</si>
  <si>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</si>
  <si>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</si>
  <si>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</si>
  <si>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</si>
  <si>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</si>
  <si>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</si>
  <si>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</si>
  <si>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</si>
  <si>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</si>
  <si>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</si>
  <si>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</si>
  <si>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</si>
  <si>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</si>
  <si>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</si>
  <si>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</si>
  <si>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</si>
  <si>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</si>
  <si>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</si>
  <si>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</si>
  <si>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</si>
  <si>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</si>
  <si>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</si>
  <si>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</si>
  <si>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</si>
  <si>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</si>
  <si>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</si>
  <si>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</si>
  <si>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</si>
  <si>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</si>
  <si>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</si>
  <si>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</si>
  <si>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</si>
  <si>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</si>
  <si>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</si>
  <si>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</si>
  <si>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</si>
  <si>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</si>
  <si>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</si>
  <si>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</si>
  <si>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</si>
  <si>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</si>
  <si>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</si>
  <si>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</si>
  <si>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</si>
  <si>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</si>
  <si>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</si>
  <si>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</si>
  <si>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</si>
  <si>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</si>
  <si>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</si>
  <si>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</si>
  <si>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</si>
  <si>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</si>
  <si>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</si>
  <si>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</si>
  <si>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</si>
  <si>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</si>
  <si>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</si>
  <si>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</si>
  <si>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</si>
  <si>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</si>
  <si>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</si>
  <si>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</si>
  <si>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</si>
  <si>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</si>
  <si>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</si>
  <si>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</si>
  <si>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</si>
  <si>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</si>
  <si>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</si>
  <si>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</si>
  <si>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</si>
  <si>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</si>
  <si>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</si>
  <si>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</si>
  <si>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</si>
  <si>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</si>
  <si>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</si>
  <si>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</si>
  <si>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</si>
  <si>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</si>
  <si>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</si>
  <si>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</si>
  <si>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</si>
  <si>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</si>
  <si>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</si>
  <si>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</si>
  <si>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</si>
  <si>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</si>
  <si>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</si>
  <si>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</si>
  <si>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</si>
  <si>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</si>
  <si>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</si>
  <si>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</si>
  <si>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</si>
  <si>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</si>
  <si>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</si>
  <si>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</si>
  <si>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</si>
  <si>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</si>
  <si>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</si>
  <si>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</si>
  <si>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</si>
  <si>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</si>
  <si>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</si>
  <si>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</si>
  <si>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</si>
  <si>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</si>
  <si>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</si>
  <si>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</si>
  <si>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</si>
  <si>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</si>
  <si>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</si>
  <si>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</si>
  <si>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</si>
  <si>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</si>
  <si>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</si>
  <si>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</si>
  <si>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</si>
  <si>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</si>
  <si>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</si>
  <si>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</si>
  <si>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</si>
  <si>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</si>
  <si>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</si>
  <si>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</si>
  <si>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</si>
  <si>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</si>
  <si>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</si>
  <si>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</si>
  <si>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</si>
  <si>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</si>
  <si>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</si>
  <si>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</si>
  <si>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</si>
  <si>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</si>
  <si>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</si>
  <si>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</si>
  <si>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</si>
  <si>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</si>
  <si>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</si>
  <si>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</si>
  <si>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</si>
  <si>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</si>
  <si>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</si>
  <si>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</si>
  <si>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</si>
  <si>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</si>
  <si>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</si>
  <si>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</si>
  <si>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</si>
  <si>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</si>
  <si>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</si>
  <si>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</si>
  <si>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</si>
  <si>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</si>
  <si>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</si>
  <si>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</si>
  <si>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</si>
  <si>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</si>
  <si>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</si>
  <si>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</si>
  <si>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</si>
  <si>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</si>
  <si>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</si>
  <si>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</si>
  <si>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</si>
  <si>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</si>
  <si>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</si>
  <si>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</si>
  <si>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</si>
  <si>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</si>
  <si>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</si>
  <si>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</si>
  <si>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</si>
  <si>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</si>
  <si>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</si>
  <si>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</si>
  <si>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</si>
  <si>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</si>
  <si>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</si>
  <si>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</si>
  <si>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</si>
  <si>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</si>
  <si>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</si>
  <si>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</si>
  <si>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</si>
  <si>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</si>
  <si>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</si>
  <si>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</si>
  <si>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</si>
  <si>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</si>
  <si>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</si>
  <si>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</si>
  <si>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</si>
  <si>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</si>
  <si>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</si>
  <si>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</si>
  <si>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</si>
  <si>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</si>
  <si>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</si>
  <si>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</si>
  <si>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</si>
  <si>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</si>
  <si>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</si>
  <si>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</si>
  <si>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</si>
  <si>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</si>
  <si>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</si>
  <si>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</si>
  <si>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</si>
  <si>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</si>
  <si>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</si>
  <si>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</si>
  <si>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</si>
  <si>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</si>
  <si>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</si>
  <si>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</si>
  <si>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</si>
  <si>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</si>
  <si>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</si>
  <si>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</si>
  <si>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</si>
  <si>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</si>
  <si>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</si>
  <si>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</si>
  <si>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</si>
  <si>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</si>
  <si>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</si>
  <si>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</si>
  <si>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</si>
  <si>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</si>
  <si>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</si>
  <si>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</si>
  <si>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</si>
  <si>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</si>
  <si>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</si>
  <si>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</si>
  <si>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</si>
  <si>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</si>
  <si>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</si>
  <si>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</si>
  <si>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</si>
  <si>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</si>
  <si>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</si>
  <si>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</si>
  <si>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</si>
  <si>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</si>
  <si>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</si>
  <si>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</si>
  <si>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</si>
  <si>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</si>
  <si>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</si>
  <si>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</si>
  <si>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</si>
  <si>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</si>
  <si>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</si>
  <si>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</si>
  <si>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</si>
  <si>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</si>
  <si>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</si>
  <si>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</si>
  <si>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</si>
  <si>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</si>
  <si>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</si>
  <si>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</si>
  <si>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</si>
  <si>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</si>
  <si>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</si>
  <si>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</si>
  <si>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</si>
  <si>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</si>
  <si>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</si>
  <si>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</si>
  <si>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</si>
  <si>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</si>
  <si>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</si>
  <si>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</si>
  <si>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</si>
  <si>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</si>
  <si>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</si>
  <si>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</si>
  <si>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</si>
  <si>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</si>
  <si>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</si>
  <si>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</si>
  <si>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</si>
  <si>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</si>
  <si>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</si>
  <si>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</si>
  <si>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</si>
  <si>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</si>
  <si>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</si>
  <si>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</si>
  <si>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</si>
  <si>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</si>
  <si>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</si>
  <si>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</si>
  <si>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</si>
  <si>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</si>
  <si>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</si>
  <si>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</si>
  <si>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</si>
  <si>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</si>
  <si>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</si>
  <si>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</si>
  <si>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</si>
  <si>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</si>
  <si>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</si>
  <si>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</si>
  <si>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</si>
  <si>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</si>
  <si>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</si>
  <si>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</si>
  <si>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</si>
  <si>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</si>
  <si>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</si>
  <si>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</si>
  <si>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</si>
  <si>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</si>
  <si>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</si>
  <si>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</si>
  <si>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</si>
  <si>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</si>
  <si>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</si>
  <si>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</si>
  <si>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</si>
  <si>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</si>
  <si>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</si>
  <si>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</si>
  <si>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</si>
  <si>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</si>
  <si>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</si>
  <si>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</si>
  <si>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</si>
  <si>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</si>
  <si>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</si>
  <si>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</si>
  <si>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</si>
  <si>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</si>
  <si>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</si>
  <si>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</si>
  <si>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</si>
  <si>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</si>
  <si>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</si>
  <si>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</si>
  <si>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</si>
  <si>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</si>
  <si>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</si>
  <si>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</si>
  <si>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</si>
  <si>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</si>
  <si>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</si>
  <si>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</si>
  <si>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</si>
  <si>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</si>
  <si>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</si>
  <si>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</si>
  <si>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</si>
  <si>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</si>
  <si>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</si>
  <si>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</si>
  <si>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</si>
  <si>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</si>
  <si>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</si>
  <si>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</si>
  <si>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</si>
  <si>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</si>
  <si>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</si>
  <si>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</si>
  <si>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</si>
  <si>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</si>
  <si>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</si>
  <si>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</si>
  <si>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</si>
  <si>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</si>
  <si>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</si>
  <si>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</si>
  <si>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</si>
  <si>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</si>
  <si>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</si>
  <si>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</si>
  <si>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</si>
  <si>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</si>
  <si>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</si>
  <si>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</si>
  <si>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</si>
  <si>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</si>
  <si>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</si>
  <si>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</si>
  <si>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</si>
  <si>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</si>
  <si>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</si>
  <si>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</si>
  <si>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</si>
  <si>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</si>
  <si>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</si>
  <si>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</si>
  <si>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</si>
  <si>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</si>
  <si>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</si>
  <si>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</si>
  <si>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</si>
  <si>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</si>
  <si>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</si>
  <si>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</si>
  <si>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</si>
  <si>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</si>
  <si>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</si>
  <si>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</si>
  <si>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</si>
  <si>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</si>
  <si>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</si>
  <si>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</si>
  <si>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</si>
  <si>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</si>
  <si>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</si>
  <si>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</si>
  <si>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</si>
  <si>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</si>
  <si>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</si>
  <si>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</si>
  <si>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</si>
  <si>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</si>
  <si>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</si>
  <si>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</si>
  <si>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</si>
  <si>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</si>
  <si>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</si>
  <si>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</si>
  <si>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</si>
  <si>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</si>
  <si>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</si>
  <si>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</si>
  <si>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</si>
  <si>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</si>
  <si>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</si>
  <si>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</si>
  <si>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</si>
  <si>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</si>
  <si>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</si>
  <si>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</si>
  <si>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</si>
  <si>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</si>
  <si>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</si>
  <si>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</si>
  <si>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</si>
  <si>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</si>
  <si>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</si>
  <si>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</si>
  <si>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</si>
  <si>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</si>
  <si>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</si>
  <si>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</si>
  <si>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</si>
  <si>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</si>
  <si>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</si>
  <si>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</si>
  <si>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</si>
  <si>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</si>
  <si>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</si>
  <si>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</si>
  <si>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</si>
  <si>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</si>
  <si>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</si>
  <si>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</si>
  <si>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</si>
  <si>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</si>
  <si>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</si>
  <si>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</si>
  <si>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</si>
  <si>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</si>
  <si>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</si>
  <si>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</si>
  <si>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</si>
  <si>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</si>
  <si>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</si>
  <si>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</si>
  <si>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</si>
  <si>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</si>
  <si>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</si>
  <si>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</si>
  <si>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</si>
  <si>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</si>
  <si>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</si>
  <si>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</si>
  <si>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</si>
  <si>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</si>
  <si>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</si>
  <si>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</si>
  <si>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</si>
  <si>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</si>
  <si>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</si>
  <si>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</si>
  <si>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</si>
  <si>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</si>
  <si>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</si>
  <si>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</si>
  <si>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</si>
  <si>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</si>
  <si>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</si>
  <si>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</si>
  <si>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</si>
  <si>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</si>
  <si>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</si>
  <si>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</si>
  <si>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</si>
  <si>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</si>
  <si>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</si>
  <si>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</si>
  <si>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</si>
  <si>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</si>
  <si>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</si>
  <si>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</si>
  <si>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</si>
  <si>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</si>
  <si>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</si>
  <si>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</si>
  <si>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</si>
  <si>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</si>
  <si>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</si>
  <si>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</si>
  <si>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</si>
  <si>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</si>
  <si>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</si>
  <si>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</si>
  <si>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</si>
  <si>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</si>
  <si>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</si>
  <si>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</si>
  <si>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</si>
  <si>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</si>
  <si>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</si>
  <si>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</si>
  <si>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</si>
  <si>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</si>
  <si>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</si>
  <si>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</si>
  <si>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</si>
  <si>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</si>
  <si>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</si>
  <si>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</si>
  <si>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</si>
  <si>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</si>
  <si>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</si>
  <si>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</si>
  <si>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</si>
  <si>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</si>
  <si>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</si>
  <si>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</si>
  <si>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</si>
  <si>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</si>
  <si>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</si>
  <si>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</si>
  <si>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</si>
  <si>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</si>
  <si>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</si>
  <si>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</si>
  <si>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</si>
  <si>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</si>
  <si>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</si>
  <si>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</si>
  <si>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</si>
  <si>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</si>
  <si>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</si>
  <si>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</si>
  <si>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</si>
  <si>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</si>
  <si>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</si>
  <si>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</si>
  <si>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</si>
  <si>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</si>
  <si>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</si>
  <si>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</si>
  <si>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</si>
  <si>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</si>
  <si>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</si>
  <si>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</si>
  <si>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</si>
  <si>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</si>
  <si>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</si>
  <si>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</si>
  <si>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</si>
  <si>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</si>
  <si>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</si>
  <si>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</si>
  <si>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</si>
  <si>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</si>
  <si>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</si>
  <si>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</si>
  <si>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</si>
  <si>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</si>
  <si>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</si>
  <si>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</si>
  <si>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</si>
  <si>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</si>
  <si>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</si>
  <si>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</si>
  <si>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</si>
  <si>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</si>
  <si>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</si>
  <si>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</si>
  <si>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</si>
  <si>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</si>
  <si>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</si>
  <si>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</si>
  <si>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</si>
  <si>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</si>
  <si>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</si>
  <si>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</si>
  <si>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</si>
  <si>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</si>
  <si>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</si>
  <si>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</si>
  <si>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</si>
  <si>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</si>
  <si>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</si>
  <si>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</si>
  <si>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</si>
  <si>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</si>
  <si>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</si>
  <si>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</si>
  <si>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</si>
  <si>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</si>
  <si>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</si>
  <si>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</si>
  <si>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</si>
  <si>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</si>
  <si>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</si>
  <si>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</si>
  <si>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</si>
  <si>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</si>
  <si>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</si>
  <si>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</si>
  <si>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</si>
  <si>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</si>
  <si>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</si>
  <si>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</si>
  <si>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</si>
  <si>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</si>
  <si>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</si>
  <si>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</si>
  <si>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</si>
  <si>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</si>
  <si>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</si>
  <si>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</si>
  <si>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</si>
  <si>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</si>
  <si>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</si>
  <si>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</si>
  <si>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</si>
  <si>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</si>
  <si>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</si>
  <si>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</si>
  <si>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</si>
  <si>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</si>
  <si>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</si>
  <si>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</si>
  <si>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</si>
  <si>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</si>
  <si>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</si>
  <si>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</si>
  <si>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</si>
  <si>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</si>
  <si>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</si>
  <si>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</si>
  <si>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</si>
  <si>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</si>
  <si>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</si>
  <si>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</si>
  <si>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</si>
  <si>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</si>
  <si>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</si>
  <si>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</si>
  <si>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</si>
  <si>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</si>
  <si>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</si>
  <si>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</si>
  <si>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</si>
  <si>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</si>
  <si>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</si>
  <si>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</si>
  <si>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</si>
  <si>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</si>
  <si>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</si>
  <si>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</si>
  <si>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</si>
  <si>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</si>
  <si>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</si>
  <si>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</si>
  <si>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</si>
  <si>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</si>
  <si>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</si>
  <si>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</si>
  <si>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</si>
  <si>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</si>
  <si>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</si>
  <si>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</si>
  <si>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</si>
  <si>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</si>
  <si>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</si>
  <si>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</si>
  <si>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</si>
  <si>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</si>
  <si>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</si>
  <si>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</si>
  <si>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</si>
  <si>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</si>
  <si>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</si>
  <si>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</si>
  <si>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</si>
  <si>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</si>
  <si>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</si>
  <si>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</si>
  <si>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</si>
  <si>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</si>
  <si>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</si>
  <si>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</si>
  <si>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</si>
  <si>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</si>
  <si>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</si>
  <si>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</si>
  <si>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</si>
  <si>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</si>
  <si>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</si>
  <si>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</si>
  <si>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</si>
  <si>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</si>
  <si>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</si>
  <si>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</si>
  <si>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</si>
  <si>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</si>
  <si>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</si>
  <si>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</si>
  <si>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</si>
  <si>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</si>
  <si>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</si>
  <si>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</si>
  <si>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</si>
  <si>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</si>
  <si>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</si>
  <si>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</si>
  <si>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</si>
  <si>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</si>
  <si>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</si>
  <si>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</si>
  <si>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</si>
  <si>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</si>
  <si>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</si>
  <si>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</si>
  <si>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</si>
  <si>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</si>
  <si>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</si>
  <si>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</si>
  <si>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</si>
  <si>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</si>
  <si>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</si>
  <si>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</si>
  <si>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</si>
  <si>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</si>
  <si>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</si>
  <si>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</si>
  <si>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</si>
  <si>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</si>
  <si>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</si>
  <si>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</si>
  <si>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</si>
  <si>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</si>
  <si>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</si>
  <si>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</si>
  <si>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</si>
  <si>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</si>
  <si>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</si>
  <si>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</si>
  <si>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</si>
  <si>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</si>
  <si>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</si>
  <si>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</si>
  <si>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</si>
  <si>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</si>
  <si>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</si>
  <si>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</si>
  <si>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</si>
  <si>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</si>
  <si>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</si>
  <si>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</si>
  <si>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</si>
  <si>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</si>
  <si>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</si>
  <si>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</si>
  <si>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</si>
  <si>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</si>
  <si>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</si>
  <si>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</si>
  <si>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</si>
  <si>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</si>
  <si>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</si>
  <si>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</si>
  <si>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</si>
  <si>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</si>
  <si>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</si>
  <si>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</si>
  <si>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</si>
  <si>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</si>
  <si>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</si>
  <si>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</si>
  <si>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</si>
  <si>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</si>
  <si>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</si>
  <si>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</si>
  <si>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</si>
  <si>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</si>
  <si>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</si>
  <si>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</si>
  <si>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</si>
  <si>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</si>
  <si>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</si>
  <si>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</si>
  <si>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</si>
  <si>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</si>
  <si>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</si>
  <si>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</si>
  <si>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</si>
  <si>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</si>
  <si>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</si>
  <si>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</si>
  <si>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</si>
  <si>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</si>
  <si>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</si>
  <si>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</si>
  <si>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</si>
  <si>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</si>
  <si>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</si>
  <si>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</si>
  <si>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</si>
  <si>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</si>
  <si>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</si>
  <si>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</si>
  <si>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</si>
  <si>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</si>
  <si>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</si>
  <si>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</si>
  <si>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</si>
  <si>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</si>
  <si>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</si>
  <si>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</si>
  <si>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</si>
  <si>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</si>
  <si>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</si>
  <si>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</si>
  <si>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</si>
  <si>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</si>
  <si>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</si>
  <si>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</si>
  <si>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</si>
  <si>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</si>
  <si>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</si>
  <si>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</si>
  <si>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</si>
  <si>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</si>
  <si>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</si>
  <si>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</si>
  <si>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</si>
  <si>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</si>
  <si>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</si>
  <si>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</si>
  <si>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</si>
  <si>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</si>
  <si>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</si>
  <si>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</si>
  <si>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</si>
  <si>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</si>
  <si>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</si>
  <si>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</si>
  <si>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</si>
  <si>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</si>
  <si>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</si>
  <si>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</si>
  <si>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</si>
  <si>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</si>
  <si>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</si>
  <si>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</si>
  <si>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</si>
  <si>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</si>
  <si>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</si>
  <si>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</si>
  <si>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</si>
  <si>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</si>
  <si>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</si>
  <si>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</si>
  <si>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</si>
  <si>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</si>
  <si>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</si>
  <si>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</si>
  <si>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</si>
  <si>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</si>
  <si>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</si>
  <si>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</si>
  <si>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</si>
  <si>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</si>
  <si>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</si>
  <si>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</si>
  <si>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</si>
  <si>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</si>
  <si>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</si>
  <si>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</si>
  <si>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</si>
  <si>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</si>
  <si>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</si>
  <si>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</si>
  <si>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</si>
  <si>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</si>
  <si>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</si>
  <si>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</si>
  <si>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</si>
  <si>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</si>
  <si>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</si>
  <si>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</si>
  <si>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</si>
  <si>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</si>
  <si>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</si>
  <si>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</si>
  <si>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</si>
  <si>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</si>
  <si>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</si>
  <si>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</si>
  <si>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</si>
  <si>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</si>
  <si>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</si>
  <si>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</si>
  <si>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</si>
  <si>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</si>
  <si>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</si>
  <si>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</si>
  <si>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</si>
  <si>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</si>
  <si>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</si>
  <si>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</si>
  <si>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</si>
  <si>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</si>
  <si>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</si>
  <si>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</si>
  <si>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</si>
  <si>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</si>
  <si>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</si>
  <si>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</si>
  <si>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</si>
  <si>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</si>
  <si>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</si>
  <si>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</si>
  <si>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</si>
  <si>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</si>
  <si>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</si>
  <si>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</si>
  <si>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</si>
  <si>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</si>
  <si>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</si>
  <si>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</si>
  <si>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</si>
  <si>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</si>
  <si>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</si>
  <si>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</si>
  <si>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</si>
  <si>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</si>
  <si>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</si>
  <si>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</si>
  <si>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</si>
  <si>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</si>
  <si>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</si>
  <si>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</si>
  <si>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</si>
  <si>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</si>
  <si>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</si>
  <si>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</si>
  <si>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</si>
  <si>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</si>
  <si>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</si>
  <si>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</si>
  <si>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</si>
  <si>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</si>
  <si>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</si>
  <si>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</si>
  <si>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</si>
  <si>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</si>
  <si>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</si>
  <si>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</si>
  <si>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</si>
  <si>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</si>
  <si>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</si>
  <si>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</si>
  <si>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</si>
  <si>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</si>
  <si>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</si>
  <si>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</si>
  <si>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</si>
  <si>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</si>
  <si>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</si>
  <si>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</si>
  <si>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</si>
  <si>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</si>
  <si>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</si>
  <si>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</si>
  <si>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</si>
  <si>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</si>
  <si>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</si>
  <si>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</si>
  <si>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</si>
  <si>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</si>
  <si>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</si>
  <si>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</si>
  <si>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</si>
  <si>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</si>
  <si>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</si>
  <si>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</si>
  <si>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</si>
  <si>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</si>
  <si>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</si>
  <si>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</si>
  <si>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</si>
  <si>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</si>
  <si>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</si>
  <si>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</si>
  <si>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</si>
  <si>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</si>
  <si>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</si>
  <si>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</si>
  <si>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</si>
  <si>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</si>
  <si>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</si>
  <si>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</si>
  <si>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</si>
  <si>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</si>
  <si>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</si>
  <si>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</si>
  <si>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</si>
  <si>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</si>
  <si>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</si>
  <si>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</si>
  <si>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</si>
  <si>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</si>
  <si>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</si>
  <si>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</si>
  <si>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</si>
  <si>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</si>
  <si>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</si>
  <si>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</si>
  <si>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</si>
  <si>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</si>
  <si>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</si>
  <si>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</si>
  <si>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</si>
  <si>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</si>
  <si>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</si>
  <si>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</si>
  <si>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</si>
  <si>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</si>
  <si>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</si>
  <si>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</si>
  <si>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</si>
  <si>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</si>
  <si>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</si>
  <si>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</si>
  <si>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</si>
  <si>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</si>
  <si>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</si>
  <si>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</si>
  <si>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</si>
  <si>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</si>
  <si>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</si>
  <si>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</si>
  <si>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</si>
  <si>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</si>
  <si>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</si>
  <si>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</si>
  <si>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</si>
  <si>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</si>
  <si>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</si>
  <si>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</si>
  <si>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</si>
  <si>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</si>
  <si>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</si>
  <si>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</si>
  <si>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</si>
  <si>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</si>
  <si>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</si>
  <si>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</si>
  <si>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</si>
  <si>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</si>
  <si>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</si>
  <si>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</si>
  <si>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</si>
  <si>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</si>
  <si>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</si>
  <si>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</si>
  <si>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</si>
  <si>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</si>
  <si>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</si>
  <si>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</si>
  <si>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</si>
  <si>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</si>
  <si>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</si>
  <si>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</si>
  <si>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</si>
  <si>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</si>
  <si>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</si>
  <si>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</si>
  <si>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</si>
  <si>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</si>
  <si>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</si>
  <si>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</si>
  <si>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</si>
  <si>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</si>
  <si>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</si>
  <si>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</si>
  <si>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</si>
  <si>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</si>
  <si>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</si>
  <si>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</si>
  <si>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</si>
  <si>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</si>
  <si>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</si>
  <si>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</si>
  <si>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</si>
  <si>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</si>
  <si>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</si>
  <si>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</si>
  <si>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</si>
  <si>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</si>
  <si>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</si>
  <si>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</si>
  <si>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</si>
  <si>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</si>
  <si>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</si>
  <si>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</si>
  <si>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</si>
  <si>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</si>
  <si>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</si>
  <si>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</si>
  <si>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</si>
  <si>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</si>
  <si>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</si>
  <si>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</si>
  <si>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</si>
  <si>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</si>
  <si>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</si>
  <si>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</si>
  <si>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</si>
  <si>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</si>
  <si>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</si>
  <si>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</si>
  <si>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</si>
  <si>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</si>
  <si>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</si>
  <si>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</si>
  <si>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</si>
  <si>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</si>
  <si>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</si>
  <si>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</si>
  <si>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</si>
  <si>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</si>
  <si>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</si>
  <si>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</si>
  <si>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</si>
  <si>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</si>
  <si>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</si>
  <si>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</si>
  <si>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</si>
  <si>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</si>
  <si>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</si>
  <si>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</si>
  <si>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</si>
  <si>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</si>
  <si>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</si>
  <si>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</si>
  <si>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</si>
  <si>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</si>
  <si>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</si>
  <si>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</si>
  <si>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</si>
  <si>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</si>
  <si>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</si>
  <si>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</si>
  <si>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</si>
  <si>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</si>
  <si>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</si>
  <si>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</si>
  <si>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</si>
  <si>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</si>
  <si>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</si>
  <si>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</si>
  <si>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</si>
  <si>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</si>
  <si>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</si>
  <si>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</si>
  <si>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</si>
  <si>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</si>
  <si>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</si>
  <si>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</si>
  <si>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</si>
  <si>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</si>
  <si>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</si>
  <si>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</si>
  <si>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</si>
  <si>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</si>
  <si>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</si>
  <si>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</si>
  <si>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</si>
  <si>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</si>
  <si>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</si>
  <si>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</si>
  <si>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</si>
  <si>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</si>
  <si>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</si>
  <si>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</si>
  <si>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</si>
  <si>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</si>
  <si>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</si>
  <si>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</si>
  <si>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</si>
  <si>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</si>
  <si>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</si>
  <si>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</si>
  <si>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</si>
  <si>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</si>
  <si>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</si>
  <si>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</si>
  <si>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</si>
  <si>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</si>
  <si>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</si>
  <si>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</si>
  <si>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</si>
  <si>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</si>
  <si>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</si>
  <si>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</si>
  <si>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</si>
  <si>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</si>
  <si>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</si>
  <si>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</si>
  <si>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</si>
  <si>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</si>
  <si>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</si>
  <si>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</si>
  <si>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</si>
  <si>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</si>
  <si>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</si>
  <si>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</si>
  <si>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</si>
  <si>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</si>
  <si>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</si>
  <si>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</si>
  <si>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</si>
  <si>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</si>
  <si>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</si>
  <si>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</si>
  <si>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</si>
  <si>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</si>
  <si>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</si>
  <si>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</si>
  <si>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</si>
  <si>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</si>
  <si>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</si>
  <si>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</si>
  <si>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</si>
  <si>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</si>
  <si>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</si>
  <si>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</si>
  <si>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</si>
  <si>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</si>
  <si>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</si>
  <si>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</si>
  <si>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</si>
  <si>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</si>
  <si>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</si>
  <si>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</si>
  <si>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</si>
  <si>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</si>
  <si>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</si>
  <si>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</si>
  <si>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</si>
  <si>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</si>
  <si>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</si>
  <si>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</si>
  <si>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</si>
  <si>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</si>
  <si>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</si>
  <si>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</si>
  <si>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</si>
  <si>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</si>
  <si>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</si>
  <si>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</si>
  <si>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</si>
  <si>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</si>
  <si>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</si>
  <si>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</si>
  <si>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</si>
  <si>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</si>
  <si>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</si>
  <si>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</si>
  <si>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</si>
  <si>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</si>
  <si>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</si>
  <si>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</si>
  <si>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</si>
  <si>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</si>
  <si>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</si>
  <si>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</si>
  <si>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</si>
  <si>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</si>
  <si>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</si>
  <si>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</si>
  <si>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</si>
  <si>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</si>
  <si>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</si>
  <si>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</si>
  <si>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</si>
  <si>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</si>
  <si>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</si>
  <si>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</si>
  <si>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</si>
  <si>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</si>
  <si>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</si>
  <si>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</si>
  <si>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</si>
  <si>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</si>
  <si>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</si>
  <si>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</si>
  <si>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</si>
  <si>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</si>
  <si>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</si>
  <si>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</si>
  <si>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</si>
  <si>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</si>
  <si>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</si>
  <si>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</si>
  <si>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</si>
  <si>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</si>
  <si>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</si>
  <si>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</si>
  <si>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</si>
  <si>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</si>
  <si>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</si>
  <si>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</si>
  <si>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</si>
  <si>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</si>
  <si>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</si>
  <si>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</si>
  <si>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</si>
  <si>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</si>
  <si>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</si>
  <si>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</si>
  <si>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</si>
  <si>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</si>
  <si>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</si>
  <si>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</si>
  <si>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</si>
  <si>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</si>
  <si>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</si>
  <si>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</si>
  <si>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</si>
  <si>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</si>
  <si>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</si>
  <si>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</si>
  <si>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</si>
  <si>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</si>
  <si>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</si>
  <si>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</si>
  <si>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</si>
  <si>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</si>
  <si>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</si>
  <si>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</si>
  <si>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</si>
  <si>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</si>
  <si>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</si>
  <si>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</si>
  <si>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</si>
  <si>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</si>
  <si>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</si>
  <si>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</si>
  <si>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</si>
  <si>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</si>
  <si>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</si>
  <si>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</si>
  <si>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</si>
  <si>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</si>
  <si>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</si>
  <si>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</si>
  <si>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</si>
  <si>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</si>
  <si>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</si>
  <si>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</si>
  <si>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</si>
  <si>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</si>
  <si>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</si>
  <si>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</si>
  <si>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</si>
  <si>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</si>
  <si>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</si>
  <si>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</si>
  <si>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</si>
  <si>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</si>
  <si>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</si>
  <si>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</si>
  <si>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</si>
  <si>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</si>
  <si>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</si>
  <si>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</si>
  <si>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</si>
  <si>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</si>
  <si>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</si>
  <si>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</si>
  <si>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</si>
  <si>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</si>
  <si>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</si>
  <si>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</si>
  <si>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</si>
  <si>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</si>
  <si>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</si>
  <si>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</si>
  <si>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</si>
  <si>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</si>
  <si>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</si>
  <si>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</si>
  <si>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</si>
  <si>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</si>
  <si>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</si>
  <si>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</si>
  <si>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</si>
  <si>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</si>
  <si>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</si>
  <si>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</si>
  <si>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</si>
  <si>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</si>
  <si>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</si>
  <si>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</si>
  <si>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</si>
  <si>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</si>
  <si>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</si>
  <si>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</si>
  <si>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</si>
  <si>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</si>
  <si>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</si>
  <si>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</si>
  <si>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</si>
  <si>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</si>
  <si>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</si>
  <si>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</si>
  <si>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</si>
  <si>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</si>
  <si>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</si>
  <si>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</si>
  <si>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</si>
  <si>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</si>
  <si>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</si>
  <si>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</si>
  <si>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</si>
  <si>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</si>
  <si>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</si>
  <si>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</si>
  <si>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</si>
  <si>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</si>
  <si>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</si>
  <si>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</si>
  <si>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</si>
  <si>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</si>
  <si>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</si>
  <si>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</si>
  <si>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</si>
  <si>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</si>
  <si>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</si>
  <si>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</si>
  <si>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</si>
  <si>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</si>
  <si>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</si>
  <si>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</si>
  <si>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</si>
  <si>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</si>
  <si>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</si>
  <si>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</si>
  <si>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</si>
  <si>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</si>
  <si>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</si>
  <si>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</si>
  <si>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</si>
  <si>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</si>
  <si>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</si>
  <si>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</si>
  <si>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</si>
  <si>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</si>
  <si>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</si>
  <si>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</si>
  <si>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</si>
  <si>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</si>
  <si>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</si>
  <si>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</si>
  <si>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</si>
  <si>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</si>
  <si>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</si>
  <si>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</si>
  <si>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</si>
  <si>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</si>
  <si>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</si>
  <si>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</si>
  <si>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</si>
  <si>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</si>
  <si>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</si>
  <si>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</si>
  <si>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</si>
  <si>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</si>
  <si>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</si>
  <si>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</si>
  <si>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</si>
  <si>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</si>
  <si>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</si>
  <si>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</si>
  <si>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</si>
  <si>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</si>
  <si>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</si>
  <si>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企业</t>
  </si>
  <si>
    <t>出让</t>
  </si>
  <si>
    <t>在建</t>
  </si>
  <si>
    <t>地上</t>
  </si>
  <si>
    <t>地下</t>
  </si>
  <si>
    <t>是</t>
  </si>
  <si>
    <t>工业用房</t>
  </si>
  <si>
    <t>收益法</t>
  </si>
  <si>
    <t>利息：取LPR加浮动点数</t>
  </si>
  <si>
    <t>在建（套用方法）</t>
  </si>
  <si>
    <t>按租金收入计税</t>
  </si>
  <si>
    <t>钢混</t>
  </si>
  <si>
    <t>非生产用房</t>
  </si>
  <si>
    <t>未包含在土地购买价格中</t>
  </si>
  <si>
    <t>全部缴纳</t>
  </si>
  <si>
    <t>已包含在土地取得成本中</t>
  </si>
  <si>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</si>
  <si>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</si>
  <si>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</si>
  <si>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</si>
  <si>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</si>
  <si>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</si>
  <si>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</si>
  <si>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</si>
  <si>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</si>
  <si>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</si>
  <si>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</si>
  <si>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</si>
  <si>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</si>
  <si>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</si>
  <si>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土地星级</t>
  </si>
  <si>
    <t>工业用地</t>
  </si>
  <si>
    <t>挂牌</t>
  </si>
  <si>
    <t>0星</t>
  </si>
  <si>
    <t>2星</t>
  </si>
  <si>
    <t>3星</t>
  </si>
  <si>
    <t>与级别开发程度一致</t>
  </si>
  <si>
    <t>地价指数</t>
  </si>
  <si>
    <t>容积率修正</t>
  </si>
  <si>
    <t>成本法</t>
  </si>
  <si>
    <t>假设开发法</t>
  </si>
  <si>
    <t>较差</t>
  </si>
  <si>
    <t>一般</t>
  </si>
  <si>
    <t>较好</t>
  </si>
  <si>
    <t>差</t>
  </si>
  <si>
    <t>居住项目</t>
  </si>
  <si>
    <t>住宅</t>
  </si>
  <si>
    <t>仓储</t>
  </si>
  <si>
    <t>住宅</t>
    <phoneticPr fontId="7" type="noConversion"/>
  </si>
  <si>
    <t>仓储</t>
    <phoneticPr fontId="7" type="noConversion"/>
  </si>
  <si>
    <t>北辛路北侧、龙泉路西侧</t>
  </si>
  <si>
    <t>枣庄市</t>
  </si>
  <si>
    <t>住宅用地</t>
  </si>
  <si>
    <t>城镇住宅-普通商品住房用地</t>
  </si>
  <si>
    <t>大于1并且小于或等于1.2</t>
  </si>
  <si>
    <t>2021-04-22</t>
  </si>
  <si>
    <t>滕商投资有限公司</t>
  </si>
  <si>
    <t>科圣路东侧、林梓路南侧</t>
  </si>
  <si>
    <t>大于1并且小于或等于2.2</t>
  </si>
  <si>
    <t>滕州嘉益房地产有限公司</t>
  </si>
  <si>
    <t>龙泉路东侧、南滨河路南侧、黄连山路西侧、善文街北侧</t>
  </si>
  <si>
    <t>大于1并且小于或等于2.8</t>
  </si>
  <si>
    <t>2021-03-04</t>
  </si>
  <si>
    <t>滕州市汇泉房地产开发有限公司</t>
  </si>
  <si>
    <t>文化路西侧、陶山路北侧</t>
  </si>
  <si>
    <t>2021-02-04</t>
  </si>
  <si>
    <t>滕州赢品置业有限公司</t>
  </si>
  <si>
    <t>陶山路南侧</t>
  </si>
  <si>
    <t>大于1并且小于或等于2.9</t>
  </si>
  <si>
    <t>2021-01-28</t>
  </si>
  <si>
    <t>滕州红星投资置业有限公司</t>
  </si>
  <si>
    <t>国泰路南侧</t>
  </si>
  <si>
    <t>大于1并且小于或等于1.5</t>
  </si>
  <si>
    <t>2020-12-10</t>
  </si>
  <si>
    <t>山东新兴置业有限公司</t>
  </si>
  <si>
    <t>大于1并且小于或等于3.2</t>
  </si>
  <si>
    <t>滕州市东方中石房地产开发有限公司</t>
  </si>
  <si>
    <t>国泰路南侧、木西路东侧</t>
  </si>
  <si>
    <t>振兴路东侧</t>
  </si>
  <si>
    <t>大于1并且小于或等于1.3</t>
  </si>
  <si>
    <t>新华西路南侧,柳屯路东侧</t>
  </si>
  <si>
    <t>王楼街南侧、振兴路西侧</t>
  </si>
  <si>
    <t>大于1并且小于或等于2.5</t>
  </si>
  <si>
    <t>滕州市城关镇城市建设综合开发公司</t>
  </si>
  <si>
    <t>和平路东侧、河阳路北侧</t>
  </si>
  <si>
    <t>滕州市供销房地产综合开发有限公司</t>
  </si>
  <si>
    <t>黄山路西侧</t>
  </si>
  <si>
    <t>2020-11-19</t>
  </si>
  <si>
    <t>滕州市房地产综合开发有限公司</t>
  </si>
  <si>
    <t>平安路南侧、上善大道东侧</t>
  </si>
  <si>
    <t>大于1并且小于或等于1.8</t>
  </si>
  <si>
    <t>滕州滕威置业有限公司</t>
  </si>
  <si>
    <t>荆河东路南侧、连山路东侧、夏庄街北侧</t>
  </si>
  <si>
    <t>大于1并且小于或等于2.7</t>
  </si>
  <si>
    <t>木石镇木西路东侧、区间三路两侧</t>
  </si>
  <si>
    <t>城镇住宅-普通商品住房</t>
  </si>
  <si>
    <t>2020-10-15</t>
  </si>
  <si>
    <t>荆泉路东侧、府前路南侧、荆河东路北侧、吉山路西侧</t>
  </si>
  <si>
    <t>大于或等于1并且小于或等于2.9</t>
  </si>
  <si>
    <t>4星</t>
  </si>
  <si>
    <t>南环城路南、益康大道东侧</t>
  </si>
  <si>
    <t>大于1并且小于或等于2</t>
  </si>
  <si>
    <t>滕州瑞源置业发展有限公司</t>
  </si>
  <si>
    <t>学院路北侧、科圣路西侧</t>
  </si>
  <si>
    <t>大于1并且小于或等于1.6</t>
  </si>
  <si>
    <t>滕州市亿丰房地产综合开发有限责任公司</t>
  </si>
  <si>
    <t>新华西路北侧、振兴路西侧</t>
  </si>
  <si>
    <t>大于1并且小于或等于3.1</t>
  </si>
  <si>
    <t>城镇住宅用地</t>
  </si>
  <si>
    <t>2020-07-10</t>
  </si>
  <si>
    <t>宫河路西侧、朝阳街北侧</t>
  </si>
  <si>
    <t>2020-05-14</t>
  </si>
  <si>
    <t>滕州市联迪置业有限公司</t>
  </si>
  <si>
    <t>郭河南路南侧、宫河路东侧、首善路北侧、万年庄巷西侧</t>
  </si>
  <si>
    <t>上宫街北侧、宫河前街东侧</t>
  </si>
  <si>
    <t>大于1并且小于或等于2.3</t>
  </si>
  <si>
    <t>飞龙大道西侧、朝阳街北侧</t>
  </si>
  <si>
    <t>和平路东侧、程庄街北侧</t>
  </si>
  <si>
    <t>大于1并且小于或等于2.14</t>
  </si>
  <si>
    <t>2020-05-13</t>
  </si>
  <si>
    <t>山东天行健置业有限公司</t>
  </si>
  <si>
    <t>荆河路南侧、振兴路东侧</t>
  </si>
  <si>
    <t>大于1并且小于或等于3.16</t>
  </si>
  <si>
    <t>学院路南侧、鲁班大道东侧</t>
  </si>
  <si>
    <t>滕州市城镇土地投资开发有限公司</t>
  </si>
  <si>
    <t>振兴南路东侧、荆河西路北侧</t>
  </si>
  <si>
    <t>大于1并且小于或等于3.34</t>
  </si>
  <si>
    <t>振兴南路东侧、程庄街北侧</t>
  </si>
  <si>
    <t>振兴路东侧、荆河西路北侧</t>
  </si>
  <si>
    <t>中低价位、中小套型普通商品住房用地</t>
  </si>
  <si>
    <t>通盛北街北侧、后荆沟街东侧</t>
  </si>
  <si>
    <t>1.0＜地上容积率≤1.6;地下容积率≤1.0</t>
  </si>
  <si>
    <t>2020-03-05</t>
  </si>
  <si>
    <t>综合用地(含住宅)</t>
  </si>
  <si>
    <t>居住、商业</t>
  </si>
  <si>
    <t>1.0≤地上容积率≤2.8,地下容积率≤1.0</t>
  </si>
  <si>
    <t>2019-11-29</t>
  </si>
  <si>
    <t>解放路南侧、振兴路西侧</t>
  </si>
  <si>
    <t>1.0≤地上容积率≤2.5,地下容积率≤1.5</t>
  </si>
  <si>
    <t>1.0≤地上容积率≤2.5;地下容积率≤1.5</t>
  </si>
  <si>
    <t>新华西街南侧、振兴路西侧、大地路北侧、柳屯路东侧</t>
  </si>
  <si>
    <t>1.0≤地上容积率≤3.2,地下容积率≤1.5</t>
  </si>
  <si>
    <t>河阳路北侧、和平路西侧</t>
  </si>
  <si>
    <t>平行路东侧、永昌路南侧</t>
  </si>
  <si>
    <t>1.0≤地上容积率≤3.8,地下容积率≤1.5</t>
  </si>
  <si>
    <t>山东润恒伟业房地产开发有限公司</t>
  </si>
  <si>
    <t>大同路西侧、京沪铁路东侧</t>
  </si>
  <si>
    <t>1.0≤容积率≤3.6,地下容积率≤2.0</t>
  </si>
  <si>
    <t>楼幢</t>
    <phoneticPr fontId="140" type="noConversion"/>
  </si>
  <si>
    <t>总建筑面积</t>
    <phoneticPr fontId="140" type="noConversion"/>
  </si>
  <si>
    <t>住宅</t>
    <phoneticPr fontId="140" type="noConversion"/>
  </si>
  <si>
    <t>仓储</t>
    <phoneticPr fontId="140" type="noConversion"/>
  </si>
  <si>
    <t>正常</t>
  </si>
  <si>
    <t>施工至18层</t>
    <phoneticPr fontId="140" type="noConversion"/>
  </si>
  <si>
    <t>已封顶</t>
    <phoneticPr fontId="140" type="noConversion"/>
  </si>
  <si>
    <t>施工至23层</t>
    <phoneticPr fontId="140" type="noConversion"/>
  </si>
  <si>
    <t>施工至20层</t>
    <phoneticPr fontId="140" type="noConversion"/>
  </si>
  <si>
    <r>
      <t>总楼层均2</t>
    </r>
    <r>
      <rPr>
        <sz val="11"/>
        <color theme="1"/>
        <rFont val="宋体"/>
        <family val="3"/>
        <charset val="134"/>
        <scheme val="minor"/>
      </rPr>
      <t>8层</t>
    </r>
    <phoneticPr fontId="140" type="noConversion"/>
  </si>
  <si>
    <t>工程进度</t>
    <phoneticPr fontId="140" type="noConversion"/>
  </si>
  <si>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11</t>
    </r>
    <r>
      <rPr>
        <sz val="10.5"/>
        <color rgb="FF000000"/>
        <rFont val="Courier New"/>
        <family val="3"/>
      </rPr>
      <t xml:space="preserve"> </t>
    </r>
    <r>
      <rPr>
        <sz val="10.5"/>
        <color rgb="FF000000"/>
        <rFont val="宋体"/>
        <family val="3"/>
        <charset val="134"/>
      </rPr>
      <t>号楼</t>
    </r>
  </si>
  <si>
    <t>序号</t>
  </si>
  <si>
    <t>栋号</t>
  </si>
  <si>
    <r>
      <t>所在层</t>
    </r>
    <r>
      <rPr>
        <b/>
        <sz val="9"/>
        <color rgb="FF000000"/>
        <rFont val="Courier New"/>
        <family val="3"/>
      </rPr>
      <t>/</t>
    </r>
  </si>
  <si>
    <t>总层数</t>
  </si>
  <si>
    <t>房号</t>
  </si>
  <si>
    <t>房屋结构</t>
  </si>
  <si>
    <t>建筑面积</t>
  </si>
  <si>
    <t>（㎡）</t>
  </si>
  <si>
    <r>
      <t>评估均价 （元</t>
    </r>
    <r>
      <rPr>
        <b/>
        <sz val="9"/>
        <color rgb="FF000000"/>
        <rFont val="Courier New"/>
        <family val="3"/>
      </rPr>
      <t>/</t>
    </r>
    <r>
      <rPr>
        <sz val="9"/>
        <color rgb="FF000000"/>
        <rFont val="宋体"/>
        <family val="3"/>
        <charset val="134"/>
      </rPr>
      <t>㎡）</t>
    </r>
  </si>
  <si>
    <t>评估总价 （万元）</t>
  </si>
  <si>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</si>
  <si>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t>地下储藏室</t>
  </si>
  <si>
    <t>钢筋混凝土</t>
  </si>
  <si>
    <r>
      <t>15</t>
    </r>
    <r>
      <rPr>
        <sz val="9"/>
        <color rgb="FF000000"/>
        <rFont val="Courier New"/>
        <family val="3"/>
      </rPr>
      <t xml:space="preserve"> </t>
    </r>
    <r>
      <rPr>
        <b/>
        <sz val="9"/>
        <color rgb="FF000000"/>
        <rFont val="Courier New"/>
        <family val="3"/>
      </rPr>
      <t>98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</si>
  <si>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</si>
  <si>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</si>
  <si>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23</t>
    </r>
    <r>
      <rPr>
        <sz val="9"/>
        <color rgb="FF000000"/>
        <rFont val="Courier New"/>
        <family val="3"/>
      </rPr>
      <t xml:space="preserve"> </t>
    </r>
    <r>
      <rPr>
        <b/>
        <sz val="9"/>
        <color rgb="FF000000"/>
        <rFont val="Courier New"/>
        <family val="3"/>
      </rPr>
      <t>50</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</si>
  <si>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</si>
  <si>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94</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</si>
  <si>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</si>
  <si>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12</t>
    </r>
    <r>
      <rPr>
        <sz val="9"/>
        <color rgb="FF000000"/>
        <rFont val="Courier New"/>
        <family val="3"/>
      </rPr>
      <t xml:space="preserve"> </t>
    </r>
    <r>
      <rPr>
        <b/>
        <sz val="9"/>
        <color rgb="FF000000"/>
        <rFont val="Courier New"/>
        <family val="3"/>
      </rPr>
      <t>51</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</si>
  <si>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</si>
  <si>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13</t>
    </r>
    <r>
      <rPr>
        <sz val="9"/>
        <color rgb="FF000000"/>
        <rFont val="Courier New"/>
        <family val="3"/>
      </rPr>
      <t xml:space="preserve"> </t>
    </r>
    <r>
      <rPr>
        <b/>
        <sz val="9"/>
        <color rgb="FF000000"/>
        <rFont val="Courier New"/>
        <family val="3"/>
      </rPr>
      <t>88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</si>
  <si>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07</t>
    </r>
    <r>
      <rPr>
        <sz val="9"/>
        <color rgb="FF000000"/>
        <rFont val="Courier New"/>
        <family val="3"/>
      </rPr>
      <t xml:space="preserve"> </t>
    </r>
    <r>
      <rPr>
        <sz val="9"/>
        <color rgb="FF000000"/>
        <rFont val="宋体"/>
        <family val="3"/>
        <charset val="134"/>
      </rPr>
      <t>号</t>
    </r>
  </si>
  <si>
    <r>
      <t>13</t>
    </r>
    <r>
      <rPr>
        <sz val="9"/>
        <color rgb="FF000000"/>
        <rFont val="Courier New"/>
        <family val="3"/>
      </rPr>
      <t xml:space="preserve"> </t>
    </r>
    <r>
      <rPr>
        <b/>
        <sz val="9"/>
        <color rgb="FF000000"/>
        <rFont val="Courier New"/>
        <family val="3"/>
      </rPr>
      <t>02</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</si>
  <si>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</si>
  <si>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层</t>
    </r>
    <r>
      <rPr>
        <b/>
        <sz val="9"/>
        <color rgb="FF000000"/>
        <rFont val="Courier New"/>
        <family val="3"/>
      </rPr>
      <t>09</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</si>
  <si>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21</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</si>
  <si>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</si>
  <si>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11</t>
    </r>
    <r>
      <rPr>
        <sz val="9"/>
        <color rgb="FF000000"/>
        <rFont val="Courier New"/>
        <family val="3"/>
      </rPr>
      <t xml:space="preserve"> </t>
    </r>
    <r>
      <rPr>
        <sz val="9"/>
        <color rgb="FF000000"/>
        <rFont val="宋体"/>
        <family val="3"/>
        <charset val="134"/>
      </rPr>
      <t>号</t>
    </r>
  </si>
  <si>
    <r>
      <t>30</t>
    </r>
    <r>
      <rPr>
        <sz val="9"/>
        <color rgb="FF000000"/>
        <rFont val="Courier New"/>
        <family val="3"/>
      </rPr>
      <t xml:space="preserve"> </t>
    </r>
    <r>
      <rPr>
        <b/>
        <sz val="9"/>
        <color rgb="FF000000"/>
        <rFont val="Courier New"/>
        <family val="3"/>
      </rPr>
      <t>08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</si>
  <si>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</si>
  <si>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13</t>
    </r>
    <r>
      <rPr>
        <sz val="9"/>
        <color rgb="FF000000"/>
        <rFont val="Courier New"/>
        <family val="3"/>
      </rPr>
      <t xml:space="preserve"> </t>
    </r>
    <r>
      <rPr>
        <sz val="9"/>
        <color rgb="FF000000"/>
        <rFont val="宋体"/>
        <family val="3"/>
        <charset val="134"/>
      </rPr>
      <t>号</t>
    </r>
  </si>
  <si>
    <r>
      <t>19</t>
    </r>
    <r>
      <rPr>
        <sz val="9"/>
        <color rgb="FF000000"/>
        <rFont val="Courier New"/>
        <family val="3"/>
      </rPr>
      <t xml:space="preserve"> </t>
    </r>
    <r>
      <rPr>
        <b/>
        <sz val="9"/>
        <color rgb="FF000000"/>
        <rFont val="Courier New"/>
        <family val="3"/>
      </rPr>
      <t>46</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</si>
  <si>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14</t>
    </r>
    <r>
      <rPr>
        <sz val="9"/>
        <color rgb="FF000000"/>
        <rFont val="Courier New"/>
        <family val="3"/>
      </rPr>
      <t xml:space="preserve"> </t>
    </r>
    <r>
      <rPr>
        <sz val="9"/>
        <color rgb="FF000000"/>
        <rFont val="宋体"/>
        <family val="3"/>
        <charset val="134"/>
      </rPr>
      <t>号</t>
    </r>
  </si>
  <si>
    <r>
      <t>10</t>
    </r>
    <r>
      <rPr>
        <sz val="9"/>
        <color rgb="FF000000"/>
        <rFont val="Courier New"/>
        <family val="3"/>
      </rPr>
      <t xml:space="preserve"> </t>
    </r>
    <r>
      <rPr>
        <b/>
        <sz val="9"/>
        <color rgb="FF000000"/>
        <rFont val="Courier New"/>
        <family val="3"/>
      </rPr>
      <t>06</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</si>
  <si>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15</t>
    </r>
    <r>
      <rPr>
        <sz val="9"/>
        <color rgb="FF000000"/>
        <rFont val="Courier New"/>
        <family val="3"/>
      </rPr>
      <t xml:space="preserve"> </t>
    </r>
    <r>
      <rPr>
        <sz val="9"/>
        <color rgb="FF000000"/>
        <rFont val="宋体"/>
        <family val="3"/>
        <charset val="134"/>
      </rPr>
      <t>号</t>
    </r>
  </si>
  <si>
    <r>
      <t>10</t>
    </r>
    <r>
      <rPr>
        <sz val="9"/>
        <color rgb="FF000000"/>
        <rFont val="Courier New"/>
        <family val="3"/>
      </rPr>
      <t xml:space="preserve"> </t>
    </r>
    <r>
      <rPr>
        <b/>
        <sz val="9"/>
        <color rgb="FF000000"/>
        <rFont val="Courier New"/>
        <family val="3"/>
      </rPr>
      <t>28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</si>
  <si>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16</t>
    </r>
    <r>
      <rPr>
        <sz val="9"/>
        <color rgb="FF000000"/>
        <rFont val="Courier New"/>
        <family val="3"/>
      </rPr>
      <t xml:space="preserve"> </t>
    </r>
    <r>
      <rPr>
        <sz val="9"/>
        <color rgb="FF000000"/>
        <rFont val="宋体"/>
        <family val="3"/>
        <charset val="134"/>
      </rPr>
      <t>号</t>
    </r>
  </si>
  <si>
    <r>
      <t>15</t>
    </r>
    <r>
      <rPr>
        <sz val="9"/>
        <color rgb="FF000000"/>
        <rFont val="Courier New"/>
        <family val="3"/>
      </rPr>
      <t xml:space="preserve"> </t>
    </r>
    <r>
      <rPr>
        <b/>
        <sz val="9"/>
        <color rgb="FF000000"/>
        <rFont val="Courier New"/>
        <family val="3"/>
      </rPr>
      <t>84</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</si>
  <si>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17</t>
    </r>
    <r>
      <rPr>
        <sz val="9"/>
        <color rgb="FF000000"/>
        <rFont val="Courier New"/>
        <family val="3"/>
      </rPr>
      <t xml:space="preserve"> </t>
    </r>
    <r>
      <rPr>
        <sz val="9"/>
        <color rgb="FF000000"/>
        <rFont val="宋体"/>
        <family val="3"/>
        <charset val="134"/>
      </rPr>
      <t>号</t>
    </r>
  </si>
  <si>
    <r>
      <t>13</t>
    </r>
    <r>
      <rPr>
        <sz val="9"/>
        <color rgb="FF000000"/>
        <rFont val="Courier New"/>
        <family val="3"/>
      </rPr>
      <t xml:space="preserve"> </t>
    </r>
    <r>
      <rPr>
        <b/>
        <sz val="9"/>
        <color rgb="FF000000"/>
        <rFont val="Courier New"/>
        <family val="3"/>
      </rPr>
      <t>77</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</si>
  <si>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18</t>
    </r>
    <r>
      <rPr>
        <sz val="9"/>
        <color rgb="FF000000"/>
        <rFont val="Courier New"/>
        <family val="3"/>
      </rPr>
      <t xml:space="preserve"> </t>
    </r>
    <r>
      <rPr>
        <sz val="9"/>
        <color rgb="FF000000"/>
        <rFont val="宋体"/>
        <family val="3"/>
        <charset val="134"/>
      </rPr>
      <t>号</t>
    </r>
  </si>
  <si>
    <r>
      <t>22</t>
    </r>
    <r>
      <rPr>
        <sz val="9"/>
        <color rgb="FF000000"/>
        <rFont val="Courier New"/>
        <family val="3"/>
      </rPr>
      <t xml:space="preserve"> </t>
    </r>
    <r>
      <rPr>
        <b/>
        <sz val="9"/>
        <color rgb="FF000000"/>
        <rFont val="Courier New"/>
        <family val="3"/>
      </rPr>
      <t>84</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</si>
  <si>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19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</si>
  <si>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20</t>
    </r>
    <r>
      <rPr>
        <sz val="9"/>
        <color rgb="FF000000"/>
        <rFont val="Courier New"/>
        <family val="3"/>
      </rPr>
      <t xml:space="preserve"> </t>
    </r>
    <r>
      <rPr>
        <sz val="9"/>
        <color rgb="FF000000"/>
        <rFont val="宋体"/>
        <family val="3"/>
        <charset val="134"/>
      </rPr>
      <t>号</t>
    </r>
  </si>
  <si>
    <r>
      <t>12</t>
    </r>
    <r>
      <rPr>
        <sz val="9"/>
        <color rgb="FF000000"/>
        <rFont val="Courier New"/>
        <family val="3"/>
      </rPr>
      <t xml:space="preserve"> </t>
    </r>
    <r>
      <rPr>
        <b/>
        <sz val="9"/>
        <color rgb="FF000000"/>
        <rFont val="Courier New"/>
        <family val="3"/>
      </rPr>
      <t>97</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</si>
  <si>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21</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</si>
  <si>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36</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</si>
  <si>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</si>
  <si>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</si>
  <si>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24</t>
    </r>
    <r>
      <rPr>
        <sz val="9"/>
        <color rgb="FF000000"/>
        <rFont val="Courier New"/>
        <family val="3"/>
      </rPr>
      <t xml:space="preserve"> </t>
    </r>
    <r>
      <rPr>
        <sz val="9"/>
        <color rgb="FF000000"/>
        <rFont val="宋体"/>
        <family val="3"/>
        <charset val="134"/>
      </rPr>
      <t>号</t>
    </r>
  </si>
  <si>
    <r>
      <t>13</t>
    </r>
    <r>
      <rPr>
        <sz val="9"/>
        <color rgb="FF000000"/>
        <rFont val="Courier New"/>
        <family val="3"/>
      </rPr>
      <t xml:space="preserve"> </t>
    </r>
    <r>
      <rPr>
        <b/>
        <sz val="9"/>
        <color rgb="FF000000"/>
        <rFont val="Courier New"/>
        <family val="3"/>
      </rPr>
      <t>28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</si>
  <si>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</si>
  <si>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</si>
  <si>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27</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</si>
  <si>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12</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</si>
  <si>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</si>
  <si>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29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</si>
  <si>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30</t>
    </r>
    <r>
      <rPr>
        <sz val="9"/>
        <color rgb="FF000000"/>
        <rFont val="Courier New"/>
        <family val="3"/>
      </rPr>
      <t xml:space="preserve"> </t>
    </r>
    <r>
      <rPr>
        <sz val="9"/>
        <color rgb="FF000000"/>
        <rFont val="宋体"/>
        <family val="3"/>
        <charset val="134"/>
      </rPr>
      <t>号</t>
    </r>
  </si>
  <si>
    <r>
      <t>10</t>
    </r>
    <r>
      <rPr>
        <sz val="9"/>
        <color rgb="FF000000"/>
        <rFont val="Courier New"/>
        <family val="3"/>
      </rPr>
      <t xml:space="preserve"> </t>
    </r>
    <r>
      <rPr>
        <b/>
        <sz val="9"/>
        <color rgb="FF000000"/>
        <rFont val="Courier New"/>
        <family val="3"/>
      </rPr>
      <t>48</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</si>
  <si>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</si>
  <si>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</si>
  <si>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33</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</si>
  <si>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01</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</si>
  <si>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</si>
  <si>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</si>
  <si>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</si>
  <si>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</si>
  <si>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</si>
  <si>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39</t>
    </r>
    <r>
      <rPr>
        <sz val="9"/>
        <color rgb="FF000000"/>
        <rFont val="Courier New"/>
        <family val="3"/>
      </rPr>
      <t xml:space="preserve"> </t>
    </r>
    <r>
      <rPr>
        <sz val="9"/>
        <color rgb="FF000000"/>
        <rFont val="宋体"/>
        <family val="3"/>
        <charset val="134"/>
      </rPr>
      <t>号</t>
    </r>
  </si>
  <si>
    <r>
      <t>16</t>
    </r>
    <r>
      <rPr>
        <sz val="9"/>
        <color rgb="FF000000"/>
        <rFont val="Courier New"/>
        <family val="3"/>
      </rPr>
      <t xml:space="preserve"> </t>
    </r>
    <r>
      <rPr>
        <b/>
        <sz val="9"/>
        <color rgb="FF000000"/>
        <rFont val="Courier New"/>
        <family val="3"/>
      </rPr>
      <t>22</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</si>
  <si>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</si>
  <si>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</si>
  <si>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</si>
  <si>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</si>
  <si>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</si>
  <si>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</si>
  <si>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</si>
  <si>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</si>
  <si>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</si>
  <si>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49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</si>
  <si>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</si>
  <si>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</si>
  <si>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</si>
  <si>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</si>
  <si>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</si>
  <si>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</si>
  <si>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56</t>
    </r>
    <r>
      <rPr>
        <sz val="9"/>
        <color rgb="FF000000"/>
        <rFont val="Courier New"/>
        <family val="3"/>
      </rPr>
      <t xml:space="preserve"> </t>
    </r>
    <r>
      <rPr>
        <sz val="9"/>
        <color rgb="FF000000"/>
        <rFont val="宋体"/>
        <family val="3"/>
        <charset val="134"/>
      </rPr>
      <t>号</t>
    </r>
  </si>
  <si>
    <r>
      <t>16</t>
    </r>
    <r>
      <rPr>
        <sz val="9"/>
        <color rgb="FF000000"/>
        <rFont val="Courier New"/>
        <family val="3"/>
      </rPr>
      <t xml:space="preserve"> </t>
    </r>
    <r>
      <rPr>
        <b/>
        <sz val="9"/>
        <color rgb="FF000000"/>
        <rFont val="Courier New"/>
        <family val="3"/>
      </rPr>
      <t>39</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</si>
  <si>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</si>
  <si>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</si>
  <si>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</si>
  <si>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</si>
  <si>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</si>
  <si>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</si>
  <si>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</si>
  <si>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</si>
  <si>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</si>
  <si>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层</t>
    </r>
    <r>
      <rPr>
        <b/>
        <sz val="9"/>
        <color rgb="FF000000"/>
        <rFont val="Courier New"/>
        <family val="3"/>
      </rPr>
      <t>09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</si>
  <si>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10</t>
    </r>
    <r>
      <rPr>
        <sz val="9"/>
        <color rgb="FF000000"/>
        <rFont val="Courier New"/>
        <family val="3"/>
      </rPr>
      <t xml:space="preserve"> </t>
    </r>
    <r>
      <rPr>
        <sz val="9"/>
        <color rgb="FF000000"/>
        <rFont val="宋体"/>
        <family val="3"/>
        <charset val="134"/>
      </rPr>
      <t>号</t>
    </r>
  </si>
  <si>
    <r>
      <t>21</t>
    </r>
    <r>
      <rPr>
        <sz val="9"/>
        <color rgb="FF000000"/>
        <rFont val="Courier New"/>
        <family val="3"/>
      </rPr>
      <t xml:space="preserve"> </t>
    </r>
    <r>
      <rPr>
        <b/>
        <sz val="9"/>
        <color rgb="FF000000"/>
        <rFont val="Courier New"/>
        <family val="3"/>
      </rPr>
      <t>49</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</si>
  <si>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</si>
  <si>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</si>
  <si>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</si>
  <si>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</si>
  <si>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</si>
  <si>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</si>
  <si>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</si>
  <si>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18</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</si>
  <si>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92</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</si>
  <si>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19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</si>
  <si>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</si>
  <si>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</si>
  <si>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22</t>
    </r>
    <r>
      <rPr>
        <sz val="9"/>
        <color rgb="FF000000"/>
        <rFont val="Courier New"/>
        <family val="3"/>
      </rPr>
      <t xml:space="preserve"> </t>
    </r>
    <r>
      <rPr>
        <sz val="9"/>
        <color rgb="FF000000"/>
        <rFont val="宋体"/>
        <family val="3"/>
        <charset val="134"/>
      </rPr>
      <t>号</t>
    </r>
  </si>
  <si>
    <r>
      <t>11</t>
    </r>
    <r>
      <rPr>
        <sz val="9"/>
        <color rgb="FF000000"/>
        <rFont val="Courier New"/>
        <family val="3"/>
      </rPr>
      <t xml:space="preserve"> </t>
    </r>
    <r>
      <rPr>
        <b/>
        <sz val="9"/>
        <color rgb="FF000000"/>
        <rFont val="Courier New"/>
        <family val="3"/>
      </rPr>
      <t>32</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</si>
  <si>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</si>
  <si>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</si>
  <si>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</si>
  <si>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</si>
  <si>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</si>
  <si>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</si>
  <si>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29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</si>
  <si>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</si>
  <si>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</si>
  <si>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</si>
  <si>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</si>
  <si>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34</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</si>
  <si>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</si>
  <si>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36</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</si>
  <si>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</si>
  <si>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38</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</si>
  <si>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39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</si>
  <si>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</si>
  <si>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41</t>
    </r>
    <r>
      <rPr>
        <sz val="9"/>
        <color rgb="FF000000"/>
        <rFont val="Courier New"/>
        <family val="3"/>
      </rPr>
      <t xml:space="preserve"> </t>
    </r>
    <r>
      <rPr>
        <sz val="9"/>
        <color rgb="FF000000"/>
        <rFont val="宋体"/>
        <family val="3"/>
        <charset val="134"/>
      </rPr>
      <t>号</t>
    </r>
  </si>
  <si>
    <r>
      <t>13</t>
    </r>
    <r>
      <rPr>
        <sz val="9"/>
        <color rgb="FF000000"/>
        <rFont val="Courier New"/>
        <family val="3"/>
      </rPr>
      <t xml:space="preserve"> </t>
    </r>
    <r>
      <rPr>
        <b/>
        <sz val="9"/>
        <color rgb="FF000000"/>
        <rFont val="Courier New"/>
        <family val="3"/>
      </rPr>
      <t>90</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</si>
  <si>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</si>
  <si>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43</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</si>
  <si>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44</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</si>
  <si>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</si>
  <si>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150.</t>
    </r>
    <r>
      <rPr>
        <sz val="9"/>
        <color rgb="FF000000"/>
        <rFont val="Courier New"/>
        <family val="3"/>
      </rPr>
      <t xml:space="preserve"> </t>
    </r>
    <r>
      <rPr>
        <b/>
        <sz val="9"/>
        <color rgb="FF000000"/>
        <rFont val="Courier New"/>
        <family val="3"/>
      </rPr>
      <t>24</t>
    </r>
  </si>
  <si>
    <r>
      <t>85.</t>
    </r>
    <r>
      <rPr>
        <sz val="9"/>
        <color rgb="FF000000"/>
        <rFont val="Courier New"/>
        <family val="3"/>
      </rPr>
      <t xml:space="preserve"> </t>
    </r>
    <r>
      <rPr>
        <b/>
        <sz val="9"/>
        <color rgb="FF000000"/>
        <rFont val="Courier New"/>
        <family val="3"/>
      </rPr>
      <t>43</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</si>
  <si>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</si>
  <si>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117</t>
    </r>
    <r>
      <rPr>
        <sz val="9"/>
        <color rgb="FF000000"/>
        <rFont val="Courier New"/>
        <family val="3"/>
      </rPr>
      <t xml:space="preserve"> </t>
    </r>
    <r>
      <rPr>
        <b/>
        <sz val="9"/>
        <color rgb="FF000000"/>
        <rFont val="Courier New"/>
        <family val="3"/>
      </rPr>
      <t>76</t>
    </r>
  </si>
  <si>
    <r>
      <t>66</t>
    </r>
    <r>
      <rPr>
        <sz val="9"/>
        <color rgb="FF000000"/>
        <rFont val="Courier New"/>
        <family val="3"/>
      </rPr>
      <t xml:space="preserve"> </t>
    </r>
    <r>
      <rPr>
        <b/>
        <sz val="9"/>
        <color rgb="FF000000"/>
        <rFont val="Courier New"/>
        <family val="3"/>
      </rPr>
      <t>96</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</si>
  <si>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</si>
  <si>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133.</t>
    </r>
    <r>
      <rPr>
        <sz val="9"/>
        <color rgb="FF000000"/>
        <rFont val="Courier New"/>
        <family val="3"/>
      </rPr>
      <t xml:space="preserve"> </t>
    </r>
    <r>
      <rPr>
        <b/>
        <sz val="9"/>
        <color rgb="FF000000"/>
        <rFont val="Courier New"/>
        <family val="3"/>
      </rPr>
      <t>21</t>
    </r>
  </si>
  <si>
    <r>
      <t>75.</t>
    </r>
    <r>
      <rPr>
        <sz val="9"/>
        <color rgb="FF000000"/>
        <rFont val="Courier New"/>
        <family val="3"/>
      </rPr>
      <t xml:space="preserve"> </t>
    </r>
    <r>
      <rPr>
        <b/>
        <sz val="9"/>
        <color rgb="FF000000"/>
        <rFont val="Courier New"/>
        <family val="3"/>
      </rPr>
      <t>74</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</si>
  <si>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</si>
  <si>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</si>
  <si>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117.</t>
    </r>
    <r>
      <rPr>
        <sz val="9"/>
        <color rgb="FF000000"/>
        <rFont val="Courier New"/>
        <family val="3"/>
      </rPr>
      <t xml:space="preserve"> </t>
    </r>
    <r>
      <rPr>
        <b/>
        <sz val="9"/>
        <color rgb="FF000000"/>
        <rFont val="Courier New"/>
        <family val="3"/>
      </rPr>
      <t>76</t>
    </r>
  </si>
  <si>
    <r>
      <t>66.</t>
    </r>
    <r>
      <rPr>
        <sz val="9"/>
        <color rgb="FF000000"/>
        <rFont val="Courier New"/>
        <family val="3"/>
      </rPr>
      <t xml:space="preserve"> </t>
    </r>
    <r>
      <rPr>
        <b/>
        <sz val="9"/>
        <color rgb="FF000000"/>
        <rFont val="Courier New"/>
        <family val="3"/>
      </rPr>
      <t>96</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</si>
  <si>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</si>
  <si>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150</t>
    </r>
    <r>
      <rPr>
        <sz val="9"/>
        <color rgb="FF000000"/>
        <rFont val="Courier New"/>
        <family val="3"/>
      </rPr>
      <t xml:space="preserve"> </t>
    </r>
    <r>
      <rPr>
        <b/>
        <sz val="9"/>
        <color rgb="FF000000"/>
        <rFont val="Courier New"/>
        <family val="3"/>
      </rPr>
      <t>24</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</si>
  <si>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</si>
  <si>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5.</t>
    </r>
    <r>
      <rPr>
        <sz val="9"/>
        <color rgb="FF000000"/>
        <rFont val="Courier New"/>
        <family val="3"/>
      </rPr>
      <t xml:space="preserve"> </t>
    </r>
    <r>
      <rPr>
        <b/>
        <sz val="9"/>
        <color rgb="FF000000"/>
        <rFont val="Courier New"/>
        <family val="3"/>
      </rPr>
      <t>49</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</si>
  <si>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</si>
  <si>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118</t>
    </r>
    <r>
      <rPr>
        <sz val="9"/>
        <color rgb="FF000000"/>
        <rFont val="Courier New"/>
        <family val="3"/>
      </rPr>
      <t xml:space="preserve"> </t>
    </r>
    <r>
      <rPr>
        <b/>
        <sz val="9"/>
        <color rgb="FF000000"/>
        <rFont val="Courier New"/>
        <family val="3"/>
      </rPr>
      <t>23</t>
    </r>
  </si>
  <si>
    <r>
      <t>67.</t>
    </r>
    <r>
      <rPr>
        <sz val="9"/>
        <color rgb="FF000000"/>
        <rFont val="Courier New"/>
        <family val="3"/>
      </rPr>
      <t xml:space="preserve"> </t>
    </r>
    <r>
      <rPr>
        <b/>
        <sz val="9"/>
        <color rgb="FF000000"/>
        <rFont val="Courier New"/>
        <family val="3"/>
      </rPr>
      <t>23</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</si>
  <si>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t>
    </r>
    <r>
      <rPr>
        <sz val="8.5"/>
        <color rgb="FF000000"/>
        <rFont val="Courier New"/>
        <family val="3"/>
      </rPr>
      <t xml:space="preserve"> </t>
    </r>
    <r>
      <rPr>
        <sz val="8.5"/>
        <color rgb="FF000000"/>
        <rFont val="宋体"/>
        <family val="3"/>
        <charset val="134"/>
      </rPr>
      <t xml:space="preserve">层 </t>
    </r>
    <r>
      <rPr>
        <b/>
        <sz val="8.5"/>
        <color rgb="FF000000"/>
        <rFont val="Courier New"/>
        <family val="3"/>
      </rPr>
      <t>03</t>
    </r>
    <r>
      <rPr>
        <sz val="8.5"/>
        <color rgb="FF000000"/>
        <rFont val="Courier New"/>
        <family val="3"/>
      </rPr>
      <t xml:space="preserve"> </t>
    </r>
    <r>
      <rPr>
        <sz val="8.5"/>
        <color rgb="FF000000"/>
        <rFont val="宋体"/>
        <family val="3"/>
        <charset val="134"/>
      </rPr>
      <t>号</t>
    </r>
  </si>
  <si>
    <r>
      <t>133</t>
    </r>
    <r>
      <rPr>
        <sz val="9"/>
        <color rgb="FF000000"/>
        <rFont val="Courier New"/>
        <family val="3"/>
      </rPr>
      <t xml:space="preserve"> </t>
    </r>
    <r>
      <rPr>
        <b/>
        <sz val="9"/>
        <color rgb="FF000000"/>
        <rFont val="Courier New"/>
        <family val="3"/>
      </rPr>
      <t>21</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</si>
  <si>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t>
    </r>
    <r>
      <rPr>
        <sz val="8.5"/>
        <color rgb="FF000000"/>
        <rFont val="Courier New"/>
        <family val="3"/>
      </rPr>
      <t xml:space="preserve"> </t>
    </r>
    <r>
      <rPr>
        <sz val="8.5"/>
        <color rgb="FF000000"/>
        <rFont val="宋体"/>
        <family val="3"/>
        <charset val="134"/>
      </rPr>
      <t xml:space="preserve">层 </t>
    </r>
    <r>
      <rPr>
        <b/>
        <sz val="8.5"/>
        <color rgb="FF000000"/>
        <rFont val="Courier New"/>
        <family val="3"/>
      </rPr>
      <t>04</t>
    </r>
    <r>
      <rPr>
        <sz val="8.5"/>
        <color rgb="FF000000"/>
        <rFont val="Courier New"/>
        <family val="3"/>
      </rPr>
      <t xml:space="preserve"> </t>
    </r>
    <r>
      <rPr>
        <sz val="8.5"/>
        <color rgb="FF000000"/>
        <rFont val="宋体"/>
        <family val="3"/>
        <charset val="134"/>
      </rPr>
      <t>号</t>
    </r>
  </si>
  <si>
    <r>
      <t>75</t>
    </r>
    <r>
      <rPr>
        <sz val="9"/>
        <color rgb="FF000000"/>
        <rFont val="Courier New"/>
        <family val="3"/>
      </rPr>
      <t xml:space="preserve"> </t>
    </r>
    <r>
      <rPr>
        <b/>
        <sz val="9"/>
        <color rgb="FF000000"/>
        <rFont val="Courier New"/>
        <family val="3"/>
      </rPr>
      <t>74</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</si>
  <si>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</si>
  <si>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</si>
  <si>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150</t>
    </r>
    <r>
      <rPr>
        <sz val="9"/>
        <color rgb="FF000000"/>
        <rFont val="Courier New"/>
        <family val="3"/>
      </rPr>
      <t xml:space="preserve"> </t>
    </r>
    <r>
      <rPr>
        <b/>
        <sz val="9"/>
        <color rgb="FF000000"/>
        <rFont val="Courier New"/>
        <family val="3"/>
      </rPr>
      <t>35</t>
    </r>
  </si>
  <si>
    <r>
      <t>85.</t>
    </r>
    <r>
      <rPr>
        <sz val="9"/>
        <color rgb="FF000000"/>
        <rFont val="Courier New"/>
        <family val="3"/>
      </rPr>
      <t xml:space="preserve"> </t>
    </r>
    <r>
      <rPr>
        <b/>
        <sz val="9"/>
        <color rgb="FF000000"/>
        <rFont val="Courier New"/>
        <family val="3"/>
      </rPr>
      <t>49</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</si>
  <si>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</si>
  <si>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85</t>
    </r>
    <r>
      <rPr>
        <sz val="9"/>
        <color rgb="FF000000"/>
        <rFont val="Courier New"/>
        <family val="3"/>
      </rPr>
      <t xml:space="preserve"> </t>
    </r>
    <r>
      <rPr>
        <b/>
        <sz val="9"/>
        <color rgb="FF000000"/>
        <rFont val="Courier New"/>
        <family val="3"/>
      </rPr>
      <t>49</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</si>
  <si>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</si>
  <si>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</si>
  <si>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</si>
  <si>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</si>
  <si>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7.</t>
    </r>
    <r>
      <rPr>
        <sz val="9"/>
        <color rgb="FF000000"/>
        <rFont val="Courier New"/>
        <family val="3"/>
      </rPr>
      <t xml:space="preserve"> </t>
    </r>
    <r>
      <rPr>
        <b/>
        <sz val="9"/>
        <color rgb="FF000000"/>
        <rFont val="Courier New"/>
        <family val="3"/>
      </rPr>
      <t>23</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</si>
  <si>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3</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</si>
  <si>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</si>
  <si>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4</t>
    </r>
    <r>
      <rPr>
        <sz val="8.5"/>
        <color rgb="FF000000"/>
        <rFont val="Courier New"/>
        <family val="3"/>
      </rPr>
      <t xml:space="preserve"> </t>
    </r>
    <r>
      <rPr>
        <sz val="8.5"/>
        <color rgb="FF000000"/>
        <rFont val="宋体"/>
        <family val="3"/>
        <charset val="134"/>
      </rPr>
      <t xml:space="preserve">层 </t>
    </r>
    <r>
      <rPr>
        <b/>
        <sz val="8.5"/>
        <color rgb="FF000000"/>
        <rFont val="Courier New"/>
        <family val="3"/>
      </rPr>
      <t>02</t>
    </r>
    <r>
      <rPr>
        <sz val="8.5"/>
        <color rgb="FF000000"/>
        <rFont val="Courier New"/>
        <family val="3"/>
      </rPr>
      <t xml:space="preserve"> </t>
    </r>
    <r>
      <rPr>
        <sz val="8.5"/>
        <color rgb="FF000000"/>
        <rFont val="宋体"/>
        <family val="3"/>
        <charset val="134"/>
      </rPr>
      <t>号</t>
    </r>
  </si>
  <si>
    <r>
      <t>67</t>
    </r>
    <r>
      <rPr>
        <sz val="9"/>
        <color rgb="FF000000"/>
        <rFont val="Courier New"/>
        <family val="3"/>
      </rPr>
      <t xml:space="preserve"> </t>
    </r>
    <r>
      <rPr>
        <b/>
        <sz val="9"/>
        <color rgb="FF000000"/>
        <rFont val="Courier New"/>
        <family val="3"/>
      </rPr>
      <t>23</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</si>
  <si>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</si>
  <si>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</si>
  <si>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</si>
  <si>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</si>
  <si>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</si>
  <si>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</si>
  <si>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</si>
  <si>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</si>
  <si>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</si>
  <si>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5</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</si>
  <si>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</si>
  <si>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</si>
  <si>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</si>
  <si>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</si>
  <si>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5.</t>
    </r>
    <r>
      <rPr>
        <sz val="9"/>
        <color rgb="FF000000"/>
        <rFont val="Courier New"/>
        <family val="3"/>
      </rPr>
      <t xml:space="preserve"> </t>
    </r>
    <r>
      <rPr>
        <b/>
        <sz val="9"/>
        <color rgb="FF000000"/>
        <rFont val="Courier New"/>
        <family val="3"/>
      </rPr>
      <t>74</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</si>
  <si>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</si>
  <si>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6</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</si>
  <si>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</si>
  <si>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</si>
  <si>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</si>
  <si>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</si>
  <si>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</si>
  <si>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7</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</si>
  <si>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</si>
  <si>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</si>
  <si>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</si>
  <si>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</si>
  <si>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</si>
  <si>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8</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</si>
  <si>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</si>
  <si>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</si>
  <si>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</si>
  <si>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</si>
  <si>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</si>
  <si>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9</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</si>
  <si>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</si>
  <si>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</si>
  <si>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</si>
  <si>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</si>
  <si>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</si>
  <si>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10</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</si>
  <si>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</si>
  <si>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</si>
  <si>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</si>
  <si>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11</t>
    </r>
    <r>
      <rPr>
        <sz val="8.5"/>
        <color rgb="FF000000"/>
        <rFont val="Courier New"/>
        <family val="3"/>
      </rPr>
      <t xml:space="preserve"> </t>
    </r>
    <r>
      <rPr>
        <sz val="8.5"/>
        <color rgb="FF000000"/>
        <rFont val="宋体"/>
        <family val="3"/>
        <charset val="134"/>
      </rPr>
      <t>层</t>
    </r>
    <r>
      <rPr>
        <b/>
        <sz val="8.5"/>
        <color rgb="FF000000"/>
        <rFont val="Courier New"/>
        <family val="3"/>
      </rPr>
      <t>04</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</si>
  <si>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11</t>
    </r>
    <r>
      <rPr>
        <sz val="8.5"/>
        <color rgb="FF000000"/>
        <rFont val="Courier New"/>
        <family val="3"/>
      </rPr>
      <t xml:space="preserve"> </t>
    </r>
    <r>
      <rPr>
        <sz val="8.5"/>
        <color rgb="FF000000"/>
        <rFont val="宋体"/>
        <family val="3"/>
        <charset val="134"/>
      </rPr>
      <t>层</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</si>
  <si>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</si>
  <si>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</si>
  <si>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</si>
  <si>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</si>
  <si>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</si>
  <si>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</si>
  <si>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12</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</si>
  <si>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13/28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</si>
  <si>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</si>
  <si>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</si>
  <si>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13</t>
    </r>
    <r>
      <rPr>
        <sz val="8.5"/>
        <color rgb="FF000000"/>
        <rFont val="Courier New"/>
        <family val="3"/>
      </rPr>
      <t xml:space="preserve"> </t>
    </r>
    <r>
      <rPr>
        <sz val="8.5"/>
        <color rgb="FF000000"/>
        <rFont val="宋体"/>
        <family val="3"/>
        <charset val="134"/>
      </rPr>
      <t>层</t>
    </r>
    <r>
      <rPr>
        <b/>
        <sz val="8.5"/>
        <color rgb="FF000000"/>
        <rFont val="Courier New"/>
        <family val="3"/>
      </rPr>
      <t>03</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</si>
  <si>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</si>
  <si>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</si>
  <si>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</si>
  <si>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14/28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</si>
  <si>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</si>
  <si>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</si>
  <si>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</si>
  <si>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</si>
  <si>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</si>
  <si>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14</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</si>
  <si>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15/28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</si>
  <si>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</si>
  <si>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</si>
  <si>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</si>
  <si>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</si>
  <si>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</si>
  <si>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15</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</si>
  <si>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16/28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</si>
  <si>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</si>
  <si>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</si>
  <si>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</si>
  <si>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</si>
  <si>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</si>
  <si>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16</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</si>
  <si>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17/28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</si>
  <si>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</si>
  <si>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</si>
  <si>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</si>
  <si>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</si>
  <si>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</si>
  <si>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17</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</si>
  <si>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18/28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</si>
  <si>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</si>
  <si>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</si>
  <si>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</si>
  <si>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</si>
  <si>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</si>
  <si>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18</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</si>
  <si>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19/28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</si>
  <si>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</si>
  <si>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</si>
  <si>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</si>
  <si>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</si>
  <si>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</si>
  <si>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19</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</si>
  <si>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20/28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</si>
  <si>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</si>
  <si>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</si>
  <si>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</si>
  <si>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</si>
  <si>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20</t>
    </r>
    <r>
      <rPr>
        <sz val="8.5"/>
        <color rgb="FF000000"/>
        <rFont val="Courier New"/>
        <family val="3"/>
      </rPr>
      <t xml:space="preserve"> </t>
    </r>
    <r>
      <rPr>
        <sz val="8.5"/>
        <color rgb="FF000000"/>
        <rFont val="宋体"/>
        <family val="3"/>
        <charset val="134"/>
      </rPr>
      <t>层</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</si>
  <si>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20</t>
    </r>
    <r>
      <rPr>
        <sz val="8.5"/>
        <color rgb="FF000000"/>
        <rFont val="Courier New"/>
        <family val="3"/>
      </rPr>
      <t xml:space="preserve"> </t>
    </r>
    <r>
      <rPr>
        <sz val="8.5"/>
        <color rgb="FF000000"/>
        <rFont val="宋体"/>
        <family val="3"/>
        <charset val="134"/>
      </rPr>
      <t>层</t>
    </r>
    <r>
      <rPr>
        <b/>
        <sz val="8.5"/>
        <color rgb="FF000000"/>
        <rFont val="Courier New"/>
        <family val="3"/>
      </rPr>
      <t>06</t>
    </r>
    <r>
      <rPr>
        <sz val="8.5"/>
        <color rgb="FF000000"/>
        <rFont val="Courier New"/>
        <family val="3"/>
      </rPr>
      <t xml:space="preserve"> </t>
    </r>
    <r>
      <rPr>
        <sz val="8.5"/>
        <color rgb="FF000000"/>
        <rFont val="宋体"/>
        <family val="3"/>
        <charset val="134"/>
      </rPr>
      <t>号</t>
    </r>
  </si>
  <si>
    <t>21/28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</si>
  <si>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</si>
  <si>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</si>
  <si>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</si>
  <si>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</si>
  <si>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</si>
  <si>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21</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</si>
  <si>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22/28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</si>
  <si>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</si>
  <si>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</si>
  <si>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</si>
  <si>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22</t>
    </r>
    <r>
      <rPr>
        <sz val="8.5"/>
        <color rgb="FF000000"/>
        <rFont val="Courier New"/>
        <family val="3"/>
      </rPr>
      <t xml:space="preserve"> </t>
    </r>
    <r>
      <rPr>
        <sz val="8.5"/>
        <color rgb="FF000000"/>
        <rFont val="宋体"/>
        <family val="3"/>
        <charset val="134"/>
      </rPr>
      <t>层</t>
    </r>
    <r>
      <rPr>
        <b/>
        <sz val="8.5"/>
        <color rgb="FF000000"/>
        <rFont val="Courier New"/>
        <family val="3"/>
      </rPr>
      <t>04</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</si>
  <si>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</si>
  <si>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</si>
  <si>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23/28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</si>
  <si>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</si>
  <si>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</si>
  <si>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</si>
  <si>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</si>
  <si>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</si>
  <si>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23</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</si>
  <si>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24/28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</si>
  <si>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</si>
  <si>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</si>
  <si>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</si>
  <si>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</si>
  <si>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</si>
  <si>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24</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</si>
  <si>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25/28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</si>
  <si>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</si>
  <si>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</si>
  <si>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</si>
  <si>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</si>
  <si>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</si>
  <si>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25</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</si>
  <si>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26/28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</si>
  <si>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</si>
  <si>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</si>
  <si>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</si>
  <si>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</si>
  <si>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</si>
  <si>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26</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</si>
  <si>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27/28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</si>
  <si>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</si>
  <si>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</si>
  <si>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</si>
  <si>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</si>
  <si>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</si>
  <si>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27</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</si>
  <si>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t>28/28</t>
  </si>
  <si>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 xml:space="preserve">层 </t>
    </r>
    <r>
      <rPr>
        <b/>
        <sz val="9"/>
        <color rgb="FF000000"/>
        <rFont val="Courier New"/>
        <family val="3"/>
      </rPr>
      <t>01</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</si>
  <si>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层</t>
    </r>
    <r>
      <rPr>
        <b/>
        <sz val="9"/>
        <color rgb="FF000000"/>
        <rFont val="Courier New"/>
        <family val="3"/>
      </rPr>
      <t>02</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</si>
  <si>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</si>
  <si>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</si>
  <si>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</si>
  <si>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28</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</si>
  <si>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23973.</t>
    </r>
    <r>
      <rPr>
        <sz val="9"/>
        <color rgb="FF000000"/>
        <rFont val="Courier New"/>
        <family val="3"/>
      </rPr>
      <t xml:space="preserve"> </t>
    </r>
    <r>
      <rPr>
        <b/>
        <sz val="9"/>
        <color rgb="FF000000"/>
        <rFont val="Courier New"/>
        <family val="3"/>
      </rPr>
      <t>29</t>
    </r>
  </si>
  <si>
    <r>
      <t>13090.</t>
    </r>
    <r>
      <rPr>
        <sz val="9"/>
        <color rgb="FF000000"/>
        <rFont val="Courier New"/>
        <family val="3"/>
      </rPr>
      <t xml:space="preserve"> </t>
    </r>
    <r>
      <rPr>
        <b/>
        <sz val="9"/>
        <color rgb="FF000000"/>
        <rFont val="Courier New"/>
        <family val="3"/>
      </rPr>
      <t>22</t>
    </r>
  </si>
  <si>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12</t>
    </r>
    <r>
      <rPr>
        <sz val="10.5"/>
        <color rgb="FF000000"/>
        <rFont val="Courier New"/>
        <family val="3"/>
      </rPr>
      <t xml:space="preserve"> </t>
    </r>
    <r>
      <rPr>
        <sz val="10.5"/>
        <color rgb="FF000000"/>
        <rFont val="宋体"/>
        <family val="3"/>
        <charset val="134"/>
      </rPr>
      <t>号楼</t>
    </r>
  </si>
  <si>
    <r>
      <t>22.</t>
    </r>
    <r>
      <rPr>
        <sz val="9"/>
        <color rgb="FF000000"/>
        <rFont val="Courier New"/>
        <family val="3"/>
      </rPr>
      <t xml:space="preserve"> </t>
    </r>
    <r>
      <rPr>
        <b/>
        <sz val="9"/>
        <color rgb="FF000000"/>
        <rFont val="Courier New"/>
        <family val="3"/>
      </rPr>
      <t>56</t>
    </r>
  </si>
  <si>
    <r>
      <t>5.</t>
    </r>
    <r>
      <rPr>
        <sz val="8.5"/>
        <color rgb="FF000000"/>
        <rFont val="Courier New"/>
        <family val="3"/>
      </rPr>
      <t xml:space="preserve"> </t>
    </r>
    <r>
      <rPr>
        <b/>
        <sz val="8.5"/>
        <color rgb="FF000000"/>
        <rFont val="Courier New"/>
        <family val="3"/>
      </rPr>
      <t>74</t>
    </r>
  </si>
  <si>
    <r>
      <t>15.</t>
    </r>
    <r>
      <rPr>
        <sz val="9"/>
        <color rgb="FF000000"/>
        <rFont val="Courier New"/>
        <family val="3"/>
      </rPr>
      <t xml:space="preserve"> </t>
    </r>
    <r>
      <rPr>
        <b/>
        <sz val="9"/>
        <color rgb="FF000000"/>
        <rFont val="Courier New"/>
        <family val="3"/>
      </rPr>
      <t>33</t>
    </r>
  </si>
  <si>
    <r>
      <t>15.</t>
    </r>
    <r>
      <rPr>
        <sz val="9"/>
        <color rgb="FF000000"/>
        <rFont val="Courier New"/>
        <family val="3"/>
      </rPr>
      <t xml:space="preserve"> </t>
    </r>
    <r>
      <rPr>
        <b/>
        <sz val="9"/>
        <color rgb="FF000000"/>
        <rFont val="Courier New"/>
        <family val="3"/>
      </rPr>
      <t>21</t>
    </r>
  </si>
  <si>
    <r>
      <t>12</t>
    </r>
    <r>
      <rPr>
        <sz val="9"/>
        <color rgb="FF000000"/>
        <rFont val="Courier New"/>
        <family val="3"/>
      </rPr>
      <t xml:space="preserve"> </t>
    </r>
    <r>
      <rPr>
        <b/>
        <sz val="9"/>
        <color rgb="FF000000"/>
        <rFont val="Courier New"/>
        <family val="3"/>
      </rPr>
      <t>75</t>
    </r>
  </si>
  <si>
    <r>
      <t>10.</t>
    </r>
    <r>
      <rPr>
        <sz val="9"/>
        <color rgb="FF000000"/>
        <rFont val="Courier New"/>
        <family val="3"/>
      </rPr>
      <t xml:space="preserve"> </t>
    </r>
    <r>
      <rPr>
        <b/>
        <sz val="9"/>
        <color rgb="FF000000"/>
        <rFont val="Courier New"/>
        <family val="3"/>
      </rPr>
      <t>57</t>
    </r>
  </si>
  <si>
    <r>
      <t>10.</t>
    </r>
    <r>
      <rPr>
        <sz val="9"/>
        <color rgb="FF000000"/>
        <rFont val="Courier New"/>
        <family val="3"/>
      </rPr>
      <t xml:space="preserve"> </t>
    </r>
    <r>
      <rPr>
        <b/>
        <sz val="9"/>
        <color rgb="FF000000"/>
        <rFont val="Courier New"/>
        <family val="3"/>
      </rPr>
      <t>67</t>
    </r>
  </si>
  <si>
    <r>
      <t>11</t>
    </r>
    <r>
      <rPr>
        <sz val="9"/>
        <color rgb="FF000000"/>
        <rFont val="Courier New"/>
        <family val="3"/>
      </rPr>
      <t xml:space="preserve"> </t>
    </r>
    <r>
      <rPr>
        <b/>
        <sz val="9"/>
        <color rgb="FF000000"/>
        <rFont val="Courier New"/>
        <family val="3"/>
      </rPr>
      <t>03</t>
    </r>
  </si>
  <si>
    <r>
      <t>12.</t>
    </r>
    <r>
      <rPr>
        <sz val="9"/>
        <color rgb="FF000000"/>
        <rFont val="Courier New"/>
        <family val="3"/>
      </rPr>
      <t xml:space="preserve"> </t>
    </r>
    <r>
      <rPr>
        <b/>
        <sz val="9"/>
        <color rgb="FF000000"/>
        <rFont val="Courier New"/>
        <family val="3"/>
      </rPr>
      <t>75</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</si>
  <si>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58</t>
    </r>
    <r>
      <rPr>
        <sz val="9"/>
        <color rgb="FF000000"/>
        <rFont val="Courier New"/>
        <family val="3"/>
      </rPr>
      <t xml:space="preserve"> </t>
    </r>
    <r>
      <rPr>
        <sz val="9"/>
        <color rgb="FF000000"/>
        <rFont val="宋体"/>
        <family val="3"/>
        <charset val="134"/>
      </rPr>
      <t>号</t>
    </r>
  </si>
  <si>
    <r>
      <t>21</t>
    </r>
    <r>
      <rPr>
        <sz val="9"/>
        <color rgb="FF000000"/>
        <rFont val="Courier New"/>
        <family val="3"/>
      </rPr>
      <t xml:space="preserve"> </t>
    </r>
    <r>
      <rPr>
        <b/>
        <sz val="9"/>
        <color rgb="FF000000"/>
        <rFont val="Courier New"/>
        <family val="3"/>
      </rPr>
      <t>48</t>
    </r>
  </si>
  <si>
    <r>
      <t>13.</t>
    </r>
    <r>
      <rPr>
        <sz val="9"/>
        <color rgb="FF000000"/>
        <rFont val="Courier New"/>
        <family val="3"/>
      </rPr>
      <t xml:space="preserve"> </t>
    </r>
    <r>
      <rPr>
        <b/>
        <sz val="9"/>
        <color rgb="FF000000"/>
        <rFont val="Courier New"/>
        <family val="3"/>
      </rPr>
      <t>32</t>
    </r>
  </si>
  <si>
    <r>
      <t>11</t>
    </r>
    <r>
      <rPr>
        <sz val="9"/>
        <color rgb="FF000000"/>
        <rFont val="Courier New"/>
        <family val="3"/>
      </rPr>
      <t xml:space="preserve"> </t>
    </r>
    <r>
      <rPr>
        <b/>
        <sz val="9"/>
        <color rgb="FF000000"/>
        <rFont val="Courier New"/>
        <family val="3"/>
      </rPr>
      <t>46</t>
    </r>
  </si>
  <si>
    <r>
      <t>10.</t>
    </r>
    <r>
      <rPr>
        <sz val="9"/>
        <color rgb="FF000000"/>
        <rFont val="Courier New"/>
        <family val="3"/>
      </rPr>
      <t xml:space="preserve"> </t>
    </r>
    <r>
      <rPr>
        <b/>
        <sz val="9"/>
        <color rgb="FF000000"/>
        <rFont val="Courier New"/>
        <family val="3"/>
      </rPr>
      <t>76</t>
    </r>
  </si>
  <si>
    <r>
      <t>10</t>
    </r>
    <r>
      <rPr>
        <sz val="9"/>
        <color rgb="FF000000"/>
        <rFont val="Courier New"/>
        <family val="3"/>
      </rPr>
      <t xml:space="preserve"> </t>
    </r>
    <r>
      <rPr>
        <b/>
        <sz val="9"/>
        <color rgb="FF000000"/>
        <rFont val="Courier New"/>
        <family val="3"/>
      </rPr>
      <t>76</t>
    </r>
  </si>
  <si>
    <r>
      <t>28</t>
    </r>
    <r>
      <rPr>
        <sz val="9"/>
        <color rgb="FF000000"/>
        <rFont val="Courier New"/>
        <family val="3"/>
      </rPr>
      <t xml:space="preserve"> </t>
    </r>
    <r>
      <rPr>
        <b/>
        <sz val="9"/>
        <color rgb="FF000000"/>
        <rFont val="Courier New"/>
        <family val="3"/>
      </rPr>
      <t>87</t>
    </r>
  </si>
  <si>
    <r>
      <t>20.</t>
    </r>
    <r>
      <rPr>
        <sz val="9"/>
        <color rgb="FF000000"/>
        <rFont val="Courier New"/>
        <family val="3"/>
      </rPr>
      <t xml:space="preserve"> </t>
    </r>
    <r>
      <rPr>
        <b/>
        <sz val="9"/>
        <color rgb="FF000000"/>
        <rFont val="Courier New"/>
        <family val="3"/>
      </rPr>
      <t>61</t>
    </r>
  </si>
  <si>
    <r>
      <t>18.</t>
    </r>
    <r>
      <rPr>
        <sz val="9"/>
        <color rgb="FF000000"/>
        <rFont val="Courier New"/>
        <family val="3"/>
      </rPr>
      <t xml:space="preserve"> </t>
    </r>
    <r>
      <rPr>
        <b/>
        <sz val="9"/>
        <color rgb="FF000000"/>
        <rFont val="Courier New"/>
        <family val="3"/>
      </rPr>
      <t>68</t>
    </r>
  </si>
  <si>
    <r>
      <t>13.</t>
    </r>
    <r>
      <rPr>
        <sz val="9"/>
        <color rgb="FF000000"/>
        <rFont val="Courier New"/>
        <family val="3"/>
      </rPr>
      <t xml:space="preserve"> </t>
    </r>
    <r>
      <rPr>
        <b/>
        <sz val="9"/>
        <color rgb="FF000000"/>
        <rFont val="Courier New"/>
        <family val="3"/>
      </rPr>
      <t>22</t>
    </r>
  </si>
  <si>
    <r>
      <t>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96</t>
    </r>
  </si>
  <si>
    <r>
      <t>15.</t>
    </r>
    <r>
      <rPr>
        <sz val="9"/>
        <color rgb="FF000000"/>
        <rFont val="Courier New"/>
        <family val="3"/>
      </rPr>
      <t xml:space="preserve"> </t>
    </r>
    <r>
      <rPr>
        <b/>
        <sz val="9"/>
        <color rgb="FF000000"/>
        <rFont val="Courier New"/>
        <family val="3"/>
      </rPr>
      <t>57</t>
    </r>
  </si>
  <si>
    <r>
      <t>12.</t>
    </r>
    <r>
      <rPr>
        <sz val="9"/>
        <color rgb="FF000000"/>
        <rFont val="Courier New"/>
        <family val="3"/>
      </rPr>
      <t xml:space="preserve"> </t>
    </r>
    <r>
      <rPr>
        <b/>
        <sz val="9"/>
        <color rgb="FF000000"/>
        <rFont val="Courier New"/>
        <family val="3"/>
      </rPr>
      <t>45</t>
    </r>
  </si>
  <si>
    <r>
      <t>10</t>
    </r>
    <r>
      <rPr>
        <sz val="9"/>
        <color rgb="FF000000"/>
        <rFont val="Courier New"/>
        <family val="3"/>
      </rPr>
      <t xml:space="preserve"> </t>
    </r>
    <r>
      <rPr>
        <b/>
        <sz val="9"/>
        <color rgb="FF000000"/>
        <rFont val="Courier New"/>
        <family val="3"/>
      </rPr>
      <t>91</t>
    </r>
  </si>
  <si>
    <r>
      <t>10.</t>
    </r>
    <r>
      <rPr>
        <sz val="9"/>
        <color rgb="FF000000"/>
        <rFont val="Courier New"/>
        <family val="3"/>
      </rPr>
      <t xml:space="preserve"> </t>
    </r>
    <r>
      <rPr>
        <b/>
        <sz val="9"/>
        <color rgb="FF000000"/>
        <rFont val="Courier New"/>
        <family val="3"/>
      </rPr>
      <t>91</t>
    </r>
  </si>
  <si>
    <r>
      <t>10</t>
    </r>
    <r>
      <rPr>
        <sz val="9"/>
        <color rgb="FF000000"/>
        <rFont val="Courier New"/>
        <family val="3"/>
      </rPr>
      <t xml:space="preserve"> </t>
    </r>
    <r>
      <rPr>
        <b/>
        <sz val="9"/>
        <color rgb="FF000000"/>
        <rFont val="Courier New"/>
        <family val="3"/>
      </rPr>
      <t>87</t>
    </r>
  </si>
  <si>
    <r>
      <t>0.</t>
    </r>
    <r>
      <rPr>
        <sz val="8.5"/>
        <color rgb="FF000000"/>
        <rFont val="Courier New"/>
        <family val="3"/>
      </rPr>
      <t xml:space="preserve"> </t>
    </r>
    <r>
      <rPr>
        <b/>
        <sz val="8.5"/>
        <color rgb="FF000000"/>
        <rFont val="Courier New"/>
        <family val="3"/>
      </rPr>
      <t>27</t>
    </r>
  </si>
  <si>
    <r>
      <t>28.</t>
    </r>
    <r>
      <rPr>
        <sz val="9"/>
        <color rgb="FF000000"/>
        <rFont val="Courier New"/>
        <family val="3"/>
      </rPr>
      <t xml:space="preserve"> </t>
    </r>
    <r>
      <rPr>
        <b/>
        <sz val="9"/>
        <color rgb="FF000000"/>
        <rFont val="Courier New"/>
        <family val="3"/>
      </rPr>
      <t>87</t>
    </r>
  </si>
  <si>
    <r>
      <t>0.</t>
    </r>
    <r>
      <rPr>
        <sz val="8.5"/>
        <color rgb="FF000000"/>
        <rFont val="Courier New"/>
        <family val="3"/>
      </rPr>
      <t xml:space="preserve"> </t>
    </r>
    <r>
      <rPr>
        <b/>
        <sz val="8.5"/>
        <color rgb="FF000000"/>
        <rFont val="Courier New"/>
        <family val="3"/>
      </rPr>
      <t>76</t>
    </r>
  </si>
  <si>
    <r>
      <t>15</t>
    </r>
    <r>
      <rPr>
        <sz val="9"/>
        <color rgb="FF000000"/>
        <rFont val="Courier New"/>
        <family val="3"/>
      </rPr>
      <t xml:space="preserve"> </t>
    </r>
    <r>
      <rPr>
        <b/>
        <sz val="9"/>
        <color rgb="FF000000"/>
        <rFont val="Courier New"/>
        <family val="3"/>
      </rPr>
      <t>21</t>
    </r>
  </si>
  <si>
    <r>
      <t>21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96</t>
    </r>
  </si>
  <si>
    <r>
      <t>11</t>
    </r>
    <r>
      <rPr>
        <sz val="9"/>
        <color rgb="FF000000"/>
        <rFont val="Courier New"/>
        <family val="3"/>
      </rPr>
      <t xml:space="preserve"> </t>
    </r>
    <r>
      <rPr>
        <b/>
        <sz val="9"/>
        <color rgb="FF000000"/>
        <rFont val="Courier New"/>
        <family val="3"/>
      </rPr>
      <t>44</t>
    </r>
  </si>
  <si>
    <r>
      <t>10.</t>
    </r>
    <r>
      <rPr>
        <sz val="9"/>
        <color rgb="FF000000"/>
        <rFont val="Courier New"/>
        <family val="3"/>
      </rPr>
      <t xml:space="preserve"> </t>
    </r>
    <r>
      <rPr>
        <b/>
        <sz val="9"/>
        <color rgb="FF000000"/>
        <rFont val="Courier New"/>
        <family val="3"/>
      </rPr>
      <t>87</t>
    </r>
  </si>
  <si>
    <r>
      <t>10.</t>
    </r>
    <r>
      <rPr>
        <sz val="9"/>
        <color rgb="FF000000"/>
        <rFont val="Courier New"/>
        <family val="3"/>
      </rPr>
      <t xml:space="preserve"> </t>
    </r>
    <r>
      <rPr>
        <b/>
        <sz val="9"/>
        <color rgb="FF000000"/>
        <rFont val="Courier New"/>
        <family val="3"/>
      </rPr>
      <t>27</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</si>
  <si>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44</t>
    </r>
  </si>
  <si>
    <r>
      <t>5.</t>
    </r>
    <r>
      <rPr>
        <sz val="8.5"/>
        <color rgb="FF000000"/>
        <rFont val="Courier New"/>
        <family val="3"/>
      </rPr>
      <t xml:space="preserve"> </t>
    </r>
    <r>
      <rPr>
        <b/>
        <sz val="8.5"/>
        <color rgb="FF000000"/>
        <rFont val="Courier New"/>
        <family val="3"/>
      </rPr>
      <t>21</t>
    </r>
  </si>
  <si>
    <r>
      <t>21</t>
    </r>
    <r>
      <rPr>
        <sz val="9"/>
        <color rgb="FF000000"/>
        <rFont val="Courier New"/>
        <family val="3"/>
      </rPr>
      <t xml:space="preserve"> </t>
    </r>
    <r>
      <rPr>
        <b/>
        <sz val="9"/>
        <color rgb="FF000000"/>
        <rFont val="Courier New"/>
        <family val="3"/>
      </rPr>
      <t>96</t>
    </r>
  </si>
  <si>
    <r>
      <t>13</t>
    </r>
    <r>
      <rPr>
        <sz val="9"/>
        <color rgb="FF000000"/>
        <rFont val="Courier New"/>
        <family val="3"/>
      </rPr>
      <t xml:space="preserve"> </t>
    </r>
    <r>
      <rPr>
        <b/>
        <sz val="9"/>
        <color rgb="FF000000"/>
        <rFont val="Courier New"/>
        <family val="3"/>
      </rPr>
      <t>32</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</si>
  <si>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46</t>
    </r>
  </si>
  <si>
    <r>
      <t>2.</t>
    </r>
    <r>
      <rPr>
        <sz val="9"/>
        <color rgb="FF000000"/>
        <rFont val="Courier New"/>
        <family val="3"/>
      </rPr>
      <t xml:space="preserve"> </t>
    </r>
    <r>
      <rPr>
        <b/>
        <sz val="9"/>
        <color rgb="FF000000"/>
        <rFont val="Courier New"/>
        <family val="3"/>
      </rPr>
      <t>75</t>
    </r>
  </si>
  <si>
    <r>
      <t>22</t>
    </r>
    <r>
      <rPr>
        <sz val="9"/>
        <color rgb="FF000000"/>
        <rFont val="Courier New"/>
        <family val="3"/>
      </rPr>
      <t xml:space="preserve"> </t>
    </r>
    <r>
      <rPr>
        <b/>
        <sz val="9"/>
        <color rgb="FF000000"/>
        <rFont val="Courier New"/>
        <family val="3"/>
      </rPr>
      <t>56</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</si>
  <si>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45</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</si>
  <si>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46</t>
    </r>
    <r>
      <rPr>
        <sz val="9"/>
        <color rgb="FF000000"/>
        <rFont val="Courier New"/>
        <family val="3"/>
      </rPr>
      <t xml:space="preserve"> </t>
    </r>
    <r>
      <rPr>
        <sz val="9"/>
        <color rgb="FF000000"/>
        <rFont val="宋体"/>
        <family val="3"/>
        <charset val="134"/>
      </rPr>
      <t>号</t>
    </r>
  </si>
  <si>
    <r>
      <t>21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48</t>
    </r>
  </si>
  <si>
    <r>
      <t>150</t>
    </r>
    <r>
      <rPr>
        <sz val="9"/>
        <color rgb="FF000000"/>
        <rFont val="Courier New"/>
        <family val="3"/>
      </rPr>
      <t xml:space="preserve"> </t>
    </r>
    <r>
      <rPr>
        <b/>
        <sz val="9"/>
        <color rgb="FF000000"/>
        <rFont val="Courier New"/>
        <family val="3"/>
      </rPr>
      <t>68</t>
    </r>
  </si>
  <si>
    <r>
      <t>86</t>
    </r>
    <r>
      <rPr>
        <sz val="9"/>
        <color rgb="FF000000"/>
        <rFont val="Courier New"/>
        <family val="3"/>
      </rPr>
      <t xml:space="preserve"> </t>
    </r>
    <r>
      <rPr>
        <b/>
        <sz val="9"/>
        <color rgb="FF000000"/>
        <rFont val="Courier New"/>
        <family val="3"/>
      </rPr>
      <t>85</t>
    </r>
  </si>
  <si>
    <r>
      <t>118.</t>
    </r>
    <r>
      <rPr>
        <sz val="9"/>
        <color rgb="FF000000"/>
        <rFont val="Courier New"/>
        <family val="3"/>
      </rPr>
      <t xml:space="preserve"> </t>
    </r>
    <r>
      <rPr>
        <b/>
        <sz val="9"/>
        <color rgb="FF000000"/>
        <rFont val="Courier New"/>
        <family val="3"/>
      </rPr>
      <t>45</t>
    </r>
  </si>
  <si>
    <r>
      <t>68.</t>
    </r>
    <r>
      <rPr>
        <sz val="9"/>
        <color rgb="FF000000"/>
        <rFont val="Courier New"/>
        <family val="3"/>
      </rPr>
      <t xml:space="preserve"> </t>
    </r>
    <r>
      <rPr>
        <b/>
        <sz val="9"/>
        <color rgb="FF000000"/>
        <rFont val="Courier New"/>
        <family val="3"/>
      </rPr>
      <t>27</t>
    </r>
  </si>
  <si>
    <r>
      <t>133.</t>
    </r>
    <r>
      <rPr>
        <sz val="9"/>
        <color rgb="FF000000"/>
        <rFont val="Courier New"/>
        <family val="3"/>
      </rPr>
      <t xml:space="preserve"> </t>
    </r>
    <r>
      <rPr>
        <b/>
        <sz val="9"/>
        <color rgb="FF000000"/>
        <rFont val="Courier New"/>
        <family val="3"/>
      </rPr>
      <t>5</t>
    </r>
  </si>
  <si>
    <r>
      <t>76.</t>
    </r>
    <r>
      <rPr>
        <sz val="9"/>
        <color rgb="FF000000"/>
        <rFont val="Courier New"/>
        <family val="3"/>
      </rPr>
      <t xml:space="preserve"> </t>
    </r>
    <r>
      <rPr>
        <b/>
        <sz val="9"/>
        <color rgb="FF000000"/>
        <rFont val="Courier New"/>
        <family val="3"/>
      </rPr>
      <t>95</t>
    </r>
  </si>
  <si>
    <r>
      <t>118</t>
    </r>
    <r>
      <rPr>
        <sz val="9"/>
        <color rgb="FF000000"/>
        <rFont val="Courier New"/>
        <family val="3"/>
      </rPr>
      <t xml:space="preserve"> </t>
    </r>
    <r>
      <rPr>
        <b/>
        <sz val="9"/>
        <color rgb="FF000000"/>
        <rFont val="Courier New"/>
        <family val="3"/>
      </rPr>
      <t>45</t>
    </r>
  </si>
  <si>
    <r>
      <t>.</t>
    </r>
    <r>
      <rPr>
        <sz val="9"/>
        <color rgb="FF000000"/>
        <rFont val="Courier New"/>
        <family val="3"/>
      </rPr>
      <t xml:space="preserve"> </t>
    </r>
    <r>
      <rPr>
        <b/>
        <sz val="9"/>
        <color rgb="FF000000"/>
        <rFont val="Courier New"/>
        <family val="3"/>
      </rPr>
      <t>85</t>
    </r>
  </si>
  <si>
    <r>
      <t>150</t>
    </r>
    <r>
      <rPr>
        <sz val="9"/>
        <color rgb="FF000000"/>
        <rFont val="Courier New"/>
        <family val="3"/>
      </rPr>
      <t xml:space="preserve"> </t>
    </r>
    <r>
      <rPr>
        <b/>
        <sz val="9"/>
        <color rgb="FF000000"/>
        <rFont val="Courier New"/>
        <family val="3"/>
      </rPr>
      <t>67</t>
    </r>
  </si>
  <si>
    <r>
      <t>86.</t>
    </r>
    <r>
      <rPr>
        <sz val="9"/>
        <color rgb="FF000000"/>
        <rFont val="Courier New"/>
        <family val="3"/>
      </rPr>
      <t xml:space="preserve"> </t>
    </r>
    <r>
      <rPr>
        <b/>
        <sz val="9"/>
        <color rgb="FF000000"/>
        <rFont val="Courier New"/>
        <family val="3"/>
      </rPr>
      <t>85</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</si>
  <si>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t>
    </r>
    <r>
      <rPr>
        <sz val="8.5"/>
        <color rgb="FF000000"/>
        <rFont val="Courier New"/>
        <family val="3"/>
      </rPr>
      <t xml:space="preserve"> </t>
    </r>
    <r>
      <rPr>
        <sz val="8.5"/>
        <color rgb="FF000000"/>
        <rFont val="宋体"/>
        <family val="3"/>
        <charset val="134"/>
      </rPr>
      <t xml:space="preserve">层 </t>
    </r>
    <r>
      <rPr>
        <b/>
        <sz val="8.5"/>
        <color rgb="FF000000"/>
        <rFont val="Courier New"/>
        <family val="3"/>
      </rPr>
      <t>02</t>
    </r>
    <r>
      <rPr>
        <sz val="8.5"/>
        <color rgb="FF000000"/>
        <rFont val="Courier New"/>
        <family val="3"/>
      </rPr>
      <t xml:space="preserve"> </t>
    </r>
    <r>
      <rPr>
        <sz val="8.5"/>
        <color rgb="FF000000"/>
        <rFont val="宋体"/>
        <family val="3"/>
        <charset val="134"/>
      </rPr>
      <t>号</t>
    </r>
  </si>
  <si>
    <r>
      <t>118</t>
    </r>
    <r>
      <rPr>
        <sz val="9"/>
        <color rgb="FF000000"/>
        <rFont val="Courier New"/>
        <family val="3"/>
      </rPr>
      <t xml:space="preserve"> </t>
    </r>
    <r>
      <rPr>
        <b/>
        <sz val="9"/>
        <color rgb="FF000000"/>
        <rFont val="Courier New"/>
        <family val="3"/>
      </rPr>
      <t>49</t>
    </r>
  </si>
  <si>
    <r>
      <t>68.</t>
    </r>
    <r>
      <rPr>
        <sz val="9"/>
        <color rgb="FF000000"/>
        <rFont val="Courier New"/>
        <family val="3"/>
      </rPr>
      <t xml:space="preserve"> </t>
    </r>
    <r>
      <rPr>
        <b/>
        <sz val="9"/>
        <color rgb="FF000000"/>
        <rFont val="Courier New"/>
        <family val="3"/>
      </rPr>
      <t>30</t>
    </r>
  </si>
  <si>
    <r>
      <t>133</t>
    </r>
    <r>
      <rPr>
        <sz val="9"/>
        <color rgb="FF000000"/>
        <rFont val="Courier New"/>
        <family val="3"/>
      </rPr>
      <t xml:space="preserve"> </t>
    </r>
    <r>
      <rPr>
        <b/>
        <sz val="9"/>
        <color rgb="FF000000"/>
        <rFont val="Courier New"/>
        <family val="3"/>
      </rPr>
      <t>49</t>
    </r>
  </si>
  <si>
    <r>
      <t>76</t>
    </r>
    <r>
      <rPr>
        <sz val="9"/>
        <color rgb="FF000000"/>
        <rFont val="Courier New"/>
        <family val="3"/>
      </rPr>
      <t xml:space="preserve"> </t>
    </r>
    <r>
      <rPr>
        <b/>
        <sz val="9"/>
        <color rgb="FF000000"/>
        <rFont val="Courier New"/>
        <family val="3"/>
      </rPr>
      <t>94</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</si>
  <si>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</si>
  <si>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76.</t>
    </r>
    <r>
      <rPr>
        <sz val="9"/>
        <color rgb="FF000000"/>
        <rFont val="Courier New"/>
        <family val="3"/>
      </rPr>
      <t xml:space="preserve"> </t>
    </r>
    <r>
      <rPr>
        <b/>
        <sz val="9"/>
        <color rgb="FF000000"/>
        <rFont val="Courier New"/>
        <family val="3"/>
      </rPr>
      <t>94</t>
    </r>
  </si>
  <si>
    <r>
      <t>.</t>
    </r>
    <r>
      <rPr>
        <sz val="9"/>
        <color rgb="FF000000"/>
        <rFont val="Courier New"/>
        <family val="3"/>
      </rPr>
      <t xml:space="preserve"> </t>
    </r>
    <r>
      <rPr>
        <b/>
        <sz val="9"/>
        <color rgb="FF000000"/>
        <rFont val="Courier New"/>
        <family val="3"/>
      </rPr>
      <t>94</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</si>
  <si>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4</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</si>
  <si>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4</t>
    </r>
    <r>
      <rPr>
        <sz val="9"/>
        <color rgb="FF000000"/>
        <rFont val="Courier New"/>
        <family val="3"/>
      </rPr>
      <t xml:space="preserve"> </t>
    </r>
    <r>
      <rPr>
        <sz val="9"/>
        <color rgb="FF000000"/>
        <rFont val="宋体"/>
        <family val="3"/>
        <charset val="134"/>
      </rPr>
      <t xml:space="preserve">层 </t>
    </r>
    <r>
      <rPr>
        <b/>
        <sz val="9"/>
        <color rgb="FF000000"/>
        <rFont val="Courier New"/>
        <family val="3"/>
      </rPr>
      <t>02</t>
    </r>
    <r>
      <rPr>
        <sz val="9"/>
        <color rgb="FF000000"/>
        <rFont val="Courier New"/>
        <family val="3"/>
      </rPr>
      <t xml:space="preserve"> </t>
    </r>
    <r>
      <rPr>
        <sz val="9"/>
        <color rgb="FF000000"/>
        <rFont val="宋体"/>
        <family val="3"/>
        <charset val="134"/>
      </rPr>
      <t>号</t>
    </r>
  </si>
  <si>
    <r>
      <t>68</t>
    </r>
    <r>
      <rPr>
        <sz val="9"/>
        <color rgb="FF000000"/>
        <rFont val="Courier New"/>
        <family val="3"/>
      </rPr>
      <t xml:space="preserve"> </t>
    </r>
    <r>
      <rPr>
        <b/>
        <sz val="9"/>
        <color rgb="FF000000"/>
        <rFont val="Courier New"/>
        <family val="3"/>
      </rPr>
      <t>30</t>
    </r>
  </si>
  <si>
    <r>
      <t>.</t>
    </r>
    <r>
      <rPr>
        <sz val="9"/>
        <color rgb="FF000000"/>
        <rFont val="Courier New"/>
        <family val="3"/>
      </rPr>
      <t xml:space="preserve"> </t>
    </r>
    <r>
      <rPr>
        <b/>
        <sz val="9"/>
        <color rgb="FF000000"/>
        <rFont val="Courier New"/>
        <family val="3"/>
      </rPr>
      <t>30</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</si>
  <si>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11</t>
    </r>
    <r>
      <rPr>
        <sz val="8.5"/>
        <color rgb="FF000000"/>
        <rFont val="Courier New"/>
        <family val="3"/>
      </rPr>
      <t xml:space="preserve"> </t>
    </r>
    <r>
      <rPr>
        <sz val="8.5"/>
        <color rgb="FF000000"/>
        <rFont val="宋体"/>
        <family val="3"/>
        <charset val="134"/>
      </rPr>
      <t xml:space="preserve">层 </t>
    </r>
    <r>
      <rPr>
        <b/>
        <sz val="8.5"/>
        <color rgb="FF000000"/>
        <rFont val="Courier New"/>
        <family val="3"/>
      </rPr>
      <t>03</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</si>
  <si>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</si>
  <si>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13</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</si>
  <si>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13</t>
    </r>
    <r>
      <rPr>
        <sz val="9"/>
        <color rgb="FF000000"/>
        <rFont val="Courier New"/>
        <family val="3"/>
      </rPr>
      <t xml:space="preserve"> </t>
    </r>
    <r>
      <rPr>
        <sz val="9"/>
        <color rgb="FF000000"/>
        <rFont val="宋体"/>
        <family val="3"/>
        <charset val="134"/>
      </rPr>
      <t>层</t>
    </r>
    <r>
      <rPr>
        <b/>
        <sz val="9"/>
        <color rgb="FF000000"/>
        <rFont val="Courier New"/>
        <family val="3"/>
      </rPr>
      <t>03</t>
    </r>
    <r>
      <rPr>
        <sz val="9"/>
        <color rgb="FF000000"/>
        <rFont val="Courier New"/>
        <family val="3"/>
      </rPr>
      <t xml:space="preserve"> </t>
    </r>
    <r>
      <rPr>
        <sz val="9"/>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</si>
  <si>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20</t>
    </r>
    <r>
      <rPr>
        <sz val="8.5"/>
        <color rgb="FF000000"/>
        <rFont val="Courier New"/>
        <family val="3"/>
      </rPr>
      <t xml:space="preserve"> </t>
    </r>
    <r>
      <rPr>
        <sz val="8.5"/>
        <color rgb="FF000000"/>
        <rFont val="宋体"/>
        <family val="3"/>
        <charset val="134"/>
      </rPr>
      <t>层</t>
    </r>
    <r>
      <rPr>
        <b/>
        <sz val="8.5"/>
        <color rgb="FF000000"/>
        <rFont val="Courier New"/>
        <family val="3"/>
      </rPr>
      <t>04</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</si>
  <si>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层</t>
    </r>
    <r>
      <rPr>
        <b/>
        <sz val="9"/>
        <color rgb="FF000000"/>
        <rFont val="Courier New"/>
        <family val="3"/>
      </rPr>
      <t>06</t>
    </r>
    <r>
      <rPr>
        <sz val="9"/>
        <color rgb="FF000000"/>
        <rFont val="Courier New"/>
        <family val="3"/>
      </rPr>
      <t xml:space="preserve"> </t>
    </r>
    <r>
      <rPr>
        <sz val="9"/>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</si>
  <si>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22</t>
    </r>
    <r>
      <rPr>
        <sz val="8.5"/>
        <color rgb="FF000000"/>
        <rFont val="Courier New"/>
        <family val="3"/>
      </rPr>
      <t xml:space="preserve"> </t>
    </r>
    <r>
      <rPr>
        <sz val="8.5"/>
        <color rgb="FF000000"/>
        <rFont val="宋体"/>
        <family val="3"/>
        <charset val="134"/>
      </rPr>
      <t>层</t>
    </r>
    <r>
      <rPr>
        <b/>
        <sz val="8.5"/>
        <color rgb="FF000000"/>
        <rFont val="Courier New"/>
        <family val="3"/>
      </rPr>
      <t>03</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</si>
  <si>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22</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</si>
  <si>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24021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31</t>
    </r>
  </si>
  <si>
    <r>
      <t>13294.</t>
    </r>
    <r>
      <rPr>
        <sz val="9"/>
        <color rgb="FF000000"/>
        <rFont val="Courier New"/>
        <family val="3"/>
      </rPr>
      <t xml:space="preserve"> </t>
    </r>
    <r>
      <rPr>
        <b/>
        <sz val="9"/>
        <color rgb="FF000000"/>
        <rFont val="Courier New"/>
        <family val="3"/>
      </rPr>
      <t>01</t>
    </r>
  </si>
  <si>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13</t>
    </r>
    <r>
      <rPr>
        <sz val="10.5"/>
        <color rgb="FF000000"/>
        <rFont val="Courier New"/>
        <family val="3"/>
      </rPr>
      <t xml:space="preserve"> </t>
    </r>
    <r>
      <rPr>
        <sz val="10.5"/>
        <color rgb="FF000000"/>
        <rFont val="宋体"/>
        <family val="3"/>
        <charset val="134"/>
      </rPr>
      <t>号楼</t>
    </r>
  </si>
  <si>
    <r>
      <t>30</t>
    </r>
    <r>
      <rPr>
        <sz val="9"/>
        <color rgb="FF000000"/>
        <rFont val="Courier New"/>
        <family val="3"/>
      </rPr>
      <t xml:space="preserve"> </t>
    </r>
    <r>
      <rPr>
        <b/>
        <sz val="9"/>
        <color rgb="FF000000"/>
        <rFont val="Courier New"/>
        <family val="3"/>
      </rPr>
      <t>42</t>
    </r>
  </si>
  <si>
    <r>
      <t>14</t>
    </r>
    <r>
      <rPr>
        <sz val="9"/>
        <color rgb="FF000000"/>
        <rFont val="Courier New"/>
        <family val="3"/>
      </rPr>
      <t xml:space="preserve"> </t>
    </r>
    <r>
      <rPr>
        <b/>
        <sz val="9"/>
        <color rgb="FF000000"/>
        <rFont val="Courier New"/>
        <family val="3"/>
      </rPr>
      <t>55</t>
    </r>
  </si>
  <si>
    <r>
      <t>14</t>
    </r>
    <r>
      <rPr>
        <sz val="9"/>
        <color rgb="FF000000"/>
        <rFont val="Courier New"/>
        <family val="3"/>
      </rPr>
      <t xml:space="preserve"> </t>
    </r>
    <r>
      <rPr>
        <b/>
        <sz val="9"/>
        <color rgb="FF000000"/>
        <rFont val="Courier New"/>
        <family val="3"/>
      </rPr>
      <t>07</t>
    </r>
  </si>
  <si>
    <r>
      <t>11</t>
    </r>
    <r>
      <rPr>
        <sz val="9"/>
        <color rgb="FF000000"/>
        <rFont val="Courier New"/>
        <family val="3"/>
      </rPr>
      <t xml:space="preserve"> </t>
    </r>
    <r>
      <rPr>
        <b/>
        <sz val="9"/>
        <color rgb="FF000000"/>
        <rFont val="Courier New"/>
        <family val="3"/>
      </rPr>
      <t>70</t>
    </r>
  </si>
  <si>
    <r>
      <t>12</t>
    </r>
    <r>
      <rPr>
        <sz val="9"/>
        <color rgb="FF000000"/>
        <rFont val="Courier New"/>
        <family val="3"/>
      </rPr>
      <t xml:space="preserve"> </t>
    </r>
    <r>
      <rPr>
        <b/>
        <sz val="9"/>
        <color rgb="FF000000"/>
        <rFont val="Courier New"/>
        <family val="3"/>
      </rPr>
      <t>20</t>
    </r>
  </si>
  <si>
    <r>
      <t>17</t>
    </r>
    <r>
      <rPr>
        <sz val="9"/>
        <color rgb="FF000000"/>
        <rFont val="Courier New"/>
        <family val="3"/>
      </rPr>
      <t xml:space="preserve"> </t>
    </r>
    <r>
      <rPr>
        <b/>
        <sz val="9"/>
        <color rgb="FF000000"/>
        <rFont val="Courier New"/>
        <family val="3"/>
      </rPr>
      <t>72</t>
    </r>
  </si>
  <si>
    <r>
      <t>17</t>
    </r>
    <r>
      <rPr>
        <sz val="9"/>
        <color rgb="FF000000"/>
        <rFont val="Courier New"/>
        <family val="3"/>
      </rPr>
      <t xml:space="preserve"> </t>
    </r>
    <r>
      <rPr>
        <b/>
        <sz val="9"/>
        <color rgb="FF000000"/>
        <rFont val="Courier New"/>
        <family val="3"/>
      </rPr>
      <t>05</t>
    </r>
  </si>
  <si>
    <r>
      <t>10</t>
    </r>
    <r>
      <rPr>
        <sz val="9"/>
        <color rgb="FF000000"/>
        <rFont val="Courier New"/>
        <family val="3"/>
      </rPr>
      <t xml:space="preserve"> </t>
    </r>
    <r>
      <rPr>
        <b/>
        <sz val="9"/>
        <color rgb="FF000000"/>
        <rFont val="Courier New"/>
        <family val="3"/>
      </rPr>
      <t>57</t>
    </r>
  </si>
  <si>
    <r>
      <t>10</t>
    </r>
    <r>
      <rPr>
        <sz val="9"/>
        <color rgb="FF000000"/>
        <rFont val="Courier New"/>
        <family val="3"/>
      </rPr>
      <t xml:space="preserve"> </t>
    </r>
    <r>
      <rPr>
        <b/>
        <sz val="9"/>
        <color rgb="FF000000"/>
        <rFont val="Courier New"/>
        <family val="3"/>
      </rPr>
      <t>29</t>
    </r>
  </si>
  <si>
    <r>
      <t>13</t>
    </r>
    <r>
      <rPr>
        <sz val="9"/>
        <color rgb="FF000000"/>
        <rFont val="Courier New"/>
        <family val="3"/>
      </rPr>
      <t xml:space="preserve"> </t>
    </r>
    <r>
      <rPr>
        <b/>
        <sz val="9"/>
        <color rgb="FF000000"/>
        <rFont val="Courier New"/>
        <family val="3"/>
      </rPr>
      <t>31</t>
    </r>
  </si>
  <si>
    <r>
      <t>25</t>
    </r>
    <r>
      <rPr>
        <sz val="9"/>
        <color rgb="FF000000"/>
        <rFont val="Courier New"/>
        <family val="3"/>
      </rPr>
      <t xml:space="preserve"> </t>
    </r>
    <r>
      <rPr>
        <b/>
        <sz val="9"/>
        <color rgb="FF000000"/>
        <rFont val="Courier New"/>
        <family val="3"/>
      </rPr>
      <t>45</t>
    </r>
  </si>
  <si>
    <r>
      <t>16</t>
    </r>
    <r>
      <rPr>
        <sz val="9"/>
        <color rgb="FF000000"/>
        <rFont val="Courier New"/>
        <family val="3"/>
      </rPr>
      <t xml:space="preserve"> </t>
    </r>
    <r>
      <rPr>
        <b/>
        <sz val="9"/>
        <color rgb="FF000000"/>
        <rFont val="Courier New"/>
        <family val="3"/>
      </rPr>
      <t>88</t>
    </r>
  </si>
  <si>
    <r>
      <t>17</t>
    </r>
    <r>
      <rPr>
        <sz val="9"/>
        <color rgb="FF000000"/>
        <rFont val="Courier New"/>
        <family val="3"/>
      </rPr>
      <t xml:space="preserve"> </t>
    </r>
    <r>
      <rPr>
        <b/>
        <sz val="9"/>
        <color rgb="FF000000"/>
        <rFont val="Courier New"/>
        <family val="3"/>
      </rPr>
      <t>26</t>
    </r>
  </si>
  <si>
    <r>
      <t>14</t>
    </r>
    <r>
      <rPr>
        <sz val="9"/>
        <color rgb="FF000000"/>
        <rFont val="Courier New"/>
        <family val="3"/>
      </rPr>
      <t xml:space="preserve"> </t>
    </r>
    <r>
      <rPr>
        <b/>
        <sz val="9"/>
        <color rgb="FF000000"/>
        <rFont val="Courier New"/>
        <family val="3"/>
      </rPr>
      <t>99</t>
    </r>
  </si>
  <si>
    <r>
      <t>13</t>
    </r>
    <r>
      <rPr>
        <sz val="9"/>
        <color rgb="FF000000"/>
        <rFont val="Courier New"/>
        <family val="3"/>
      </rPr>
      <t xml:space="preserve"> </t>
    </r>
    <r>
      <rPr>
        <b/>
        <sz val="9"/>
        <color rgb="FF000000"/>
        <rFont val="Courier New"/>
        <family val="3"/>
      </rPr>
      <t>96</t>
    </r>
  </si>
  <si>
    <r>
      <t>12</t>
    </r>
    <r>
      <rPr>
        <sz val="9"/>
        <color rgb="FF000000"/>
        <rFont val="Courier New"/>
        <family val="3"/>
      </rPr>
      <t xml:space="preserve"> </t>
    </r>
    <r>
      <rPr>
        <b/>
        <sz val="9"/>
        <color rgb="FF000000"/>
        <rFont val="Courier New"/>
        <family val="3"/>
      </rPr>
      <t>06</t>
    </r>
  </si>
  <si>
    <r>
      <t>11</t>
    </r>
    <r>
      <rPr>
        <sz val="9"/>
        <color rgb="FF000000"/>
        <rFont val="Courier New"/>
        <family val="3"/>
      </rPr>
      <t xml:space="preserve"> </t>
    </r>
    <r>
      <rPr>
        <b/>
        <sz val="9"/>
        <color rgb="FF000000"/>
        <rFont val="Courier New"/>
        <family val="3"/>
      </rPr>
      <t>74</t>
    </r>
  </si>
  <si>
    <r>
      <t>10</t>
    </r>
    <r>
      <rPr>
        <sz val="9"/>
        <color rgb="FF000000"/>
        <rFont val="Courier New"/>
        <family val="3"/>
      </rPr>
      <t xml:space="preserve"> </t>
    </r>
    <r>
      <rPr>
        <b/>
        <sz val="9"/>
        <color rgb="FF000000"/>
        <rFont val="Courier New"/>
        <family val="3"/>
      </rPr>
      <t>82</t>
    </r>
  </si>
  <si>
    <r>
      <t>24</t>
    </r>
    <r>
      <rPr>
        <sz val="9"/>
        <color rgb="FF000000"/>
        <rFont val="Courier New"/>
        <family val="3"/>
      </rPr>
      <t xml:space="preserve"> </t>
    </r>
    <r>
      <rPr>
        <b/>
        <sz val="9"/>
        <color rgb="FF000000"/>
        <rFont val="Courier New"/>
        <family val="3"/>
      </rPr>
      <t>03</t>
    </r>
  </si>
  <si>
    <r>
      <t>11</t>
    </r>
    <r>
      <rPr>
        <sz val="9"/>
        <color rgb="FF000000"/>
        <rFont val="Courier New"/>
        <family val="3"/>
      </rPr>
      <t xml:space="preserve"> </t>
    </r>
    <r>
      <rPr>
        <b/>
        <sz val="9"/>
        <color rgb="FF000000"/>
        <rFont val="Courier New"/>
        <family val="3"/>
      </rPr>
      <t>97</t>
    </r>
  </si>
  <si>
    <r>
      <t>10</t>
    </r>
    <r>
      <rPr>
        <sz val="9"/>
        <color rgb="FF000000"/>
        <rFont val="Courier New"/>
        <family val="3"/>
      </rPr>
      <t xml:space="preserve"> </t>
    </r>
    <r>
      <rPr>
        <b/>
        <sz val="9"/>
        <color rgb="FF000000"/>
        <rFont val="Courier New"/>
        <family val="3"/>
      </rPr>
      <t>84</t>
    </r>
  </si>
  <si>
    <r>
      <t>20</t>
    </r>
    <r>
      <rPr>
        <sz val="9"/>
        <color rgb="FF000000"/>
        <rFont val="Courier New"/>
        <family val="3"/>
      </rPr>
      <t xml:space="preserve"> </t>
    </r>
    <r>
      <rPr>
        <b/>
        <sz val="9"/>
        <color rgb="FF000000"/>
        <rFont val="Courier New"/>
        <family val="3"/>
      </rPr>
      <t>99</t>
    </r>
  </si>
  <si>
    <r>
      <t>13</t>
    </r>
    <r>
      <rPr>
        <sz val="9"/>
        <color rgb="FF000000"/>
        <rFont val="Courier New"/>
        <family val="3"/>
      </rPr>
      <t xml:space="preserve"> </t>
    </r>
    <r>
      <rPr>
        <b/>
        <sz val="9"/>
        <color rgb="FF000000"/>
        <rFont val="Courier New"/>
        <family val="3"/>
      </rPr>
      <t>44</t>
    </r>
  </si>
  <si>
    <r>
      <t>14</t>
    </r>
    <r>
      <rPr>
        <sz val="9"/>
        <color rgb="FF000000"/>
        <rFont val="Courier New"/>
        <family val="3"/>
      </rPr>
      <t xml:space="preserve"> </t>
    </r>
    <r>
      <rPr>
        <b/>
        <sz val="9"/>
        <color rgb="FF000000"/>
        <rFont val="Courier New"/>
        <family val="3"/>
      </rPr>
      <t>38</t>
    </r>
  </si>
  <si>
    <r>
      <t>13</t>
    </r>
    <r>
      <rPr>
        <sz val="9"/>
        <color rgb="FF000000"/>
        <rFont val="Courier New"/>
        <family val="3"/>
      </rPr>
      <t xml:space="preserve"> </t>
    </r>
    <r>
      <rPr>
        <b/>
        <sz val="9"/>
        <color rgb="FF000000"/>
        <rFont val="Courier New"/>
        <family val="3"/>
      </rPr>
      <t>92</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</si>
  <si>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层</t>
    </r>
    <r>
      <rPr>
        <b/>
        <sz val="8.5"/>
        <color rgb="FF000000"/>
        <rFont val="Courier New"/>
        <family val="3"/>
      </rPr>
      <t>07</t>
    </r>
    <r>
      <rPr>
        <sz val="8.5"/>
        <color rgb="FF000000"/>
        <rFont val="Courier New"/>
        <family val="3"/>
      </rPr>
      <t xml:space="preserve"> </t>
    </r>
    <r>
      <rPr>
        <sz val="8.5"/>
        <color rgb="FF000000"/>
        <rFont val="宋体"/>
        <family val="3"/>
        <charset val="134"/>
      </rPr>
      <t>号</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</si>
  <si>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层</t>
    </r>
    <r>
      <rPr>
        <b/>
        <sz val="8.5"/>
        <color rgb="FF000000"/>
        <rFont val="Courier New"/>
        <family val="3"/>
      </rPr>
      <t>08</t>
    </r>
    <r>
      <rPr>
        <sz val="8.5"/>
        <color rgb="FF000000"/>
        <rFont val="Courier New"/>
        <family val="3"/>
      </rPr>
      <t xml:space="preserve"> </t>
    </r>
    <r>
      <rPr>
        <sz val="8.5"/>
        <color rgb="FF000000"/>
        <rFont val="宋体"/>
        <family val="3"/>
        <charset val="134"/>
      </rPr>
      <t>号</t>
    </r>
  </si>
  <si>
    <r>
      <t>11</t>
    </r>
    <r>
      <rPr>
        <sz val="9"/>
        <color rgb="FF000000"/>
        <rFont val="Courier New"/>
        <family val="3"/>
      </rPr>
      <t xml:space="preserve"> </t>
    </r>
    <r>
      <rPr>
        <b/>
        <sz val="9"/>
        <color rgb="FF000000"/>
        <rFont val="Courier New"/>
        <family val="3"/>
      </rPr>
      <t>51</t>
    </r>
  </si>
  <si>
    <r>
      <t>22</t>
    </r>
    <r>
      <rPr>
        <sz val="9"/>
        <color rgb="FF000000"/>
        <rFont val="Courier New"/>
        <family val="3"/>
      </rPr>
      <t xml:space="preserve"> </t>
    </r>
    <r>
      <rPr>
        <b/>
        <sz val="9"/>
        <color rgb="FF000000"/>
        <rFont val="Courier New"/>
        <family val="3"/>
      </rPr>
      <t>81</t>
    </r>
  </si>
  <si>
    <r>
      <t>12</t>
    </r>
    <r>
      <rPr>
        <sz val="9"/>
        <color rgb="FF000000"/>
        <rFont val="Courier New"/>
        <family val="3"/>
      </rPr>
      <t xml:space="preserve"> </t>
    </r>
    <r>
      <rPr>
        <b/>
        <sz val="9"/>
        <color rgb="FF000000"/>
        <rFont val="Courier New"/>
        <family val="3"/>
      </rPr>
      <t>01</t>
    </r>
  </si>
  <si>
    <r>
      <t>11</t>
    </r>
    <r>
      <rPr>
        <sz val="9"/>
        <color rgb="FF000000"/>
        <rFont val="Courier New"/>
        <family val="3"/>
      </rPr>
      <t xml:space="preserve"> </t>
    </r>
    <r>
      <rPr>
        <b/>
        <sz val="9"/>
        <color rgb="FF000000"/>
        <rFont val="Courier New"/>
        <family val="3"/>
      </rPr>
      <t>62</t>
    </r>
  </si>
  <si>
    <r>
      <t>11</t>
    </r>
    <r>
      <rPr>
        <sz val="9"/>
        <color rgb="FF000000"/>
        <rFont val="Courier New"/>
        <family val="3"/>
      </rPr>
      <t xml:space="preserve"> </t>
    </r>
    <r>
      <rPr>
        <b/>
        <sz val="9"/>
        <color rgb="FF000000"/>
        <rFont val="Courier New"/>
        <family val="3"/>
      </rPr>
      <t>68</t>
    </r>
  </si>
  <si>
    <r>
      <t>139</t>
    </r>
    <r>
      <rPr>
        <sz val="9"/>
        <color rgb="FF000000"/>
        <rFont val="Courier New"/>
        <family val="3"/>
      </rPr>
      <t xml:space="preserve"> </t>
    </r>
    <r>
      <rPr>
        <b/>
        <sz val="9"/>
        <color rgb="FF000000"/>
        <rFont val="Courier New"/>
        <family val="3"/>
      </rPr>
      <t>44</t>
    </r>
  </si>
  <si>
    <r>
      <t>79</t>
    </r>
    <r>
      <rPr>
        <sz val="9"/>
        <color rgb="FF000000"/>
        <rFont val="Courier New"/>
        <family val="3"/>
      </rPr>
      <t xml:space="preserve"> </t>
    </r>
    <r>
      <rPr>
        <b/>
        <sz val="9"/>
        <color rgb="FF000000"/>
        <rFont val="Courier New"/>
        <family val="3"/>
      </rPr>
      <t>83</t>
    </r>
  </si>
  <si>
    <r>
      <t>94</t>
    </r>
    <r>
      <rPr>
        <sz val="9"/>
        <color rgb="FF000000"/>
        <rFont val="Courier New"/>
        <family val="3"/>
      </rPr>
      <t xml:space="preserve"> </t>
    </r>
    <r>
      <rPr>
        <b/>
        <sz val="9"/>
        <color rgb="FF000000"/>
        <rFont val="Courier New"/>
        <family val="3"/>
      </rPr>
      <t>84</t>
    </r>
  </si>
  <si>
    <r>
      <t>54</t>
    </r>
    <r>
      <rPr>
        <sz val="9"/>
        <color rgb="FF000000"/>
        <rFont val="Courier New"/>
        <family val="3"/>
      </rPr>
      <t xml:space="preserve"> </t>
    </r>
    <r>
      <rPr>
        <b/>
        <sz val="9"/>
        <color rgb="FF000000"/>
        <rFont val="Courier New"/>
        <family val="3"/>
      </rPr>
      <t>30</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</si>
  <si>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03</t>
    </r>
    <r>
      <rPr>
        <sz val="8.5"/>
        <color rgb="FF000000"/>
        <rFont val="Courier New"/>
        <family val="3"/>
      </rPr>
      <t xml:space="preserve"> </t>
    </r>
    <r>
      <rPr>
        <sz val="8.5"/>
        <color rgb="FF000000"/>
        <rFont val="宋体"/>
        <family val="3"/>
        <charset val="134"/>
      </rPr>
      <t>号</t>
    </r>
  </si>
  <si>
    <r>
      <t>118</t>
    </r>
    <r>
      <rPr>
        <sz val="9"/>
        <color rgb="FF000000"/>
        <rFont val="Courier New"/>
        <family val="3"/>
      </rPr>
      <t xml:space="preserve"> </t>
    </r>
    <r>
      <rPr>
        <b/>
        <sz val="9"/>
        <color rgb="FF000000"/>
        <rFont val="Courier New"/>
        <family val="3"/>
      </rPr>
      <t>94</t>
    </r>
  </si>
  <si>
    <r>
      <t>68</t>
    </r>
    <r>
      <rPr>
        <sz val="9"/>
        <color rgb="FF000000"/>
        <rFont val="Courier New"/>
        <family val="3"/>
      </rPr>
      <t xml:space="preserve"> </t>
    </r>
    <r>
      <rPr>
        <b/>
        <sz val="9"/>
        <color rgb="FF000000"/>
        <rFont val="Courier New"/>
        <family val="3"/>
      </rPr>
      <t>09</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</si>
  <si>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04</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</si>
  <si>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05</t>
    </r>
    <r>
      <rPr>
        <sz val="9"/>
        <color rgb="FF000000"/>
        <rFont val="Courier New"/>
        <family val="3"/>
      </rPr>
      <t xml:space="preserve"> </t>
    </r>
    <r>
      <rPr>
        <sz val="9"/>
        <color rgb="FF000000"/>
        <rFont val="宋体"/>
        <family val="3"/>
        <charset val="134"/>
      </rPr>
      <t>号</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</si>
  <si>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06</t>
    </r>
    <r>
      <rPr>
        <sz val="9"/>
        <color rgb="FF000000"/>
        <rFont val="Courier New"/>
        <family val="3"/>
      </rPr>
      <t xml:space="preserve"> </t>
    </r>
    <r>
      <rPr>
        <sz val="9"/>
        <color rgb="FF000000"/>
        <rFont val="宋体"/>
        <family val="3"/>
        <charset val="134"/>
      </rPr>
      <t>号</t>
    </r>
  </si>
  <si>
    <r>
      <t>139</t>
    </r>
    <r>
      <rPr>
        <sz val="9"/>
        <color rgb="FF000000"/>
        <rFont val="Courier New"/>
        <family val="3"/>
      </rPr>
      <t xml:space="preserve"> </t>
    </r>
    <r>
      <rPr>
        <b/>
        <sz val="9"/>
        <color rgb="FF000000"/>
        <rFont val="Courier New"/>
        <family val="3"/>
      </rPr>
      <t>01</t>
    </r>
  </si>
  <si>
    <r>
      <t>79</t>
    </r>
    <r>
      <rPr>
        <sz val="9"/>
        <color rgb="FF000000"/>
        <rFont val="Courier New"/>
        <family val="3"/>
      </rPr>
      <t xml:space="preserve"> </t>
    </r>
    <r>
      <rPr>
        <b/>
        <sz val="9"/>
        <color rgb="FF000000"/>
        <rFont val="Courier New"/>
        <family val="3"/>
      </rPr>
      <t>58</t>
    </r>
  </si>
  <si>
    <r>
      <t>94</t>
    </r>
    <r>
      <rPr>
        <sz val="9"/>
        <color rgb="FF000000"/>
        <rFont val="Courier New"/>
        <family val="3"/>
      </rPr>
      <t xml:space="preserve"> </t>
    </r>
    <r>
      <rPr>
        <b/>
        <sz val="9"/>
        <color rgb="FF000000"/>
        <rFont val="Courier New"/>
        <family val="3"/>
      </rPr>
      <t>77</t>
    </r>
  </si>
  <si>
    <r>
      <t>54</t>
    </r>
    <r>
      <rPr>
        <sz val="9"/>
        <color rgb="FF000000"/>
        <rFont val="Courier New"/>
        <family val="3"/>
      </rPr>
      <t xml:space="preserve"> </t>
    </r>
    <r>
      <rPr>
        <b/>
        <sz val="9"/>
        <color rgb="FF000000"/>
        <rFont val="Courier New"/>
        <family val="3"/>
      </rPr>
      <t>26</t>
    </r>
  </si>
  <si>
    <r>
      <t>118</t>
    </r>
    <r>
      <rPr>
        <sz val="9"/>
        <color rgb="FF000000"/>
        <rFont val="Courier New"/>
        <family val="3"/>
      </rPr>
      <t xml:space="preserve"> </t>
    </r>
    <r>
      <rPr>
        <b/>
        <sz val="9"/>
        <color rgb="FF000000"/>
        <rFont val="Courier New"/>
        <family val="3"/>
      </rPr>
      <t>5</t>
    </r>
  </si>
  <si>
    <r>
      <t>67</t>
    </r>
    <r>
      <rPr>
        <sz val="9"/>
        <color rgb="FF000000"/>
        <rFont val="Courier New"/>
        <family val="3"/>
      </rPr>
      <t xml:space="preserve"> </t>
    </r>
    <r>
      <rPr>
        <b/>
        <sz val="9"/>
        <color rgb="FF000000"/>
        <rFont val="Courier New"/>
        <family val="3"/>
      </rPr>
      <t>87</t>
    </r>
  </si>
  <si>
    <r>
      <t>1</t>
    </r>
    <r>
      <rPr>
        <sz val="8"/>
        <color rgb="FF000000"/>
        <rFont val="Courier New"/>
        <family val="3"/>
      </rPr>
      <t xml:space="preserve"> </t>
    </r>
    <r>
      <rPr>
        <sz val="8"/>
        <color rgb="FF000000"/>
        <rFont val="宋体"/>
        <family val="3"/>
        <charset val="134"/>
      </rPr>
      <t xml:space="preserve">单元 </t>
    </r>
    <r>
      <rPr>
        <b/>
        <sz val="8"/>
        <color rgb="FF000000"/>
        <rFont val="Courier New"/>
        <family val="3"/>
      </rPr>
      <t>4</t>
    </r>
    <r>
      <rPr>
        <sz val="8"/>
        <color rgb="FF000000"/>
        <rFont val="Courier New"/>
        <family val="3"/>
      </rPr>
      <t xml:space="preserve"> </t>
    </r>
    <r>
      <rPr>
        <sz val="8"/>
        <color rgb="FF000000"/>
        <rFont val="宋体"/>
        <family val="3"/>
        <charset val="134"/>
      </rPr>
      <t xml:space="preserve">层 </t>
    </r>
    <r>
      <rPr>
        <b/>
        <sz val="8"/>
        <color rgb="FF000000"/>
        <rFont val="Courier New"/>
        <family val="3"/>
      </rPr>
      <t>03</t>
    </r>
    <r>
      <rPr>
        <sz val="8"/>
        <color rgb="FF000000"/>
        <rFont val="Courier New"/>
        <family val="3"/>
      </rPr>
      <t xml:space="preserve"> </t>
    </r>
    <r>
      <rPr>
        <sz val="8"/>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</si>
  <si>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5</t>
    </r>
    <r>
      <rPr>
        <sz val="8.5"/>
        <color rgb="FF000000"/>
        <rFont val="Courier New"/>
        <family val="3"/>
      </rPr>
      <t xml:space="preserve"> </t>
    </r>
    <r>
      <rPr>
        <sz val="8.5"/>
        <color rgb="FF000000"/>
        <rFont val="宋体"/>
        <family val="3"/>
        <charset val="134"/>
      </rPr>
      <t xml:space="preserve">层 </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</si>
  <si>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5</t>
    </r>
    <r>
      <rPr>
        <sz val="8.5"/>
        <color rgb="FF000000"/>
        <rFont val="Courier New"/>
        <family val="3"/>
      </rPr>
      <t xml:space="preserve"> </t>
    </r>
    <r>
      <rPr>
        <sz val="8.5"/>
        <color rgb="FF000000"/>
        <rFont val="宋体"/>
        <family val="3"/>
        <charset val="134"/>
      </rPr>
      <t xml:space="preserve">层 </t>
    </r>
    <r>
      <rPr>
        <b/>
        <sz val="8.5"/>
        <color rgb="FF000000"/>
        <rFont val="Courier New"/>
        <family val="3"/>
      </rPr>
      <t>06</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</si>
  <si>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6</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</si>
  <si>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11</t>
    </r>
    <r>
      <rPr>
        <sz val="9"/>
        <color rgb="FF000000"/>
        <rFont val="Courier New"/>
        <family val="3"/>
      </rPr>
      <t xml:space="preserve"> </t>
    </r>
    <r>
      <rPr>
        <sz val="9"/>
        <color rgb="FF000000"/>
        <rFont val="宋体"/>
        <family val="3"/>
        <charset val="134"/>
      </rPr>
      <t>层</t>
    </r>
    <r>
      <rPr>
        <b/>
        <sz val="9"/>
        <color rgb="FF000000"/>
        <rFont val="Courier New"/>
        <family val="3"/>
      </rPr>
      <t>04</t>
    </r>
    <r>
      <rPr>
        <sz val="9"/>
        <color rgb="FF000000"/>
        <rFont val="Courier New"/>
        <family val="3"/>
      </rPr>
      <t xml:space="preserve"> </t>
    </r>
    <r>
      <rPr>
        <sz val="9"/>
        <color rgb="FF000000"/>
        <rFont val="宋体"/>
        <family val="3"/>
        <charset val="134"/>
      </rPr>
      <t>号</t>
    </r>
  </si>
  <si>
    <r>
      <t>2</t>
    </r>
    <r>
      <rPr>
        <sz val="8"/>
        <color rgb="FF000000"/>
        <rFont val="Courier New"/>
        <family val="3"/>
      </rPr>
      <t xml:space="preserve"> </t>
    </r>
    <r>
      <rPr>
        <sz val="8"/>
        <color rgb="FF000000"/>
        <rFont val="宋体"/>
        <family val="3"/>
        <charset val="134"/>
      </rPr>
      <t xml:space="preserve">单元 </t>
    </r>
    <r>
      <rPr>
        <b/>
        <sz val="8"/>
        <color rgb="FF000000"/>
        <rFont val="Courier New"/>
        <family val="3"/>
      </rPr>
      <t>13</t>
    </r>
    <r>
      <rPr>
        <sz val="8"/>
        <color rgb="FF000000"/>
        <rFont val="Courier New"/>
        <family val="3"/>
      </rPr>
      <t xml:space="preserve"> </t>
    </r>
    <r>
      <rPr>
        <sz val="8"/>
        <color rgb="FF000000"/>
        <rFont val="宋体"/>
        <family val="3"/>
        <charset val="134"/>
      </rPr>
      <t>层</t>
    </r>
    <r>
      <rPr>
        <b/>
        <sz val="8"/>
        <color rgb="FF000000"/>
        <rFont val="Courier New"/>
        <family val="3"/>
      </rPr>
      <t>04</t>
    </r>
    <r>
      <rPr>
        <sz val="8"/>
        <color rgb="FF000000"/>
        <rFont val="Courier New"/>
        <family val="3"/>
      </rPr>
      <t xml:space="preserve"> </t>
    </r>
    <r>
      <rPr>
        <sz val="8"/>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</si>
  <si>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14</t>
    </r>
    <r>
      <rPr>
        <sz val="8.5"/>
        <color rgb="FF000000"/>
        <rFont val="Courier New"/>
        <family val="3"/>
      </rPr>
      <t xml:space="preserve"> </t>
    </r>
    <r>
      <rPr>
        <sz val="8.5"/>
        <color rgb="FF000000"/>
        <rFont val="宋体"/>
        <family val="3"/>
        <charset val="134"/>
      </rPr>
      <t>层</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</si>
  <si>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14</t>
    </r>
    <r>
      <rPr>
        <sz val="8.5"/>
        <color rgb="FF000000"/>
        <rFont val="Courier New"/>
        <family val="3"/>
      </rPr>
      <t xml:space="preserve"> </t>
    </r>
    <r>
      <rPr>
        <sz val="8.5"/>
        <color rgb="FF000000"/>
        <rFont val="宋体"/>
        <family val="3"/>
        <charset val="134"/>
      </rPr>
      <t>层</t>
    </r>
    <r>
      <rPr>
        <b/>
        <sz val="8.5"/>
        <color rgb="FF000000"/>
        <rFont val="Courier New"/>
        <family val="3"/>
      </rPr>
      <t>06</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</si>
  <si>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15</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</si>
  <si>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1</t>
    </r>
    <r>
      <rPr>
        <sz val="8"/>
        <color rgb="FF000000"/>
        <rFont val="Courier New"/>
        <family val="3"/>
      </rPr>
      <t xml:space="preserve"> </t>
    </r>
    <r>
      <rPr>
        <sz val="8"/>
        <color rgb="FF000000"/>
        <rFont val="宋体"/>
        <family val="3"/>
        <charset val="134"/>
      </rPr>
      <t xml:space="preserve">单元 </t>
    </r>
    <r>
      <rPr>
        <b/>
        <sz val="8"/>
        <color rgb="FF000000"/>
        <rFont val="Courier New"/>
        <family val="3"/>
      </rPr>
      <t>15</t>
    </r>
    <r>
      <rPr>
        <sz val="8"/>
        <color rgb="FF000000"/>
        <rFont val="Courier New"/>
        <family val="3"/>
      </rPr>
      <t xml:space="preserve"> </t>
    </r>
    <r>
      <rPr>
        <sz val="8"/>
        <color rgb="FF000000"/>
        <rFont val="宋体"/>
        <family val="3"/>
        <charset val="134"/>
      </rPr>
      <t>层</t>
    </r>
    <r>
      <rPr>
        <b/>
        <sz val="8"/>
        <color rgb="FF000000"/>
        <rFont val="Courier New"/>
        <family val="3"/>
      </rPr>
      <t>02</t>
    </r>
    <r>
      <rPr>
        <sz val="8"/>
        <color rgb="FF000000"/>
        <rFont val="Courier New"/>
        <family val="3"/>
      </rPr>
      <t xml:space="preserve"> </t>
    </r>
    <r>
      <rPr>
        <sz val="8"/>
        <color rgb="FF000000"/>
        <rFont val="宋体"/>
        <family val="3"/>
        <charset val="134"/>
      </rPr>
      <t>号</t>
    </r>
  </si>
  <si>
    <r>
      <t>2</t>
    </r>
    <r>
      <rPr>
        <sz val="9"/>
        <color rgb="FF000000"/>
        <rFont val="Courier New"/>
        <family val="3"/>
      </rPr>
      <t xml:space="preserve"> </t>
    </r>
    <r>
      <rPr>
        <sz val="9"/>
        <color rgb="FF000000"/>
        <rFont val="宋体"/>
        <family val="3"/>
        <charset val="134"/>
      </rPr>
      <t xml:space="preserve">单元 </t>
    </r>
    <r>
      <rPr>
        <b/>
        <sz val="9"/>
        <color rgb="FF000000"/>
        <rFont val="Courier New"/>
        <family val="3"/>
      </rPr>
      <t>20</t>
    </r>
    <r>
      <rPr>
        <sz val="9"/>
        <color rgb="FF000000"/>
        <rFont val="Courier New"/>
        <family val="3"/>
      </rPr>
      <t xml:space="preserve"> </t>
    </r>
    <r>
      <rPr>
        <sz val="9"/>
        <color rgb="FF000000"/>
        <rFont val="宋体"/>
        <family val="3"/>
        <charset val="134"/>
      </rPr>
      <t>层</t>
    </r>
    <r>
      <rPr>
        <b/>
        <sz val="9"/>
        <color rgb="FF000000"/>
        <rFont val="Courier New"/>
        <family val="3"/>
      </rPr>
      <t>05</t>
    </r>
    <r>
      <rPr>
        <sz val="9"/>
        <color rgb="FF000000"/>
        <rFont val="Courier New"/>
        <family val="3"/>
      </rPr>
      <t xml:space="preserve"> </t>
    </r>
    <r>
      <rPr>
        <sz val="9"/>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</si>
  <si>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22</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</si>
  <si>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2</t>
    </r>
    <r>
      <rPr>
        <sz val="8"/>
        <color rgb="FF000000"/>
        <rFont val="Courier New"/>
        <family val="3"/>
      </rPr>
      <t xml:space="preserve"> </t>
    </r>
    <r>
      <rPr>
        <sz val="8"/>
        <color rgb="FF000000"/>
        <rFont val="宋体"/>
        <family val="3"/>
        <charset val="134"/>
      </rPr>
      <t xml:space="preserve">单元 </t>
    </r>
    <r>
      <rPr>
        <b/>
        <sz val="8"/>
        <color rgb="FF000000"/>
        <rFont val="Courier New"/>
        <family val="3"/>
      </rPr>
      <t>22</t>
    </r>
    <r>
      <rPr>
        <sz val="8"/>
        <color rgb="FF000000"/>
        <rFont val="Courier New"/>
        <family val="3"/>
      </rPr>
      <t xml:space="preserve"> </t>
    </r>
    <r>
      <rPr>
        <sz val="8"/>
        <color rgb="FF000000"/>
        <rFont val="宋体"/>
        <family val="3"/>
        <charset val="134"/>
      </rPr>
      <t>层</t>
    </r>
    <r>
      <rPr>
        <b/>
        <sz val="8"/>
        <color rgb="FF000000"/>
        <rFont val="Courier New"/>
        <family val="3"/>
      </rPr>
      <t>04</t>
    </r>
    <r>
      <rPr>
        <sz val="8"/>
        <color rgb="FF000000"/>
        <rFont val="Courier New"/>
        <family val="3"/>
      </rPr>
      <t xml:space="preserve"> </t>
    </r>
    <r>
      <rPr>
        <sz val="8"/>
        <color rgb="FF000000"/>
        <rFont val="宋体"/>
        <family val="3"/>
        <charset val="134"/>
      </rPr>
      <t>号</t>
    </r>
  </si>
  <si>
    <r>
      <t>2</t>
    </r>
    <r>
      <rPr>
        <sz val="8"/>
        <color rgb="FF000000"/>
        <rFont val="Courier New"/>
        <family val="3"/>
      </rPr>
      <t xml:space="preserve"> </t>
    </r>
    <r>
      <rPr>
        <sz val="8"/>
        <color rgb="FF000000"/>
        <rFont val="宋体"/>
        <family val="3"/>
        <charset val="134"/>
      </rPr>
      <t xml:space="preserve">单元 </t>
    </r>
    <r>
      <rPr>
        <b/>
        <sz val="8"/>
        <color rgb="FF000000"/>
        <rFont val="Courier New"/>
        <family val="3"/>
      </rPr>
      <t>22</t>
    </r>
    <r>
      <rPr>
        <sz val="8"/>
        <color rgb="FF000000"/>
        <rFont val="Courier New"/>
        <family val="3"/>
      </rPr>
      <t xml:space="preserve"> </t>
    </r>
    <r>
      <rPr>
        <sz val="8"/>
        <color rgb="FF000000"/>
        <rFont val="宋体"/>
        <family val="3"/>
        <charset val="134"/>
      </rPr>
      <t>层</t>
    </r>
    <r>
      <rPr>
        <b/>
        <sz val="8"/>
        <color rgb="FF000000"/>
        <rFont val="Courier New"/>
        <family val="3"/>
      </rPr>
      <t>05</t>
    </r>
    <r>
      <rPr>
        <sz val="8"/>
        <color rgb="FF000000"/>
        <rFont val="Courier New"/>
        <family val="3"/>
      </rPr>
      <t xml:space="preserve"> </t>
    </r>
    <r>
      <rPr>
        <sz val="8"/>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</si>
  <si>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23</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</si>
  <si>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23</t>
    </r>
    <r>
      <rPr>
        <sz val="8.5"/>
        <color rgb="FF000000"/>
        <rFont val="Courier New"/>
        <family val="3"/>
      </rPr>
      <t xml:space="preserve"> </t>
    </r>
    <r>
      <rPr>
        <sz val="8.5"/>
        <color rgb="FF000000"/>
        <rFont val="宋体"/>
        <family val="3"/>
        <charset val="134"/>
      </rPr>
      <t>层</t>
    </r>
    <r>
      <rPr>
        <b/>
        <sz val="8.5"/>
        <color rgb="FF000000"/>
        <rFont val="Courier New"/>
        <family val="3"/>
      </rPr>
      <t>06</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</si>
  <si>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24</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</si>
  <si>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24</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</si>
  <si>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1</t>
    </r>
    <r>
      <rPr>
        <sz val="8"/>
        <color rgb="FF000000"/>
        <rFont val="Courier New"/>
        <family val="3"/>
      </rPr>
      <t xml:space="preserve"> </t>
    </r>
    <r>
      <rPr>
        <sz val="8"/>
        <color rgb="FF000000"/>
        <rFont val="宋体"/>
        <family val="3"/>
        <charset val="134"/>
      </rPr>
      <t xml:space="preserve">单元 </t>
    </r>
    <r>
      <rPr>
        <b/>
        <sz val="8"/>
        <color rgb="FF000000"/>
        <rFont val="Courier New"/>
        <family val="3"/>
      </rPr>
      <t>24</t>
    </r>
    <r>
      <rPr>
        <sz val="8"/>
        <color rgb="FF000000"/>
        <rFont val="Courier New"/>
        <family val="3"/>
      </rPr>
      <t xml:space="preserve"> </t>
    </r>
    <r>
      <rPr>
        <sz val="8"/>
        <color rgb="FF000000"/>
        <rFont val="宋体"/>
        <family val="3"/>
        <charset val="134"/>
      </rPr>
      <t>层</t>
    </r>
    <r>
      <rPr>
        <b/>
        <sz val="8"/>
        <color rgb="FF000000"/>
        <rFont val="Courier New"/>
        <family val="3"/>
      </rPr>
      <t>03</t>
    </r>
    <r>
      <rPr>
        <sz val="8"/>
        <color rgb="FF000000"/>
        <rFont val="Courier New"/>
        <family val="3"/>
      </rPr>
      <t xml:space="preserve"> </t>
    </r>
    <r>
      <rPr>
        <sz val="8"/>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</si>
  <si>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24</t>
    </r>
    <r>
      <rPr>
        <sz val="8.5"/>
        <color rgb="FF000000"/>
        <rFont val="Courier New"/>
        <family val="3"/>
      </rPr>
      <t xml:space="preserve"> </t>
    </r>
    <r>
      <rPr>
        <sz val="8.5"/>
        <color rgb="FF000000"/>
        <rFont val="宋体"/>
        <family val="3"/>
        <charset val="134"/>
      </rPr>
      <t>层</t>
    </r>
    <r>
      <rPr>
        <b/>
        <sz val="8.5"/>
        <color rgb="FF000000"/>
        <rFont val="Courier New"/>
        <family val="3"/>
      </rPr>
      <t>06</t>
    </r>
    <r>
      <rPr>
        <sz val="8.5"/>
        <color rgb="FF000000"/>
        <rFont val="Courier New"/>
        <family val="3"/>
      </rPr>
      <t xml:space="preserve"> </t>
    </r>
    <r>
      <rPr>
        <sz val="8.5"/>
        <color rgb="FF000000"/>
        <rFont val="宋体"/>
        <family val="3"/>
        <charset val="134"/>
      </rPr>
      <t>号</t>
    </r>
  </si>
  <si>
    <r>
      <t>21082.</t>
    </r>
    <r>
      <rPr>
        <sz val="9"/>
        <color rgb="FF000000"/>
        <rFont val="Courier New"/>
        <family val="3"/>
      </rPr>
      <t xml:space="preserve"> </t>
    </r>
    <r>
      <rPr>
        <b/>
        <sz val="9"/>
        <color rgb="FF000000"/>
        <rFont val="Courier New"/>
        <family val="3"/>
      </rPr>
      <t>09</t>
    </r>
  </si>
  <si>
    <r>
      <t>11569.</t>
    </r>
    <r>
      <rPr>
        <sz val="9"/>
        <color rgb="FF000000"/>
        <rFont val="Courier New"/>
        <family val="3"/>
      </rPr>
      <t xml:space="preserve"> </t>
    </r>
    <r>
      <rPr>
        <b/>
        <sz val="9"/>
        <color rgb="FF000000"/>
        <rFont val="Courier New"/>
        <family val="3"/>
      </rPr>
      <t>51</t>
    </r>
  </si>
  <si>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14</t>
    </r>
    <r>
      <rPr>
        <sz val="10.5"/>
        <color rgb="FF000000"/>
        <rFont val="Courier New"/>
        <family val="3"/>
      </rPr>
      <t xml:space="preserve"> </t>
    </r>
    <r>
      <rPr>
        <sz val="10.5"/>
        <color rgb="FF000000"/>
        <rFont val="宋体"/>
        <family val="3"/>
        <charset val="134"/>
      </rPr>
      <t>号楼</t>
    </r>
  </si>
  <si>
    <r>
      <t>30.</t>
    </r>
    <r>
      <rPr>
        <sz val="9"/>
        <color rgb="FF000000"/>
        <rFont val="Courier New"/>
        <family val="3"/>
      </rPr>
      <t xml:space="preserve"> </t>
    </r>
    <r>
      <rPr>
        <b/>
        <sz val="9"/>
        <color rgb="FF000000"/>
        <rFont val="Courier New"/>
        <family val="3"/>
      </rPr>
      <t>88</t>
    </r>
  </si>
  <si>
    <r>
      <t>3.</t>
    </r>
    <r>
      <rPr>
        <sz val="8.5"/>
        <color rgb="FF000000"/>
        <rFont val="Courier New"/>
        <family val="3"/>
      </rPr>
      <t xml:space="preserve"> </t>
    </r>
    <r>
      <rPr>
        <b/>
        <sz val="8.5"/>
        <color rgb="FF000000"/>
        <rFont val="Courier New"/>
        <family val="3"/>
      </rPr>
      <t>64</t>
    </r>
  </si>
  <si>
    <r>
      <t>14.</t>
    </r>
    <r>
      <rPr>
        <sz val="9"/>
        <color rgb="FF000000"/>
        <rFont val="Courier New"/>
        <family val="3"/>
      </rPr>
      <t xml:space="preserve"> </t>
    </r>
    <r>
      <rPr>
        <b/>
        <sz val="9"/>
        <color rgb="FF000000"/>
        <rFont val="Courier New"/>
        <family val="3"/>
      </rPr>
      <t>77</t>
    </r>
  </si>
  <si>
    <r>
      <t>14.</t>
    </r>
    <r>
      <rPr>
        <sz val="9"/>
        <color rgb="FF000000"/>
        <rFont val="Courier New"/>
        <family val="3"/>
      </rPr>
      <t xml:space="preserve"> </t>
    </r>
    <r>
      <rPr>
        <b/>
        <sz val="9"/>
        <color rgb="FF000000"/>
        <rFont val="Courier New"/>
        <family val="3"/>
      </rPr>
      <t>28</t>
    </r>
  </si>
  <si>
    <r>
      <t>11</t>
    </r>
    <r>
      <rPr>
        <sz val="9"/>
        <color rgb="FF000000"/>
        <rFont val="Courier New"/>
        <family val="3"/>
      </rPr>
      <t xml:space="preserve"> </t>
    </r>
    <r>
      <rPr>
        <b/>
        <sz val="9"/>
        <color rgb="FF000000"/>
        <rFont val="Courier New"/>
        <family val="3"/>
      </rPr>
      <t>88</t>
    </r>
  </si>
  <si>
    <r>
      <t>12.</t>
    </r>
    <r>
      <rPr>
        <sz val="9"/>
        <color rgb="FF000000"/>
        <rFont val="Courier New"/>
        <family val="3"/>
      </rPr>
      <t xml:space="preserve"> </t>
    </r>
    <r>
      <rPr>
        <b/>
        <sz val="9"/>
        <color rgb="FF000000"/>
        <rFont val="Courier New"/>
        <family val="3"/>
      </rPr>
      <t>39</t>
    </r>
  </si>
  <si>
    <r>
      <t>17.</t>
    </r>
    <r>
      <rPr>
        <sz val="9"/>
        <color rgb="FF000000"/>
        <rFont val="Courier New"/>
        <family val="3"/>
      </rPr>
      <t xml:space="preserve"> </t>
    </r>
    <r>
      <rPr>
        <b/>
        <sz val="9"/>
        <color rgb="FF000000"/>
        <rFont val="Courier New"/>
        <family val="3"/>
      </rPr>
      <t>99</t>
    </r>
  </si>
  <si>
    <r>
      <t>17.</t>
    </r>
    <r>
      <rPr>
        <sz val="9"/>
        <color rgb="FF000000"/>
        <rFont val="Courier New"/>
        <family val="3"/>
      </rPr>
      <t xml:space="preserve"> </t>
    </r>
    <r>
      <rPr>
        <b/>
        <sz val="9"/>
        <color rgb="FF000000"/>
        <rFont val="Courier New"/>
        <family val="3"/>
      </rPr>
      <t>30</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</si>
  <si>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54</t>
    </r>
  </si>
  <si>
    <r>
      <t>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64</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</si>
  <si>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30</t>
    </r>
  </si>
  <si>
    <r>
      <t>25.</t>
    </r>
    <r>
      <rPr>
        <sz val="9"/>
        <color rgb="FF000000"/>
        <rFont val="Courier New"/>
        <family val="3"/>
      </rPr>
      <t xml:space="preserve"> </t>
    </r>
    <r>
      <rPr>
        <b/>
        <sz val="9"/>
        <color rgb="FF000000"/>
        <rFont val="Courier New"/>
        <family val="3"/>
      </rPr>
      <t>84</t>
    </r>
  </si>
  <si>
    <r>
      <t>17</t>
    </r>
    <r>
      <rPr>
        <sz val="9"/>
        <color rgb="FF000000"/>
        <rFont val="Courier New"/>
        <family val="3"/>
      </rPr>
      <t xml:space="preserve"> </t>
    </r>
    <r>
      <rPr>
        <b/>
        <sz val="9"/>
        <color rgb="FF000000"/>
        <rFont val="Courier New"/>
        <family val="3"/>
      </rPr>
      <t>13</t>
    </r>
  </si>
  <si>
    <r>
      <t>17.</t>
    </r>
    <r>
      <rPr>
        <sz val="9"/>
        <color rgb="FF000000"/>
        <rFont val="Courier New"/>
        <family val="3"/>
      </rPr>
      <t xml:space="preserve"> </t>
    </r>
    <r>
      <rPr>
        <b/>
        <sz val="9"/>
        <color rgb="FF000000"/>
        <rFont val="Courier New"/>
        <family val="3"/>
      </rPr>
      <t>52</t>
    </r>
  </si>
  <si>
    <r>
      <t>15.</t>
    </r>
    <r>
      <rPr>
        <sz val="9"/>
        <color rgb="FF000000"/>
        <rFont val="Courier New"/>
        <family val="3"/>
      </rPr>
      <t xml:space="preserve"> </t>
    </r>
    <r>
      <rPr>
        <b/>
        <sz val="9"/>
        <color rgb="FF000000"/>
        <rFont val="Courier New"/>
        <family val="3"/>
      </rPr>
      <t>22</t>
    </r>
  </si>
  <si>
    <r>
      <t>14</t>
    </r>
    <r>
      <rPr>
        <sz val="9"/>
        <color rgb="FF000000"/>
        <rFont val="Courier New"/>
        <family val="3"/>
      </rPr>
      <t xml:space="preserve"> </t>
    </r>
    <r>
      <rPr>
        <b/>
        <sz val="9"/>
        <color rgb="FF000000"/>
        <rFont val="Courier New"/>
        <family val="3"/>
      </rPr>
      <t>18</t>
    </r>
  </si>
  <si>
    <r>
      <t>12.</t>
    </r>
    <r>
      <rPr>
        <sz val="9"/>
        <color rgb="FF000000"/>
        <rFont val="Courier New"/>
        <family val="3"/>
      </rPr>
      <t xml:space="preserve"> </t>
    </r>
    <r>
      <rPr>
        <b/>
        <sz val="9"/>
        <color rgb="FF000000"/>
        <rFont val="Courier New"/>
        <family val="3"/>
      </rPr>
      <t>24</t>
    </r>
  </si>
  <si>
    <r>
      <t>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92</t>
    </r>
  </si>
  <si>
    <r>
      <t>10.</t>
    </r>
    <r>
      <rPr>
        <sz val="9"/>
        <color rgb="FF000000"/>
        <rFont val="Courier New"/>
        <family val="3"/>
      </rPr>
      <t xml:space="preserve"> </t>
    </r>
    <r>
      <rPr>
        <b/>
        <sz val="9"/>
        <color rgb="FF000000"/>
        <rFont val="Courier New"/>
        <family val="3"/>
      </rPr>
      <t>98</t>
    </r>
  </si>
  <si>
    <r>
      <t>24.</t>
    </r>
    <r>
      <rPr>
        <sz val="9"/>
        <color rgb="FF000000"/>
        <rFont val="Courier New"/>
        <family val="3"/>
      </rPr>
      <t xml:space="preserve"> </t>
    </r>
    <r>
      <rPr>
        <b/>
        <sz val="9"/>
        <color rgb="FF000000"/>
        <rFont val="Courier New"/>
        <family val="3"/>
      </rPr>
      <t>39</t>
    </r>
  </si>
  <si>
    <r>
      <t>12</t>
    </r>
    <r>
      <rPr>
        <sz val="9"/>
        <color rgb="FF000000"/>
        <rFont val="Courier New"/>
        <family val="3"/>
      </rPr>
      <t xml:space="preserve"> </t>
    </r>
    <r>
      <rPr>
        <b/>
        <sz val="9"/>
        <color rgb="FF000000"/>
        <rFont val="Courier New"/>
        <family val="3"/>
      </rPr>
      <t>15</t>
    </r>
  </si>
  <si>
    <r>
      <t>11</t>
    </r>
    <r>
      <rPr>
        <sz val="9"/>
        <color rgb="FF000000"/>
        <rFont val="Courier New"/>
        <family val="3"/>
      </rPr>
      <t xml:space="preserve"> </t>
    </r>
    <r>
      <rPr>
        <b/>
        <sz val="9"/>
        <color rgb="FF000000"/>
        <rFont val="Courier New"/>
        <family val="3"/>
      </rPr>
      <t>.00</t>
    </r>
  </si>
  <si>
    <r>
      <t>21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31</t>
    </r>
  </si>
  <si>
    <r>
      <t>10</t>
    </r>
    <r>
      <rPr>
        <sz val="9"/>
        <color rgb="FF000000"/>
        <rFont val="Courier New"/>
        <family val="3"/>
      </rPr>
      <t xml:space="preserve"> </t>
    </r>
    <r>
      <rPr>
        <b/>
        <sz val="9"/>
        <color rgb="FF000000"/>
        <rFont val="Courier New"/>
        <family val="3"/>
      </rPr>
      <t>09</t>
    </r>
  </si>
  <si>
    <r>
      <t>17.</t>
    </r>
    <r>
      <rPr>
        <sz val="9"/>
        <color rgb="FF000000"/>
        <rFont val="Courier New"/>
        <family val="3"/>
      </rPr>
      <t xml:space="preserve"> </t>
    </r>
    <r>
      <rPr>
        <b/>
        <sz val="9"/>
        <color rgb="FF000000"/>
        <rFont val="Courier New"/>
        <family val="3"/>
      </rPr>
      <t>13</t>
    </r>
  </si>
  <si>
    <r>
      <t>5.</t>
    </r>
    <r>
      <rPr>
        <sz val="8.5"/>
        <color rgb="FF000000"/>
        <rFont val="Courier New"/>
        <family val="3"/>
      </rPr>
      <t xml:space="preserve"> </t>
    </r>
    <r>
      <rPr>
        <b/>
        <sz val="8.5"/>
        <color rgb="FF000000"/>
        <rFont val="Courier New"/>
        <family val="3"/>
      </rPr>
      <t>84</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</si>
  <si>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41</t>
    </r>
  </si>
  <si>
    <r>
      <t>10.</t>
    </r>
    <r>
      <rPr>
        <sz val="9"/>
        <color rgb="FF000000"/>
        <rFont val="Courier New"/>
        <family val="3"/>
      </rPr>
      <t xml:space="preserve"> </t>
    </r>
    <r>
      <rPr>
        <b/>
        <sz val="9"/>
        <color rgb="FF000000"/>
        <rFont val="Courier New"/>
        <family val="3"/>
      </rPr>
      <t>73</t>
    </r>
  </si>
  <si>
    <r>
      <t>10</t>
    </r>
    <r>
      <rPr>
        <sz val="9"/>
        <color rgb="FF000000"/>
        <rFont val="Courier New"/>
        <family val="3"/>
      </rPr>
      <t xml:space="preserve"> </t>
    </r>
    <r>
      <rPr>
        <b/>
        <sz val="9"/>
        <color rgb="FF000000"/>
        <rFont val="Courier New"/>
        <family val="3"/>
      </rPr>
      <t>45</t>
    </r>
  </si>
  <si>
    <r>
      <t>13.</t>
    </r>
    <r>
      <rPr>
        <sz val="9"/>
        <color rgb="FF000000"/>
        <rFont val="Courier New"/>
        <family val="3"/>
      </rPr>
      <t xml:space="preserve"> </t>
    </r>
    <r>
      <rPr>
        <b/>
        <sz val="9"/>
        <color rgb="FF000000"/>
        <rFont val="Courier New"/>
        <family val="3"/>
      </rPr>
      <t>52</t>
    </r>
  </si>
  <si>
    <r>
      <t>17</t>
    </r>
    <r>
      <rPr>
        <sz val="9"/>
        <color rgb="FF000000"/>
        <rFont val="Courier New"/>
        <family val="3"/>
      </rPr>
      <t xml:space="preserve"> </t>
    </r>
    <r>
      <rPr>
        <b/>
        <sz val="9"/>
        <color rgb="FF000000"/>
        <rFont val="Courier New"/>
        <family val="3"/>
      </rPr>
      <t>99</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</si>
  <si>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86</t>
    </r>
  </si>
  <si>
    <r>
      <t>4.</t>
    </r>
    <r>
      <rPr>
        <sz val="8.5"/>
        <color rgb="FF000000"/>
        <rFont val="Courier New"/>
        <family val="3"/>
      </rPr>
      <t xml:space="preserve"> </t>
    </r>
    <r>
      <rPr>
        <b/>
        <sz val="8.5"/>
        <color rgb="FF000000"/>
        <rFont val="Courier New"/>
        <family val="3"/>
      </rPr>
      <t>77</t>
    </r>
  </si>
  <si>
    <r>
      <t>13.</t>
    </r>
    <r>
      <rPr>
        <sz val="9"/>
        <color rgb="FF000000"/>
        <rFont val="Courier New"/>
        <family val="3"/>
      </rPr>
      <t xml:space="preserve"> </t>
    </r>
    <r>
      <rPr>
        <b/>
        <sz val="9"/>
        <color rgb="FF000000"/>
        <rFont val="Courier New"/>
        <family val="3"/>
      </rPr>
      <t>64</t>
    </r>
  </si>
  <si>
    <r>
      <t>30</t>
    </r>
    <r>
      <rPr>
        <sz val="9"/>
        <color rgb="FF000000"/>
        <rFont val="Courier New"/>
        <family val="3"/>
      </rPr>
      <t xml:space="preserve"> </t>
    </r>
    <r>
      <rPr>
        <b/>
        <sz val="9"/>
        <color rgb="FF000000"/>
        <rFont val="Courier New"/>
        <family val="3"/>
      </rPr>
      <t>88</t>
    </r>
  </si>
  <si>
    <r>
      <t>14.</t>
    </r>
    <r>
      <rPr>
        <sz val="9"/>
        <color rgb="FF000000"/>
        <rFont val="Courier New"/>
        <family val="3"/>
      </rPr>
      <t xml:space="preserve"> </t>
    </r>
    <r>
      <rPr>
        <b/>
        <sz val="9"/>
        <color rgb="FF000000"/>
        <rFont val="Courier New"/>
        <family val="3"/>
      </rPr>
      <t>60</t>
    </r>
  </si>
  <si>
    <r>
      <t>14.</t>
    </r>
    <r>
      <rPr>
        <sz val="9"/>
        <color rgb="FF000000"/>
        <rFont val="Courier New"/>
        <family val="3"/>
      </rPr>
      <t xml:space="preserve"> </t>
    </r>
    <r>
      <rPr>
        <b/>
        <sz val="9"/>
        <color rgb="FF000000"/>
        <rFont val="Courier New"/>
        <family val="3"/>
      </rPr>
      <t>13</t>
    </r>
  </si>
  <si>
    <r>
      <t>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86</t>
    </r>
  </si>
  <si>
    <r>
      <t>17</t>
    </r>
    <r>
      <rPr>
        <sz val="9"/>
        <color rgb="FF000000"/>
        <rFont val="Courier New"/>
        <family val="3"/>
      </rPr>
      <t xml:space="preserve"> </t>
    </r>
    <r>
      <rPr>
        <b/>
        <sz val="9"/>
        <color rgb="FF000000"/>
        <rFont val="Courier New"/>
        <family val="3"/>
      </rPr>
      <t>30</t>
    </r>
  </si>
  <si>
    <r>
      <t>10.</t>
    </r>
    <r>
      <rPr>
        <sz val="9"/>
        <color rgb="FF000000"/>
        <rFont val="Courier New"/>
        <family val="3"/>
      </rPr>
      <t xml:space="preserve"> </t>
    </r>
    <r>
      <rPr>
        <b/>
        <sz val="9"/>
        <color rgb="FF000000"/>
        <rFont val="Courier New"/>
        <family val="3"/>
      </rPr>
      <t>45</t>
    </r>
  </si>
  <si>
    <r>
      <t>13</t>
    </r>
    <r>
      <rPr>
        <sz val="9"/>
        <color rgb="FF000000"/>
        <rFont val="Courier New"/>
        <family val="3"/>
      </rPr>
      <t xml:space="preserve"> </t>
    </r>
    <r>
      <rPr>
        <b/>
        <sz val="9"/>
        <color rgb="FF000000"/>
        <rFont val="Courier New"/>
        <family val="3"/>
      </rPr>
      <t>52</t>
    </r>
  </si>
  <si>
    <r>
      <t>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79</t>
    </r>
  </si>
  <si>
    <r>
      <t>23.</t>
    </r>
    <r>
      <rPr>
        <sz val="9"/>
        <color rgb="FF000000"/>
        <rFont val="Courier New"/>
        <family val="3"/>
      </rPr>
      <t xml:space="preserve"> </t>
    </r>
    <r>
      <rPr>
        <b/>
        <sz val="9"/>
        <color rgb="FF000000"/>
        <rFont val="Courier New"/>
        <family val="3"/>
      </rPr>
      <t>16</t>
    </r>
  </si>
  <si>
    <r>
      <t>12</t>
    </r>
    <r>
      <rPr>
        <sz val="9"/>
        <color rgb="FF000000"/>
        <rFont val="Courier New"/>
        <family val="3"/>
      </rPr>
      <t xml:space="preserve"> </t>
    </r>
    <r>
      <rPr>
        <b/>
        <sz val="9"/>
        <color rgb="FF000000"/>
        <rFont val="Courier New"/>
        <family val="3"/>
      </rPr>
      <t>24</t>
    </r>
  </si>
  <si>
    <r>
      <t>10</t>
    </r>
    <r>
      <rPr>
        <sz val="9"/>
        <color rgb="FF000000"/>
        <rFont val="Courier New"/>
        <family val="3"/>
      </rPr>
      <t xml:space="preserve"> </t>
    </r>
    <r>
      <rPr>
        <b/>
        <sz val="9"/>
        <color rgb="FF000000"/>
        <rFont val="Courier New"/>
        <family val="3"/>
      </rPr>
      <t>98</t>
    </r>
  </si>
  <si>
    <r>
      <t>21</t>
    </r>
    <r>
      <rPr>
        <sz val="9"/>
        <color rgb="FF000000"/>
        <rFont val="Courier New"/>
        <family val="3"/>
      </rPr>
      <t xml:space="preserve"> </t>
    </r>
    <r>
      <rPr>
        <b/>
        <sz val="9"/>
        <color rgb="FF000000"/>
        <rFont val="Courier New"/>
        <family val="3"/>
      </rPr>
      <t>31</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</si>
  <si>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29</t>
    </r>
    <r>
      <rPr>
        <sz val="8.5"/>
        <color rgb="FF000000"/>
        <rFont val="Courier New"/>
        <family val="3"/>
      </rPr>
      <t xml:space="preserve"> </t>
    </r>
    <r>
      <rPr>
        <sz val="8.5"/>
        <color rgb="FF000000"/>
        <rFont val="宋体"/>
        <family val="3"/>
        <charset val="134"/>
      </rPr>
      <t>号</t>
    </r>
  </si>
  <si>
    <r>
      <t>23</t>
    </r>
    <r>
      <rPr>
        <sz val="9"/>
        <color rgb="FF000000"/>
        <rFont val="Courier New"/>
        <family val="3"/>
      </rPr>
      <t xml:space="preserve"> </t>
    </r>
    <r>
      <rPr>
        <b/>
        <sz val="9"/>
        <color rgb="FF000000"/>
        <rFont val="Courier New"/>
        <family val="3"/>
      </rPr>
      <t>16</t>
    </r>
  </si>
  <si>
    <r>
      <t>25</t>
    </r>
    <r>
      <rPr>
        <sz val="9"/>
        <color rgb="FF000000"/>
        <rFont val="Courier New"/>
        <family val="3"/>
      </rPr>
      <t xml:space="preserve"> </t>
    </r>
    <r>
      <rPr>
        <b/>
        <sz val="9"/>
        <color rgb="FF000000"/>
        <rFont val="Courier New"/>
        <family val="3"/>
      </rPr>
      <t>84</t>
    </r>
  </si>
  <si>
    <r>
      <t>11</t>
    </r>
    <r>
      <rPr>
        <sz val="9"/>
        <color rgb="FF000000"/>
        <rFont val="Courier New"/>
        <family val="3"/>
      </rPr>
      <t xml:space="preserve"> </t>
    </r>
    <r>
      <rPr>
        <b/>
        <sz val="9"/>
        <color rgb="FF000000"/>
        <rFont val="Courier New"/>
        <family val="3"/>
      </rPr>
      <t>79</t>
    </r>
  </si>
  <si>
    <r>
      <t>10</t>
    </r>
    <r>
      <rPr>
        <sz val="9"/>
        <color rgb="FF000000"/>
        <rFont val="Courier New"/>
        <family val="3"/>
      </rPr>
      <t xml:space="preserve"> </t>
    </r>
    <r>
      <rPr>
        <b/>
        <sz val="9"/>
        <color rgb="FF000000"/>
        <rFont val="Courier New"/>
        <family val="3"/>
      </rPr>
      <t>73</t>
    </r>
  </si>
  <si>
    <r>
      <t>12</t>
    </r>
    <r>
      <rPr>
        <sz val="9"/>
        <color rgb="FF000000"/>
        <rFont val="Courier New"/>
        <family val="3"/>
      </rPr>
      <t xml:space="preserve"> </t>
    </r>
    <r>
      <rPr>
        <b/>
        <sz val="9"/>
        <color rgb="FF000000"/>
        <rFont val="Courier New"/>
        <family val="3"/>
      </rPr>
      <t>39</t>
    </r>
  </si>
  <si>
    <r>
      <t>11</t>
    </r>
    <r>
      <rPr>
        <sz val="9"/>
        <color rgb="FF000000"/>
        <rFont val="Courier New"/>
        <family val="3"/>
      </rPr>
      <t xml:space="preserve"> </t>
    </r>
    <r>
      <rPr>
        <b/>
        <sz val="9"/>
        <color rgb="FF000000"/>
        <rFont val="Courier New"/>
        <family val="3"/>
      </rPr>
      <t>86</t>
    </r>
  </si>
  <si>
    <r>
      <t>14</t>
    </r>
    <r>
      <rPr>
        <sz val="9"/>
        <color rgb="FF000000"/>
        <rFont val="Courier New"/>
        <family val="3"/>
      </rPr>
      <t xml:space="preserve"> </t>
    </r>
    <r>
      <rPr>
        <b/>
        <sz val="9"/>
        <color rgb="FF000000"/>
        <rFont val="Courier New"/>
        <family val="3"/>
      </rPr>
      <t>13</t>
    </r>
  </si>
  <si>
    <r>
      <t>14</t>
    </r>
    <r>
      <rPr>
        <sz val="9"/>
        <color rgb="FF000000"/>
        <rFont val="Courier New"/>
        <family val="3"/>
      </rPr>
      <t xml:space="preserve"> </t>
    </r>
    <r>
      <rPr>
        <b/>
        <sz val="9"/>
        <color rgb="FF000000"/>
        <rFont val="Courier New"/>
        <family val="3"/>
      </rPr>
      <t>60</t>
    </r>
  </si>
  <si>
    <r>
      <t>13</t>
    </r>
    <r>
      <rPr>
        <sz val="9"/>
        <color rgb="FF000000"/>
        <rFont val="Courier New"/>
        <family val="3"/>
      </rPr>
      <t xml:space="preserve"> </t>
    </r>
    <r>
      <rPr>
        <b/>
        <sz val="9"/>
        <color rgb="FF000000"/>
        <rFont val="Courier New"/>
        <family val="3"/>
      </rPr>
      <t>64</t>
    </r>
  </si>
  <si>
    <r>
      <t>94</t>
    </r>
    <r>
      <rPr>
        <sz val="9"/>
        <color rgb="FF000000"/>
        <rFont val="Courier New"/>
        <family val="3"/>
      </rPr>
      <t xml:space="preserve"> </t>
    </r>
    <r>
      <rPr>
        <b/>
        <sz val="9"/>
        <color rgb="FF000000"/>
        <rFont val="Courier New"/>
        <family val="3"/>
      </rPr>
      <t>79</t>
    </r>
  </si>
  <si>
    <r>
      <t>53</t>
    </r>
    <r>
      <rPr>
        <sz val="9"/>
        <color rgb="FF000000"/>
        <rFont val="Courier New"/>
        <family val="3"/>
      </rPr>
      <t xml:space="preserve"> </t>
    </r>
    <r>
      <rPr>
        <b/>
        <sz val="9"/>
        <color rgb="FF000000"/>
        <rFont val="Courier New"/>
        <family val="3"/>
      </rPr>
      <t>70</t>
    </r>
  </si>
  <si>
    <r>
      <t>118</t>
    </r>
    <r>
      <rPr>
        <sz val="9"/>
        <color rgb="FF000000"/>
        <rFont val="Courier New"/>
        <family val="3"/>
      </rPr>
      <t xml:space="preserve"> </t>
    </r>
    <r>
      <rPr>
        <b/>
        <sz val="9"/>
        <color rgb="FF000000"/>
        <rFont val="Courier New"/>
        <family val="3"/>
      </rPr>
      <t>88</t>
    </r>
  </si>
  <si>
    <r>
      <t>67</t>
    </r>
    <r>
      <rPr>
        <sz val="9"/>
        <color rgb="FF000000"/>
        <rFont val="Courier New"/>
        <family val="3"/>
      </rPr>
      <t xml:space="preserve"> </t>
    </r>
    <r>
      <rPr>
        <b/>
        <sz val="9"/>
        <color rgb="FF000000"/>
        <rFont val="Courier New"/>
        <family val="3"/>
      </rPr>
      <t>35</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</si>
  <si>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04</t>
    </r>
    <r>
      <rPr>
        <sz val="8.5"/>
        <color rgb="FF000000"/>
        <rFont val="Courier New"/>
        <family val="3"/>
      </rPr>
      <t xml:space="preserve"> </t>
    </r>
    <r>
      <rPr>
        <sz val="8.5"/>
        <color rgb="FF000000"/>
        <rFont val="宋体"/>
        <family val="3"/>
        <charset val="134"/>
      </rPr>
      <t>号</t>
    </r>
  </si>
  <si>
    <r>
      <t>139</t>
    </r>
    <r>
      <rPr>
        <sz val="9"/>
        <color rgb="FF000000"/>
        <rFont val="Courier New"/>
        <family val="3"/>
      </rPr>
      <t xml:space="preserve"> </t>
    </r>
    <r>
      <rPr>
        <b/>
        <sz val="9"/>
        <color rgb="FF000000"/>
        <rFont val="Courier New"/>
        <family val="3"/>
      </rPr>
      <t>36</t>
    </r>
  </si>
  <si>
    <r>
      <t>78</t>
    </r>
    <r>
      <rPr>
        <sz val="9"/>
        <color rgb="FF000000"/>
        <rFont val="Courier New"/>
        <family val="3"/>
      </rPr>
      <t xml:space="preserve"> </t>
    </r>
    <r>
      <rPr>
        <b/>
        <sz val="9"/>
        <color rgb="FF000000"/>
        <rFont val="Courier New"/>
        <family val="3"/>
      </rPr>
      <t>95</t>
    </r>
  </si>
  <si>
    <r>
      <t>1</t>
    </r>
    <r>
      <rPr>
        <sz val="9"/>
        <color rgb="FF000000"/>
        <rFont val="Courier New"/>
        <family val="3"/>
      </rPr>
      <t xml:space="preserve"> </t>
    </r>
    <r>
      <rPr>
        <sz val="9"/>
        <color rgb="FF000000"/>
        <rFont val="宋体"/>
        <family val="3"/>
        <charset val="134"/>
      </rPr>
      <t xml:space="preserve">单元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03</t>
    </r>
    <r>
      <rPr>
        <sz val="9"/>
        <color rgb="FF000000"/>
        <rFont val="Courier New"/>
        <family val="3"/>
      </rPr>
      <t xml:space="preserve"> </t>
    </r>
    <r>
      <rPr>
        <sz val="9"/>
        <color rgb="FF000000"/>
        <rFont val="宋体"/>
        <family val="3"/>
        <charset val="134"/>
      </rPr>
      <t>号</t>
    </r>
  </si>
  <si>
    <r>
      <t>4</t>
    </r>
    <r>
      <rPr>
        <sz val="8.5"/>
        <color rgb="FF000000"/>
        <rFont val="Courier New"/>
        <family val="3"/>
      </rPr>
      <t xml:space="preserve"> </t>
    </r>
    <r>
      <rPr>
        <b/>
        <sz val="8.5"/>
        <color rgb="FF000000"/>
        <rFont val="Courier New"/>
        <family val="3"/>
      </rPr>
      <t>79</t>
    </r>
  </si>
  <si>
    <r>
      <t>138</t>
    </r>
    <r>
      <rPr>
        <sz val="9"/>
        <color rgb="FF000000"/>
        <rFont val="Courier New"/>
        <family val="3"/>
      </rPr>
      <t xml:space="preserve"> </t>
    </r>
    <r>
      <rPr>
        <b/>
        <sz val="9"/>
        <color rgb="FF000000"/>
        <rFont val="Courier New"/>
        <family val="3"/>
      </rPr>
      <t>94</t>
    </r>
  </si>
  <si>
    <r>
      <t>78</t>
    </r>
    <r>
      <rPr>
        <sz val="9"/>
        <color rgb="FF000000"/>
        <rFont val="Courier New"/>
        <family val="3"/>
      </rPr>
      <t xml:space="preserve"> </t>
    </r>
    <r>
      <rPr>
        <b/>
        <sz val="9"/>
        <color rgb="FF000000"/>
        <rFont val="Courier New"/>
        <family val="3"/>
      </rPr>
      <t>71</t>
    </r>
  </si>
  <si>
    <r>
      <t>94</t>
    </r>
    <r>
      <rPr>
        <sz val="9"/>
        <color rgb="FF000000"/>
        <rFont val="Courier New"/>
        <family val="3"/>
      </rPr>
      <t xml:space="preserve"> </t>
    </r>
    <r>
      <rPr>
        <b/>
        <sz val="9"/>
        <color rgb="FF000000"/>
        <rFont val="Courier New"/>
        <family val="3"/>
      </rPr>
      <t>72</t>
    </r>
  </si>
  <si>
    <r>
      <t>53</t>
    </r>
    <r>
      <rPr>
        <sz val="9"/>
        <color rgb="FF000000"/>
        <rFont val="Courier New"/>
        <family val="3"/>
      </rPr>
      <t xml:space="preserve"> </t>
    </r>
    <r>
      <rPr>
        <b/>
        <sz val="9"/>
        <color rgb="FF000000"/>
        <rFont val="Courier New"/>
        <family val="3"/>
      </rPr>
      <t>66</t>
    </r>
  </si>
  <si>
    <r>
      <t>118</t>
    </r>
    <r>
      <rPr>
        <sz val="9"/>
        <color rgb="FF000000"/>
        <rFont val="Courier New"/>
        <family val="3"/>
      </rPr>
      <t xml:space="preserve"> </t>
    </r>
    <r>
      <rPr>
        <b/>
        <sz val="9"/>
        <color rgb="FF000000"/>
        <rFont val="Courier New"/>
        <family val="3"/>
      </rPr>
      <t>48</t>
    </r>
  </si>
  <si>
    <r>
      <t>67</t>
    </r>
    <r>
      <rPr>
        <sz val="9"/>
        <color rgb="FF000000"/>
        <rFont val="Courier New"/>
        <family val="3"/>
      </rPr>
      <t xml:space="preserve"> </t>
    </r>
    <r>
      <rPr>
        <b/>
        <sz val="9"/>
        <color rgb="FF000000"/>
        <rFont val="Courier New"/>
        <family val="3"/>
      </rPr>
      <t>12</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</si>
  <si>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4</t>
    </r>
    <r>
      <rPr>
        <sz val="8.5"/>
        <color rgb="FF000000"/>
        <rFont val="Courier New"/>
        <family val="3"/>
      </rPr>
      <t xml:space="preserve"> </t>
    </r>
    <r>
      <rPr>
        <sz val="8.5"/>
        <color rgb="FF000000"/>
        <rFont val="宋体"/>
        <family val="3"/>
        <charset val="134"/>
      </rPr>
      <t xml:space="preserve">层 </t>
    </r>
    <r>
      <rPr>
        <b/>
        <sz val="8.5"/>
        <color rgb="FF000000"/>
        <rFont val="Courier New"/>
        <family val="3"/>
      </rPr>
      <t>03</t>
    </r>
    <r>
      <rPr>
        <sz val="8.5"/>
        <color rgb="FF000000"/>
        <rFont val="Courier New"/>
        <family val="3"/>
      </rPr>
      <t xml:space="preserve"> </t>
    </r>
    <r>
      <rPr>
        <sz val="8.5"/>
        <color rgb="FF000000"/>
        <rFont val="宋体"/>
        <family val="3"/>
        <charset val="134"/>
      </rPr>
      <t>号</t>
    </r>
  </si>
  <si>
    <r>
      <t>4</t>
    </r>
    <r>
      <rPr>
        <sz val="8.5"/>
        <color rgb="FF000000"/>
        <rFont val="Courier New"/>
        <family val="3"/>
      </rPr>
      <t xml:space="preserve"> </t>
    </r>
    <r>
      <rPr>
        <b/>
        <sz val="8.5"/>
        <color rgb="FF000000"/>
        <rFont val="Courier New"/>
        <family val="3"/>
      </rPr>
      <t>72</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</si>
  <si>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6</t>
    </r>
    <r>
      <rPr>
        <sz val="8.5"/>
        <color rgb="FF000000"/>
        <rFont val="Courier New"/>
        <family val="3"/>
      </rPr>
      <t xml:space="preserve"> </t>
    </r>
    <r>
      <rPr>
        <sz val="8.5"/>
        <color rgb="FF000000"/>
        <rFont val="宋体"/>
        <family val="3"/>
        <charset val="134"/>
      </rPr>
      <t xml:space="preserve">层 </t>
    </r>
    <r>
      <rPr>
        <b/>
        <sz val="8.5"/>
        <color rgb="FF000000"/>
        <rFont val="Courier New"/>
        <family val="3"/>
      </rPr>
      <t>02</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</si>
  <si>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7</t>
    </r>
    <r>
      <rPr>
        <sz val="8.5"/>
        <color rgb="FF000000"/>
        <rFont val="Courier New"/>
        <family val="3"/>
      </rPr>
      <t xml:space="preserve"> </t>
    </r>
    <r>
      <rPr>
        <sz val="8.5"/>
        <color rgb="FF000000"/>
        <rFont val="宋体"/>
        <family val="3"/>
        <charset val="134"/>
      </rPr>
      <t xml:space="preserve">层 </t>
    </r>
    <r>
      <rPr>
        <b/>
        <sz val="8.5"/>
        <color rgb="FF000000"/>
        <rFont val="Courier New"/>
        <family val="3"/>
      </rPr>
      <t>04</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</si>
  <si>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7</t>
    </r>
    <r>
      <rPr>
        <sz val="8.5"/>
        <color rgb="FF000000"/>
        <rFont val="Courier New"/>
        <family val="3"/>
      </rPr>
      <t xml:space="preserve"> </t>
    </r>
    <r>
      <rPr>
        <sz val="8.5"/>
        <color rgb="FF000000"/>
        <rFont val="宋体"/>
        <family val="3"/>
        <charset val="134"/>
      </rPr>
      <t xml:space="preserve">层 </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</si>
  <si>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7</t>
    </r>
    <r>
      <rPr>
        <sz val="8.5"/>
        <color rgb="FF000000"/>
        <rFont val="Courier New"/>
        <family val="3"/>
      </rPr>
      <t xml:space="preserve"> </t>
    </r>
    <r>
      <rPr>
        <sz val="8.5"/>
        <color rgb="FF000000"/>
        <rFont val="宋体"/>
        <family val="3"/>
        <charset val="134"/>
      </rPr>
      <t xml:space="preserve">层 </t>
    </r>
    <r>
      <rPr>
        <b/>
        <sz val="8.5"/>
        <color rgb="FF000000"/>
        <rFont val="Courier New"/>
        <family val="3"/>
      </rPr>
      <t>06</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</si>
  <si>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15</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</si>
  <si>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1</t>
    </r>
    <r>
      <rPr>
        <sz val="8"/>
        <color rgb="FF000000"/>
        <rFont val="Courier New"/>
        <family val="3"/>
      </rPr>
      <t xml:space="preserve"> </t>
    </r>
    <r>
      <rPr>
        <sz val="8"/>
        <color rgb="FF000000"/>
        <rFont val="宋体"/>
        <family val="3"/>
        <charset val="134"/>
      </rPr>
      <t xml:space="preserve">单元 </t>
    </r>
    <r>
      <rPr>
        <b/>
        <sz val="8"/>
        <color rgb="FF000000"/>
        <rFont val="Courier New"/>
        <family val="3"/>
      </rPr>
      <t>15</t>
    </r>
    <r>
      <rPr>
        <sz val="8"/>
        <color rgb="FF000000"/>
        <rFont val="Courier New"/>
        <family val="3"/>
      </rPr>
      <t xml:space="preserve"> </t>
    </r>
    <r>
      <rPr>
        <sz val="8"/>
        <color rgb="FF000000"/>
        <rFont val="宋体"/>
        <family val="3"/>
        <charset val="134"/>
      </rPr>
      <t>层</t>
    </r>
    <r>
      <rPr>
        <b/>
        <sz val="8"/>
        <color rgb="FF000000"/>
        <rFont val="Courier New"/>
        <family val="3"/>
      </rPr>
      <t>03</t>
    </r>
    <r>
      <rPr>
        <sz val="8"/>
        <color rgb="FF000000"/>
        <rFont val="Courier New"/>
        <family val="3"/>
      </rPr>
      <t xml:space="preserve"> </t>
    </r>
    <r>
      <rPr>
        <sz val="8"/>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</si>
  <si>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16</t>
    </r>
    <r>
      <rPr>
        <sz val="8.5"/>
        <color rgb="FF000000"/>
        <rFont val="Courier New"/>
        <family val="3"/>
      </rPr>
      <t xml:space="preserve"> </t>
    </r>
    <r>
      <rPr>
        <sz val="8.5"/>
        <color rgb="FF000000"/>
        <rFont val="宋体"/>
        <family val="3"/>
        <charset val="134"/>
      </rPr>
      <t>层</t>
    </r>
    <r>
      <rPr>
        <b/>
        <sz val="8.5"/>
        <color rgb="FF000000"/>
        <rFont val="Courier New"/>
        <family val="3"/>
      </rPr>
      <t>04</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</si>
  <si>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16</t>
    </r>
    <r>
      <rPr>
        <sz val="8.5"/>
        <color rgb="FF000000"/>
        <rFont val="Courier New"/>
        <family val="3"/>
      </rPr>
      <t xml:space="preserve"> </t>
    </r>
    <r>
      <rPr>
        <sz val="8.5"/>
        <color rgb="FF000000"/>
        <rFont val="宋体"/>
        <family val="3"/>
        <charset val="134"/>
      </rPr>
      <t>层</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</si>
  <si>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16</t>
    </r>
    <r>
      <rPr>
        <sz val="8.5"/>
        <color rgb="FF000000"/>
        <rFont val="Courier New"/>
        <family val="3"/>
      </rPr>
      <t xml:space="preserve"> </t>
    </r>
    <r>
      <rPr>
        <sz val="8.5"/>
        <color rgb="FF000000"/>
        <rFont val="宋体"/>
        <family val="3"/>
        <charset val="134"/>
      </rPr>
      <t>层</t>
    </r>
    <r>
      <rPr>
        <b/>
        <sz val="8.5"/>
        <color rgb="FF000000"/>
        <rFont val="Courier New"/>
        <family val="3"/>
      </rPr>
      <t>06</t>
    </r>
    <r>
      <rPr>
        <sz val="8.5"/>
        <color rgb="FF000000"/>
        <rFont val="Courier New"/>
        <family val="3"/>
      </rPr>
      <t xml:space="preserve"> </t>
    </r>
    <r>
      <rPr>
        <sz val="8.5"/>
        <color rgb="FF000000"/>
        <rFont val="宋体"/>
        <family val="3"/>
        <charset val="134"/>
      </rPr>
      <t>号</t>
    </r>
  </si>
  <si>
    <r>
      <t>1</t>
    </r>
    <r>
      <rPr>
        <sz val="8"/>
        <color rgb="FF000000"/>
        <rFont val="Courier New"/>
        <family val="3"/>
      </rPr>
      <t xml:space="preserve"> </t>
    </r>
    <r>
      <rPr>
        <sz val="8"/>
        <color rgb="FF000000"/>
        <rFont val="宋体"/>
        <family val="3"/>
        <charset val="134"/>
      </rPr>
      <t xml:space="preserve">单元 </t>
    </r>
    <r>
      <rPr>
        <b/>
        <sz val="8"/>
        <color rgb="FF000000"/>
        <rFont val="Courier New"/>
        <family val="3"/>
      </rPr>
      <t>17</t>
    </r>
    <r>
      <rPr>
        <sz val="8"/>
        <color rgb="FF000000"/>
        <rFont val="Courier New"/>
        <family val="3"/>
      </rPr>
      <t xml:space="preserve"> </t>
    </r>
    <r>
      <rPr>
        <sz val="8"/>
        <color rgb="FF000000"/>
        <rFont val="宋体"/>
        <family val="3"/>
        <charset val="134"/>
      </rPr>
      <t xml:space="preserve">层 </t>
    </r>
    <r>
      <rPr>
        <b/>
        <sz val="8"/>
        <color rgb="FF000000"/>
        <rFont val="Courier New"/>
        <family val="3"/>
      </rPr>
      <t>01</t>
    </r>
    <r>
      <rPr>
        <sz val="8"/>
        <color rgb="FF000000"/>
        <rFont val="Courier New"/>
        <family val="3"/>
      </rPr>
      <t xml:space="preserve"> </t>
    </r>
    <r>
      <rPr>
        <sz val="8"/>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</si>
  <si>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24</t>
    </r>
    <r>
      <rPr>
        <sz val="8.5"/>
        <color rgb="FF000000"/>
        <rFont val="Courier New"/>
        <family val="3"/>
      </rPr>
      <t xml:space="preserve"> </t>
    </r>
    <r>
      <rPr>
        <sz val="8.5"/>
        <color rgb="FF000000"/>
        <rFont val="宋体"/>
        <family val="3"/>
        <charset val="134"/>
      </rPr>
      <t>层</t>
    </r>
    <r>
      <rPr>
        <b/>
        <sz val="8.5"/>
        <color rgb="FF000000"/>
        <rFont val="Courier New"/>
        <family val="3"/>
      </rPr>
      <t>03</t>
    </r>
    <r>
      <rPr>
        <sz val="8.5"/>
        <color rgb="FF000000"/>
        <rFont val="Courier New"/>
        <family val="3"/>
      </rPr>
      <t xml:space="preserve"> </t>
    </r>
    <r>
      <rPr>
        <sz val="8.5"/>
        <color rgb="FF000000"/>
        <rFont val="宋体"/>
        <family val="3"/>
        <charset val="134"/>
      </rPr>
      <t>号</t>
    </r>
  </si>
  <si>
    <r>
      <t>2</t>
    </r>
    <r>
      <rPr>
        <sz val="8"/>
        <color rgb="FF000000"/>
        <rFont val="Courier New"/>
        <family val="3"/>
      </rPr>
      <t xml:space="preserve"> </t>
    </r>
    <r>
      <rPr>
        <sz val="8"/>
        <color rgb="FF000000"/>
        <rFont val="宋体"/>
        <family val="3"/>
        <charset val="134"/>
      </rPr>
      <t xml:space="preserve">单元 </t>
    </r>
    <r>
      <rPr>
        <b/>
        <sz val="8"/>
        <color rgb="FF000000"/>
        <rFont val="Courier New"/>
        <family val="3"/>
      </rPr>
      <t>24</t>
    </r>
    <r>
      <rPr>
        <sz val="8"/>
        <color rgb="FF000000"/>
        <rFont val="Courier New"/>
        <family val="3"/>
      </rPr>
      <t xml:space="preserve"> </t>
    </r>
    <r>
      <rPr>
        <sz val="8"/>
        <color rgb="FF000000"/>
        <rFont val="宋体"/>
        <family val="3"/>
        <charset val="134"/>
      </rPr>
      <t>层</t>
    </r>
    <r>
      <rPr>
        <b/>
        <sz val="8"/>
        <color rgb="FF000000"/>
        <rFont val="Courier New"/>
        <family val="3"/>
      </rPr>
      <t>04</t>
    </r>
    <r>
      <rPr>
        <sz val="8"/>
        <color rgb="FF000000"/>
        <rFont val="Courier New"/>
        <family val="3"/>
      </rPr>
      <t xml:space="preserve"> </t>
    </r>
    <r>
      <rPr>
        <sz val="8"/>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</si>
  <si>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26</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</si>
  <si>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28</t>
    </r>
    <r>
      <rPr>
        <sz val="8.5"/>
        <color rgb="FF000000"/>
        <rFont val="Courier New"/>
        <family val="3"/>
      </rPr>
      <t xml:space="preserve"> </t>
    </r>
    <r>
      <rPr>
        <sz val="8.5"/>
        <color rgb="FF000000"/>
        <rFont val="宋体"/>
        <family val="3"/>
        <charset val="134"/>
      </rPr>
      <t>层</t>
    </r>
    <r>
      <rPr>
        <b/>
        <sz val="8.5"/>
        <color rgb="FF000000"/>
        <rFont val="Courier New"/>
        <family val="3"/>
      </rPr>
      <t>02</t>
    </r>
    <r>
      <rPr>
        <sz val="8.5"/>
        <color rgb="FF000000"/>
        <rFont val="Courier New"/>
        <family val="3"/>
      </rPr>
      <t xml:space="preserve"> </t>
    </r>
    <r>
      <rPr>
        <sz val="8.5"/>
        <color rgb="FF000000"/>
        <rFont val="宋体"/>
        <family val="3"/>
        <charset val="134"/>
      </rPr>
      <t>号</t>
    </r>
  </si>
  <si>
    <r>
      <t>21071</t>
    </r>
    <r>
      <rPr>
        <sz val="9"/>
        <color rgb="FF000000"/>
        <rFont val="Courier New"/>
        <family val="3"/>
      </rPr>
      <t xml:space="preserve"> </t>
    </r>
    <r>
      <rPr>
        <b/>
        <sz val="9"/>
        <color rgb="FF000000"/>
        <rFont val="Courier New"/>
        <family val="3"/>
      </rPr>
      <t>00</t>
    </r>
  </si>
  <si>
    <r>
      <t>11445</t>
    </r>
    <r>
      <rPr>
        <sz val="9"/>
        <color rgb="FF000000"/>
        <rFont val="Courier New"/>
        <family val="3"/>
      </rPr>
      <t xml:space="preserve"> </t>
    </r>
    <r>
      <rPr>
        <b/>
        <sz val="9"/>
        <color rgb="FF000000"/>
        <rFont val="Courier New"/>
        <family val="3"/>
      </rPr>
      <t>25</t>
    </r>
  </si>
  <si>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15</t>
    </r>
    <r>
      <rPr>
        <sz val="10.5"/>
        <color rgb="FF000000"/>
        <rFont val="Courier New"/>
        <family val="3"/>
      </rPr>
      <t xml:space="preserve"> </t>
    </r>
    <r>
      <rPr>
        <sz val="10.5"/>
        <color rgb="FF000000"/>
        <rFont val="宋体"/>
        <family val="3"/>
        <charset val="134"/>
      </rPr>
      <t>号楼</t>
    </r>
  </si>
  <si>
    <r>
      <t>16</t>
    </r>
    <r>
      <rPr>
        <sz val="9"/>
        <color rgb="FF000000"/>
        <rFont val="Courier New"/>
        <family val="3"/>
      </rPr>
      <t xml:space="preserve"> </t>
    </r>
    <r>
      <rPr>
        <b/>
        <sz val="9"/>
        <color rgb="FF000000"/>
        <rFont val="Courier New"/>
        <family val="3"/>
      </rPr>
      <t>65</t>
    </r>
  </si>
  <si>
    <r>
      <t>16</t>
    </r>
    <r>
      <rPr>
        <sz val="9"/>
        <color rgb="FF000000"/>
        <rFont val="Courier New"/>
        <family val="3"/>
      </rPr>
      <t xml:space="preserve"> </t>
    </r>
    <r>
      <rPr>
        <b/>
        <sz val="9"/>
        <color rgb="FF000000"/>
        <rFont val="Courier New"/>
        <family val="3"/>
      </rPr>
      <t>11</t>
    </r>
  </si>
  <si>
    <r>
      <t>11</t>
    </r>
    <r>
      <rPr>
        <sz val="9"/>
        <color rgb="FF000000"/>
        <rFont val="Courier New"/>
        <family val="3"/>
      </rPr>
      <t xml:space="preserve"> </t>
    </r>
    <r>
      <rPr>
        <b/>
        <sz val="9"/>
        <color rgb="FF000000"/>
        <rFont val="Courier New"/>
        <family val="3"/>
      </rPr>
      <t>61</t>
    </r>
  </si>
  <si>
    <r>
      <t>11</t>
    </r>
    <r>
      <rPr>
        <sz val="9"/>
        <color rgb="FF000000"/>
        <rFont val="Courier New"/>
        <family val="3"/>
      </rPr>
      <t xml:space="preserve"> </t>
    </r>
    <r>
      <rPr>
        <b/>
        <sz val="9"/>
        <color rgb="FF000000"/>
        <rFont val="Courier New"/>
        <family val="3"/>
      </rPr>
      <t>80</t>
    </r>
  </si>
  <si>
    <r>
      <t>14</t>
    </r>
    <r>
      <rPr>
        <sz val="9"/>
        <color rgb="FF000000"/>
        <rFont val="Courier New"/>
        <family val="3"/>
      </rPr>
      <t xml:space="preserve"> </t>
    </r>
    <r>
      <rPr>
        <b/>
        <sz val="9"/>
        <color rgb="FF000000"/>
        <rFont val="Courier New"/>
        <family val="3"/>
      </rPr>
      <t>00</t>
    </r>
  </si>
  <si>
    <r>
      <t>11</t>
    </r>
    <r>
      <rPr>
        <sz val="9"/>
        <color rgb="FF000000"/>
        <rFont val="Courier New"/>
        <family val="3"/>
      </rPr>
      <t xml:space="preserve"> </t>
    </r>
    <r>
      <rPr>
        <b/>
        <sz val="9"/>
        <color rgb="FF000000"/>
        <rFont val="Courier New"/>
        <family val="3"/>
      </rPr>
      <t>90</t>
    </r>
  </si>
  <si>
    <r>
      <t>10</t>
    </r>
    <r>
      <rPr>
        <sz val="9"/>
        <color rgb="FF000000"/>
        <rFont val="Courier New"/>
        <family val="3"/>
      </rPr>
      <t xml:space="preserve"> </t>
    </r>
    <r>
      <rPr>
        <b/>
        <sz val="9"/>
        <color rgb="FF000000"/>
        <rFont val="Courier New"/>
        <family val="3"/>
      </rPr>
      <t>36</t>
    </r>
  </si>
  <si>
    <r>
      <t>10</t>
    </r>
    <r>
      <rPr>
        <sz val="9"/>
        <color rgb="FF000000"/>
        <rFont val="Courier New"/>
        <family val="3"/>
      </rPr>
      <t xml:space="preserve"> </t>
    </r>
    <r>
      <rPr>
        <b/>
        <sz val="9"/>
        <color rgb="FF000000"/>
        <rFont val="Courier New"/>
        <family val="3"/>
      </rPr>
      <t>38</t>
    </r>
  </si>
  <si>
    <r>
      <t>17</t>
    </r>
    <r>
      <rPr>
        <sz val="9"/>
        <color rgb="FF000000"/>
        <rFont val="Courier New"/>
        <family val="3"/>
      </rPr>
      <t xml:space="preserve"> </t>
    </r>
    <r>
      <rPr>
        <b/>
        <sz val="9"/>
        <color rgb="FF000000"/>
        <rFont val="Courier New"/>
        <family val="3"/>
      </rPr>
      <t>76</t>
    </r>
  </si>
  <si>
    <r>
      <t>12</t>
    </r>
    <r>
      <rPr>
        <sz val="9"/>
        <color rgb="FF000000"/>
        <rFont val="Courier New"/>
        <family val="3"/>
      </rPr>
      <t xml:space="preserve"> </t>
    </r>
    <r>
      <rPr>
        <b/>
        <sz val="9"/>
        <color rgb="FF000000"/>
        <rFont val="Courier New"/>
        <family val="3"/>
      </rPr>
      <t>31</t>
    </r>
  </si>
  <si>
    <r>
      <t>10</t>
    </r>
    <r>
      <rPr>
        <sz val="9"/>
        <color rgb="FF000000"/>
        <rFont val="Courier New"/>
        <family val="3"/>
      </rPr>
      <t xml:space="preserve"> </t>
    </r>
    <r>
      <rPr>
        <b/>
        <sz val="9"/>
        <color rgb="FF000000"/>
        <rFont val="Courier New"/>
        <family val="3"/>
      </rPr>
      <t>26</t>
    </r>
  </si>
  <si>
    <r>
      <t>11</t>
    </r>
    <r>
      <rPr>
        <sz val="9"/>
        <color rgb="FF000000"/>
        <rFont val="Courier New"/>
        <family val="3"/>
      </rPr>
      <t xml:space="preserve"> </t>
    </r>
    <r>
      <rPr>
        <b/>
        <sz val="9"/>
        <color rgb="FF000000"/>
        <rFont val="Courier New"/>
        <family val="3"/>
      </rPr>
      <t>82</t>
    </r>
  </si>
  <si>
    <r>
      <t>12</t>
    </r>
    <r>
      <rPr>
        <sz val="9"/>
        <color rgb="FF000000"/>
        <rFont val="Courier New"/>
        <family val="3"/>
      </rPr>
      <t xml:space="preserve"> </t>
    </r>
    <r>
      <rPr>
        <b/>
        <sz val="9"/>
        <color rgb="FF000000"/>
        <rFont val="Courier New"/>
        <family val="3"/>
      </rPr>
      <t>05</t>
    </r>
  </si>
  <si>
    <r>
      <t>12</t>
    </r>
    <r>
      <rPr>
        <sz val="9"/>
        <color rgb="FF000000"/>
        <rFont val="Courier New"/>
        <family val="3"/>
      </rPr>
      <t xml:space="preserve"> </t>
    </r>
    <r>
      <rPr>
        <b/>
        <sz val="9"/>
        <color rgb="FF000000"/>
        <rFont val="Courier New"/>
        <family val="3"/>
      </rPr>
      <t>00</t>
    </r>
  </si>
  <si>
    <r>
      <t>12</t>
    </r>
    <r>
      <rPr>
        <sz val="9"/>
        <color rgb="FF000000"/>
        <rFont val="Courier New"/>
        <family val="3"/>
      </rPr>
      <t xml:space="preserve"> </t>
    </r>
    <r>
      <rPr>
        <b/>
        <sz val="9"/>
        <color rgb="FF000000"/>
        <rFont val="Courier New"/>
        <family val="3"/>
      </rPr>
      <t>58</t>
    </r>
  </si>
  <si>
    <r>
      <t>19</t>
    </r>
    <r>
      <rPr>
        <sz val="9"/>
        <color rgb="FF000000"/>
        <rFont val="Courier New"/>
        <family val="3"/>
      </rPr>
      <t xml:space="preserve"> </t>
    </r>
    <r>
      <rPr>
        <b/>
        <sz val="9"/>
        <color rgb="FF000000"/>
        <rFont val="Courier New"/>
        <family val="3"/>
      </rPr>
      <t>05</t>
    </r>
  </si>
  <si>
    <r>
      <t>10</t>
    </r>
    <r>
      <rPr>
        <sz val="9"/>
        <color rgb="FF000000"/>
        <rFont val="Courier New"/>
        <family val="3"/>
      </rPr>
      <t xml:space="preserve"> </t>
    </r>
    <r>
      <rPr>
        <b/>
        <sz val="9"/>
        <color rgb="FF000000"/>
        <rFont val="Courier New"/>
        <family val="3"/>
      </rPr>
      <t>34</t>
    </r>
  </si>
  <si>
    <r>
      <t>12</t>
    </r>
    <r>
      <rPr>
        <sz val="9"/>
        <color rgb="FF000000"/>
        <rFont val="Courier New"/>
        <family val="3"/>
      </rPr>
      <t xml:space="preserve"> </t>
    </r>
    <r>
      <rPr>
        <b/>
        <sz val="9"/>
        <color rgb="FF000000"/>
        <rFont val="Courier New"/>
        <family val="3"/>
      </rPr>
      <t>74</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</si>
  <si>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59</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</si>
  <si>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2</t>
    </r>
    <r>
      <rPr>
        <sz val="9"/>
        <color rgb="FF000000"/>
        <rFont val="Courier New"/>
        <family val="3"/>
      </rPr>
      <t xml:space="preserve"> </t>
    </r>
    <r>
      <rPr>
        <sz val="9"/>
        <color rgb="FF000000"/>
        <rFont val="宋体"/>
        <family val="3"/>
        <charset val="134"/>
      </rPr>
      <t xml:space="preserve">层 </t>
    </r>
    <r>
      <rPr>
        <b/>
        <sz val="9"/>
        <color rgb="FF000000"/>
        <rFont val="Courier New"/>
        <family val="3"/>
      </rPr>
      <t>60</t>
    </r>
    <r>
      <rPr>
        <sz val="9"/>
        <color rgb="FF000000"/>
        <rFont val="Courier New"/>
        <family val="3"/>
      </rPr>
      <t xml:space="preserve"> </t>
    </r>
    <r>
      <rPr>
        <sz val="9"/>
        <color rgb="FF000000"/>
        <rFont val="宋体"/>
        <family val="3"/>
        <charset val="134"/>
      </rPr>
      <t>号</t>
    </r>
  </si>
  <si>
    <r>
      <t>16</t>
    </r>
    <r>
      <rPr>
        <sz val="9"/>
        <color rgb="FF000000"/>
        <rFont val="Courier New"/>
        <family val="3"/>
      </rPr>
      <t xml:space="preserve"> </t>
    </r>
    <r>
      <rPr>
        <b/>
        <sz val="9"/>
        <color rgb="FF000000"/>
        <rFont val="Courier New"/>
        <family val="3"/>
      </rPr>
      <t>18</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</si>
  <si>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47</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</si>
  <si>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48</t>
    </r>
    <r>
      <rPr>
        <sz val="9"/>
        <color rgb="FF000000"/>
        <rFont val="Courier New"/>
        <family val="3"/>
      </rPr>
      <t xml:space="preserve"> </t>
    </r>
    <r>
      <rPr>
        <sz val="9"/>
        <color rgb="FF000000"/>
        <rFont val="宋体"/>
        <family val="3"/>
        <charset val="134"/>
      </rPr>
      <t>号</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</si>
  <si>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49</t>
    </r>
    <r>
      <rPr>
        <sz val="8.5"/>
        <color rgb="FF000000"/>
        <rFont val="Courier New"/>
        <family val="3"/>
      </rPr>
      <t xml:space="preserve"> </t>
    </r>
    <r>
      <rPr>
        <sz val="8.5"/>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</si>
  <si>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50</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</si>
  <si>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51</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</si>
  <si>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52</t>
    </r>
    <r>
      <rPr>
        <sz val="9"/>
        <color rgb="FF000000"/>
        <rFont val="Courier New"/>
        <family val="3"/>
      </rPr>
      <t xml:space="preserve"> </t>
    </r>
    <r>
      <rPr>
        <sz val="9"/>
        <color rgb="FF000000"/>
        <rFont val="宋体"/>
        <family val="3"/>
        <charset val="134"/>
      </rPr>
      <t>号</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</si>
  <si>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53</t>
    </r>
    <r>
      <rPr>
        <sz val="9"/>
        <color rgb="FF000000"/>
        <rFont val="Courier New"/>
        <family val="3"/>
      </rPr>
      <t xml:space="preserve"> </t>
    </r>
    <r>
      <rPr>
        <sz val="9"/>
        <color rgb="FF000000"/>
        <rFont val="宋体"/>
        <family val="3"/>
        <charset val="134"/>
      </rPr>
      <t>号</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</si>
  <si>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54</t>
    </r>
    <r>
      <rPr>
        <sz val="8.5"/>
        <color rgb="FF000000"/>
        <rFont val="Courier New"/>
        <family val="3"/>
      </rPr>
      <t xml:space="preserve"> </t>
    </r>
    <r>
      <rPr>
        <sz val="8.5"/>
        <color rgb="FF000000"/>
        <rFont val="宋体"/>
        <family val="3"/>
        <charset val="134"/>
      </rPr>
      <t>号</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</si>
  <si>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55</t>
    </r>
    <r>
      <rPr>
        <sz val="8.5"/>
        <color rgb="FF000000"/>
        <rFont val="Courier New"/>
        <family val="3"/>
      </rPr>
      <t xml:space="preserve"> </t>
    </r>
    <r>
      <rPr>
        <sz val="8.5"/>
        <color rgb="FF000000"/>
        <rFont val="宋体"/>
        <family val="3"/>
        <charset val="134"/>
      </rPr>
      <t>号</t>
    </r>
  </si>
  <si>
    <r>
      <t xml:space="preserve">负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56</t>
    </r>
    <r>
      <rPr>
        <sz val="8.5"/>
        <color rgb="FF000000"/>
        <rFont val="Courier New"/>
        <family val="3"/>
      </rPr>
      <t xml:space="preserve"> </t>
    </r>
    <r>
      <rPr>
        <sz val="8.5"/>
        <color rgb="FF000000"/>
        <rFont val="宋体"/>
        <family val="3"/>
        <charset val="134"/>
      </rPr>
      <t>号</t>
    </r>
  </si>
  <si>
    <r>
      <t>136.</t>
    </r>
    <r>
      <rPr>
        <sz val="9"/>
        <color rgb="FF000000"/>
        <rFont val="Courier New"/>
        <family val="3"/>
      </rPr>
      <t xml:space="preserve"> </t>
    </r>
    <r>
      <rPr>
        <b/>
        <sz val="9"/>
        <color rgb="FF000000"/>
        <rFont val="Courier New"/>
        <family val="3"/>
      </rPr>
      <t>85</t>
    </r>
  </si>
  <si>
    <r>
      <t>83.</t>
    </r>
    <r>
      <rPr>
        <sz val="9"/>
        <color rgb="FF000000"/>
        <rFont val="Courier New"/>
        <family val="3"/>
      </rPr>
      <t xml:space="preserve"> </t>
    </r>
    <r>
      <rPr>
        <b/>
        <sz val="9"/>
        <color rgb="FF000000"/>
        <rFont val="Courier New"/>
        <family val="3"/>
      </rPr>
      <t>67</t>
    </r>
  </si>
  <si>
    <r>
      <t>116.</t>
    </r>
    <r>
      <rPr>
        <sz val="9"/>
        <color rgb="FF000000"/>
        <rFont val="Courier New"/>
        <family val="3"/>
      </rPr>
      <t xml:space="preserve"> </t>
    </r>
    <r>
      <rPr>
        <b/>
        <sz val="9"/>
        <color rgb="FF000000"/>
        <rFont val="Courier New"/>
        <family val="3"/>
      </rPr>
      <t>23</t>
    </r>
  </si>
  <si>
    <r>
      <t>71</t>
    </r>
    <r>
      <rPr>
        <sz val="9"/>
        <color rgb="FF000000"/>
        <rFont val="Courier New"/>
        <family val="3"/>
      </rPr>
      <t xml:space="preserve"> </t>
    </r>
    <r>
      <rPr>
        <b/>
        <sz val="9"/>
        <color rgb="FF000000"/>
        <rFont val="Courier New"/>
        <family val="3"/>
      </rPr>
      <t>.06</t>
    </r>
  </si>
  <si>
    <r>
      <t>117.</t>
    </r>
    <r>
      <rPr>
        <sz val="9"/>
        <color rgb="FF000000"/>
        <rFont val="Courier New"/>
        <family val="3"/>
      </rPr>
      <t xml:space="preserve"> </t>
    </r>
    <r>
      <rPr>
        <b/>
        <sz val="9"/>
        <color rgb="FF000000"/>
        <rFont val="Courier New"/>
        <family val="3"/>
      </rPr>
      <t>31</t>
    </r>
  </si>
  <si>
    <r>
      <t>71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72</t>
    </r>
  </si>
  <si>
    <r>
      <t>7.</t>
    </r>
    <r>
      <rPr>
        <sz val="9"/>
        <color rgb="FF000000"/>
        <rFont val="Courier New"/>
        <family val="3"/>
      </rPr>
      <t xml:space="preserve"> </t>
    </r>
    <r>
      <rPr>
        <b/>
        <sz val="9"/>
        <color rgb="FF000000"/>
        <rFont val="Courier New"/>
        <family val="3"/>
      </rPr>
      <t>31</t>
    </r>
  </si>
  <si>
    <r>
      <t>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72</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</si>
  <si>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05</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</si>
  <si>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t>
    </r>
    <r>
      <rPr>
        <sz val="8.5"/>
        <color rgb="FF000000"/>
        <rFont val="Courier New"/>
        <family val="3"/>
      </rPr>
      <t xml:space="preserve"> </t>
    </r>
    <r>
      <rPr>
        <sz val="8.5"/>
        <color rgb="FF000000"/>
        <rFont val="宋体"/>
        <family val="3"/>
        <charset val="134"/>
      </rPr>
      <t xml:space="preserve">层 </t>
    </r>
    <r>
      <rPr>
        <b/>
        <sz val="8.5"/>
        <color rgb="FF000000"/>
        <rFont val="Courier New"/>
        <family val="3"/>
      </rPr>
      <t>06</t>
    </r>
    <r>
      <rPr>
        <sz val="8.5"/>
        <color rgb="FF000000"/>
        <rFont val="Courier New"/>
        <family val="3"/>
      </rPr>
      <t xml:space="preserve"> </t>
    </r>
    <r>
      <rPr>
        <sz val="8.5"/>
        <color rgb="FF000000"/>
        <rFont val="宋体"/>
        <family val="3"/>
        <charset val="134"/>
      </rPr>
      <t>号</t>
    </r>
  </si>
  <si>
    <r>
      <t>136.</t>
    </r>
    <r>
      <rPr>
        <sz val="9"/>
        <color rgb="FF000000"/>
        <rFont val="Courier New"/>
        <family val="3"/>
      </rPr>
      <t xml:space="preserve"> </t>
    </r>
    <r>
      <rPr>
        <b/>
        <sz val="9"/>
        <color rgb="FF000000"/>
        <rFont val="Courier New"/>
        <family val="3"/>
      </rPr>
      <t>82</t>
    </r>
  </si>
  <si>
    <r>
      <t>83.</t>
    </r>
    <r>
      <rPr>
        <sz val="9"/>
        <color rgb="FF000000"/>
        <rFont val="Courier New"/>
        <family val="3"/>
      </rPr>
      <t xml:space="preserve"> </t>
    </r>
    <r>
      <rPr>
        <b/>
        <sz val="9"/>
        <color rgb="FF000000"/>
        <rFont val="Courier New"/>
        <family val="3"/>
      </rPr>
      <t>65</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</si>
  <si>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</si>
  <si>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136</t>
    </r>
    <r>
      <rPr>
        <sz val="9"/>
        <color rgb="FF000000"/>
        <rFont val="Courier New"/>
        <family val="3"/>
      </rPr>
      <t xml:space="preserve"> </t>
    </r>
    <r>
      <rPr>
        <b/>
        <sz val="9"/>
        <color rgb="FF000000"/>
        <rFont val="Courier New"/>
        <family val="3"/>
      </rPr>
      <t>82</t>
    </r>
  </si>
  <si>
    <r>
      <t>83</t>
    </r>
    <r>
      <rPr>
        <sz val="9"/>
        <color rgb="FF000000"/>
        <rFont val="Courier New"/>
        <family val="3"/>
      </rPr>
      <t xml:space="preserve"> </t>
    </r>
    <r>
      <rPr>
        <b/>
        <sz val="9"/>
        <color rgb="FF000000"/>
        <rFont val="Courier New"/>
        <family val="3"/>
      </rPr>
      <t>65</t>
    </r>
  </si>
  <si>
    <r>
      <t>117</t>
    </r>
    <r>
      <rPr>
        <sz val="9"/>
        <color rgb="FF000000"/>
        <rFont val="Courier New"/>
        <family val="3"/>
      </rPr>
      <t xml:space="preserve"> </t>
    </r>
    <r>
      <rPr>
        <b/>
        <sz val="9"/>
        <color rgb="FF000000"/>
        <rFont val="Courier New"/>
        <family val="3"/>
      </rPr>
      <t>31</t>
    </r>
  </si>
  <si>
    <r>
      <t>71</t>
    </r>
    <r>
      <rPr>
        <sz val="9"/>
        <color rgb="FF000000"/>
        <rFont val="Courier New"/>
        <family val="3"/>
      </rPr>
      <t xml:space="preserve"> </t>
    </r>
    <r>
      <rPr>
        <b/>
        <sz val="9"/>
        <color rgb="FF000000"/>
        <rFont val="Courier New"/>
        <family val="3"/>
      </rPr>
      <t>72</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</si>
  <si>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3</t>
    </r>
    <r>
      <rPr>
        <sz val="8.5"/>
        <color rgb="FF000000"/>
        <rFont val="Courier New"/>
        <family val="3"/>
      </rPr>
      <t xml:space="preserve"> </t>
    </r>
    <r>
      <rPr>
        <sz val="8.5"/>
        <color rgb="FF000000"/>
        <rFont val="宋体"/>
        <family val="3"/>
        <charset val="134"/>
      </rPr>
      <t xml:space="preserve">层 </t>
    </r>
    <r>
      <rPr>
        <b/>
        <sz val="8.5"/>
        <color rgb="FF000000"/>
        <rFont val="Courier New"/>
        <family val="3"/>
      </rPr>
      <t>06</t>
    </r>
    <r>
      <rPr>
        <sz val="8.5"/>
        <color rgb="FF000000"/>
        <rFont val="Courier New"/>
        <family val="3"/>
      </rPr>
      <t xml:space="preserve"> </t>
    </r>
    <r>
      <rPr>
        <sz val="8.5"/>
        <color rgb="FF000000"/>
        <rFont val="宋体"/>
        <family val="3"/>
        <charset val="134"/>
      </rPr>
      <t>号</t>
    </r>
  </si>
  <si>
    <r>
      <t>6.</t>
    </r>
    <r>
      <rPr>
        <sz val="9"/>
        <color rgb="FF000000"/>
        <rFont val="Courier New"/>
        <family val="3"/>
      </rPr>
      <t xml:space="preserve"> </t>
    </r>
    <r>
      <rPr>
        <b/>
        <sz val="9"/>
        <color rgb="FF000000"/>
        <rFont val="Courier New"/>
        <family val="3"/>
      </rPr>
      <t>82</t>
    </r>
  </si>
  <si>
    <r>
      <t>3.</t>
    </r>
    <r>
      <rPr>
        <sz val="9"/>
        <color rgb="FF000000"/>
        <rFont val="Courier New"/>
        <family val="3"/>
      </rPr>
      <t xml:space="preserve"> </t>
    </r>
    <r>
      <rPr>
        <b/>
        <sz val="9"/>
        <color rgb="FF000000"/>
        <rFont val="Courier New"/>
        <family val="3"/>
      </rPr>
      <t>65</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</si>
  <si>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5</t>
    </r>
    <r>
      <rPr>
        <sz val="8.5"/>
        <color rgb="FF000000"/>
        <rFont val="Courier New"/>
        <family val="3"/>
      </rPr>
      <t xml:space="preserve"> </t>
    </r>
    <r>
      <rPr>
        <sz val="8.5"/>
        <color rgb="FF000000"/>
        <rFont val="宋体"/>
        <family val="3"/>
        <charset val="134"/>
      </rPr>
      <t xml:space="preserve">层 </t>
    </r>
    <r>
      <rPr>
        <b/>
        <sz val="8.5"/>
        <color rgb="FF000000"/>
        <rFont val="Courier New"/>
        <family val="3"/>
      </rPr>
      <t>04</t>
    </r>
    <r>
      <rPr>
        <sz val="8.5"/>
        <color rgb="FF000000"/>
        <rFont val="Courier New"/>
        <family val="3"/>
      </rPr>
      <t xml:space="preserve"> </t>
    </r>
    <r>
      <rPr>
        <sz val="8.5"/>
        <color rgb="FF000000"/>
        <rFont val="宋体"/>
        <family val="3"/>
        <charset val="134"/>
      </rPr>
      <t>号</t>
    </r>
  </si>
  <si>
    <r>
      <t>116</t>
    </r>
    <r>
      <rPr>
        <sz val="9"/>
        <color rgb="FF000000"/>
        <rFont val="Courier New"/>
        <family val="3"/>
      </rPr>
      <t xml:space="preserve"> </t>
    </r>
    <r>
      <rPr>
        <b/>
        <sz val="9"/>
        <color rgb="FF000000"/>
        <rFont val="Courier New"/>
        <family val="3"/>
      </rPr>
      <t>23</t>
    </r>
  </si>
  <si>
    <r>
      <t>71</t>
    </r>
    <r>
      <rPr>
        <sz val="9"/>
        <color rgb="FF000000"/>
        <rFont val="Courier New"/>
        <family val="3"/>
      </rPr>
      <t xml:space="preserve"> </t>
    </r>
    <r>
      <rPr>
        <b/>
        <sz val="9"/>
        <color rgb="FF000000"/>
        <rFont val="Courier New"/>
        <family val="3"/>
      </rPr>
      <t>06</t>
    </r>
  </si>
  <si>
    <r>
      <t>6.</t>
    </r>
    <r>
      <rPr>
        <sz val="9"/>
        <color rgb="FF000000"/>
        <rFont val="Courier New"/>
        <family val="3"/>
      </rPr>
      <t xml:space="preserve"> </t>
    </r>
    <r>
      <rPr>
        <b/>
        <sz val="9"/>
        <color rgb="FF000000"/>
        <rFont val="Courier New"/>
        <family val="3"/>
      </rPr>
      <t>23</t>
    </r>
  </si>
  <si>
    <r>
      <t>1</t>
    </r>
    <r>
      <rPr>
        <sz val="9"/>
        <color rgb="FF000000"/>
        <rFont val="Courier New"/>
        <family val="3"/>
      </rPr>
      <t xml:space="preserve"> </t>
    </r>
    <r>
      <rPr>
        <b/>
        <sz val="9"/>
        <color rgb="FF000000"/>
        <rFont val="Courier New"/>
        <family val="3"/>
      </rPr>
      <t>.06</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</si>
  <si>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13</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</si>
  <si>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6</t>
    </r>
    <r>
      <rPr>
        <sz val="9"/>
        <color rgb="FF000000"/>
        <rFont val="Courier New"/>
        <family val="3"/>
      </rPr>
      <t xml:space="preserve"> </t>
    </r>
    <r>
      <rPr>
        <b/>
        <sz val="9"/>
        <color rgb="FF000000"/>
        <rFont val="Courier New"/>
        <family val="3"/>
      </rPr>
      <t>23</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</si>
  <si>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22</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</si>
  <si>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7</t>
    </r>
    <r>
      <rPr>
        <sz val="9"/>
        <color rgb="FF000000"/>
        <rFont val="Courier New"/>
        <family val="3"/>
      </rPr>
      <t xml:space="preserve"> </t>
    </r>
    <r>
      <rPr>
        <b/>
        <sz val="9"/>
        <color rgb="FF000000"/>
        <rFont val="Courier New"/>
        <family val="3"/>
      </rPr>
      <t>31</t>
    </r>
  </si>
  <si>
    <r>
      <t>6</t>
    </r>
    <r>
      <rPr>
        <sz val="9"/>
        <color rgb="FF000000"/>
        <rFont val="Courier New"/>
        <family val="3"/>
      </rPr>
      <t xml:space="preserve"> </t>
    </r>
    <r>
      <rPr>
        <b/>
        <sz val="9"/>
        <color rgb="FF000000"/>
        <rFont val="Courier New"/>
        <family val="3"/>
      </rPr>
      <t>82</t>
    </r>
  </si>
  <si>
    <r>
      <t>坐落：青啤大道</t>
    </r>
    <r>
      <rPr>
        <b/>
        <sz val="10.5"/>
        <color rgb="FF000000"/>
        <rFont val="Courier New"/>
        <family val="3"/>
      </rPr>
      <t>99</t>
    </r>
    <r>
      <rPr>
        <sz val="10.5"/>
        <color rgb="FF000000"/>
        <rFont val="Courier New"/>
        <family val="3"/>
      </rPr>
      <t xml:space="preserve"> </t>
    </r>
    <r>
      <rPr>
        <sz val="10.5"/>
        <color rgb="FF000000"/>
        <rFont val="宋体"/>
        <family val="3"/>
        <charset val="134"/>
      </rPr>
      <t xml:space="preserve">号善国贾苑 </t>
    </r>
    <r>
      <rPr>
        <b/>
        <sz val="10.5"/>
        <color rgb="FF000000"/>
        <rFont val="Courier New"/>
        <family val="3"/>
      </rPr>
      <t>16</t>
    </r>
    <r>
      <rPr>
        <sz val="10.5"/>
        <color rgb="FF000000"/>
        <rFont val="Courier New"/>
        <family val="3"/>
      </rPr>
      <t xml:space="preserve"> </t>
    </r>
    <r>
      <rPr>
        <sz val="10.5"/>
        <color rgb="FF000000"/>
        <rFont val="宋体"/>
        <family val="3"/>
        <charset val="134"/>
      </rPr>
      <t>号楼</t>
    </r>
  </si>
  <si>
    <r>
      <t>16</t>
    </r>
    <r>
      <rPr>
        <sz val="9"/>
        <color rgb="FF000000"/>
        <rFont val="Courier New"/>
        <family val="3"/>
      </rPr>
      <t xml:space="preserve"> </t>
    </r>
    <r>
      <rPr>
        <b/>
        <sz val="9"/>
        <color rgb="FF000000"/>
        <rFont val="Courier New"/>
        <family val="3"/>
      </rPr>
      <t>53</t>
    </r>
  </si>
  <si>
    <r>
      <t>12</t>
    </r>
    <r>
      <rPr>
        <sz val="9"/>
        <color rgb="FF000000"/>
        <rFont val="Courier New"/>
        <family val="3"/>
      </rPr>
      <t xml:space="preserve"> </t>
    </r>
    <r>
      <rPr>
        <b/>
        <sz val="9"/>
        <color rgb="FF000000"/>
        <rFont val="Courier New"/>
        <family val="3"/>
      </rPr>
      <t>69</t>
    </r>
  </si>
  <si>
    <r>
      <t>11</t>
    </r>
    <r>
      <rPr>
        <sz val="9"/>
        <color rgb="FF000000"/>
        <rFont val="Courier New"/>
        <family val="3"/>
      </rPr>
      <t xml:space="preserve"> </t>
    </r>
    <r>
      <rPr>
        <b/>
        <sz val="9"/>
        <color rgb="FF000000"/>
        <rFont val="Courier New"/>
        <family val="3"/>
      </rPr>
      <t>84</t>
    </r>
  </si>
  <si>
    <r>
      <t>16</t>
    </r>
    <r>
      <rPr>
        <sz val="9"/>
        <color rgb="FF000000"/>
        <rFont val="Courier New"/>
        <family val="3"/>
      </rPr>
      <t xml:space="preserve"> </t>
    </r>
    <r>
      <rPr>
        <b/>
        <sz val="9"/>
        <color rgb="FF000000"/>
        <rFont val="Courier New"/>
        <family val="3"/>
      </rPr>
      <t>87</t>
    </r>
  </si>
  <si>
    <r>
      <t>10</t>
    </r>
    <r>
      <rPr>
        <sz val="9"/>
        <color rgb="FF000000"/>
        <rFont val="Courier New"/>
        <family val="3"/>
      </rPr>
      <t xml:space="preserve"> </t>
    </r>
    <r>
      <rPr>
        <b/>
        <sz val="9"/>
        <color rgb="FF000000"/>
        <rFont val="Courier New"/>
        <family val="3"/>
      </rPr>
      <t>44</t>
    </r>
  </si>
  <si>
    <r>
      <t>10</t>
    </r>
    <r>
      <rPr>
        <sz val="9"/>
        <color rgb="FF000000"/>
        <rFont val="Courier New"/>
        <family val="3"/>
      </rPr>
      <t xml:space="preserve"> </t>
    </r>
    <r>
      <rPr>
        <b/>
        <sz val="9"/>
        <color rgb="FF000000"/>
        <rFont val="Courier New"/>
        <family val="3"/>
      </rPr>
      <t>70</t>
    </r>
  </si>
  <si>
    <r>
      <t>14</t>
    </r>
    <r>
      <rPr>
        <sz val="9"/>
        <color rgb="FF000000"/>
        <rFont val="Courier New"/>
        <family val="3"/>
      </rPr>
      <t xml:space="preserve"> </t>
    </r>
    <r>
      <rPr>
        <b/>
        <sz val="9"/>
        <color rgb="FF000000"/>
        <rFont val="Courier New"/>
        <family val="3"/>
      </rPr>
      <t>90</t>
    </r>
  </si>
  <si>
    <r>
      <t>12</t>
    </r>
    <r>
      <rPr>
        <sz val="9"/>
        <color rgb="FF000000"/>
        <rFont val="Courier New"/>
        <family val="3"/>
      </rPr>
      <t xml:space="preserve"> </t>
    </r>
    <r>
      <rPr>
        <b/>
        <sz val="9"/>
        <color rgb="FF000000"/>
        <rFont val="Courier New"/>
        <family val="3"/>
      </rPr>
      <t>13</t>
    </r>
  </si>
  <si>
    <r>
      <t>15</t>
    </r>
    <r>
      <rPr>
        <sz val="9"/>
        <color rgb="FF000000"/>
        <rFont val="Courier New"/>
        <family val="3"/>
      </rPr>
      <t xml:space="preserve"> </t>
    </r>
    <r>
      <rPr>
        <b/>
        <sz val="9"/>
        <color rgb="FF000000"/>
        <rFont val="Courier New"/>
        <family val="3"/>
      </rPr>
      <t>05</t>
    </r>
  </si>
  <si>
    <r>
      <t>14</t>
    </r>
    <r>
      <rPr>
        <sz val="9"/>
        <color rgb="FF000000"/>
        <rFont val="Courier New"/>
        <family val="3"/>
      </rPr>
      <t xml:space="preserve"> </t>
    </r>
    <r>
      <rPr>
        <b/>
        <sz val="9"/>
        <color rgb="FF000000"/>
        <rFont val="Courier New"/>
        <family val="3"/>
      </rPr>
      <t>05</t>
    </r>
  </si>
  <si>
    <r>
      <t>14</t>
    </r>
    <r>
      <rPr>
        <sz val="9"/>
        <color rgb="FF000000"/>
        <rFont val="Courier New"/>
        <family val="3"/>
      </rPr>
      <t xml:space="preserve"> </t>
    </r>
    <r>
      <rPr>
        <b/>
        <sz val="9"/>
        <color rgb="FF000000"/>
        <rFont val="Courier New"/>
        <family val="3"/>
      </rPr>
      <t>12</t>
    </r>
  </si>
  <si>
    <r>
      <t>10</t>
    </r>
    <r>
      <rPr>
        <sz val="9"/>
        <color rgb="FF000000"/>
        <rFont val="Courier New"/>
        <family val="3"/>
      </rPr>
      <t xml:space="preserve"> </t>
    </r>
    <r>
      <rPr>
        <b/>
        <sz val="9"/>
        <color rgb="FF000000"/>
        <rFont val="Courier New"/>
        <family val="3"/>
      </rPr>
      <t>10</t>
    </r>
  </si>
  <si>
    <r>
      <t>10</t>
    </r>
    <r>
      <rPr>
        <sz val="9"/>
        <color rgb="FF000000"/>
        <rFont val="Courier New"/>
        <family val="3"/>
      </rPr>
      <t xml:space="preserve"> </t>
    </r>
    <r>
      <rPr>
        <b/>
        <sz val="9"/>
        <color rgb="FF000000"/>
        <rFont val="Courier New"/>
        <family val="3"/>
      </rPr>
      <t>14</t>
    </r>
  </si>
  <si>
    <r>
      <t>14</t>
    </r>
    <r>
      <rPr>
        <sz val="9"/>
        <color rgb="FF000000"/>
        <rFont val="Courier New"/>
        <family val="3"/>
      </rPr>
      <t xml:space="preserve"> </t>
    </r>
    <r>
      <rPr>
        <b/>
        <sz val="9"/>
        <color rgb="FF000000"/>
        <rFont val="Courier New"/>
        <family val="3"/>
      </rPr>
      <t>75</t>
    </r>
  </si>
  <si>
    <r>
      <t>14</t>
    </r>
    <r>
      <rPr>
        <sz val="9"/>
        <color rgb="FF000000"/>
        <rFont val="Courier New"/>
        <family val="3"/>
      </rPr>
      <t xml:space="preserve"> </t>
    </r>
    <r>
      <rPr>
        <b/>
        <sz val="9"/>
        <color rgb="FF000000"/>
        <rFont val="Courier New"/>
        <family val="3"/>
      </rPr>
      <t>22</t>
    </r>
  </si>
  <si>
    <r>
      <t>14</t>
    </r>
    <r>
      <rPr>
        <sz val="9"/>
        <color rgb="FF000000"/>
        <rFont val="Courier New"/>
        <family val="3"/>
      </rPr>
      <t xml:space="preserve"> </t>
    </r>
    <r>
      <rPr>
        <b/>
        <sz val="9"/>
        <color rgb="FF000000"/>
        <rFont val="Courier New"/>
        <family val="3"/>
      </rPr>
      <t>17</t>
    </r>
  </si>
  <si>
    <r>
      <t>13</t>
    </r>
    <r>
      <rPr>
        <sz val="9"/>
        <color rgb="FF000000"/>
        <rFont val="Courier New"/>
        <family val="3"/>
      </rPr>
      <t xml:space="preserve"> </t>
    </r>
    <r>
      <rPr>
        <b/>
        <sz val="9"/>
        <color rgb="FF000000"/>
        <rFont val="Courier New"/>
        <family val="3"/>
      </rPr>
      <t>69</t>
    </r>
  </si>
  <si>
    <r>
      <t>13</t>
    </r>
    <r>
      <rPr>
        <sz val="9"/>
        <color rgb="FF000000"/>
        <rFont val="Courier New"/>
        <family val="3"/>
      </rPr>
      <t xml:space="preserve"> </t>
    </r>
    <r>
      <rPr>
        <b/>
        <sz val="9"/>
        <color rgb="FF000000"/>
        <rFont val="Courier New"/>
        <family val="3"/>
      </rPr>
      <t>95</t>
    </r>
  </si>
  <si>
    <r>
      <t>26</t>
    </r>
    <r>
      <rPr>
        <sz val="9"/>
        <color rgb="FF000000"/>
        <rFont val="Courier New"/>
        <family val="3"/>
      </rPr>
      <t xml:space="preserve"> </t>
    </r>
    <r>
      <rPr>
        <b/>
        <sz val="9"/>
        <color rgb="FF000000"/>
        <rFont val="Courier New"/>
        <family val="3"/>
      </rPr>
      <t>40</t>
    </r>
  </si>
  <si>
    <r>
      <t xml:space="preserve">负 </t>
    </r>
    <r>
      <rPr>
        <b/>
        <sz val="9"/>
        <color rgb="FF000000"/>
        <rFont val="Courier New"/>
        <family val="3"/>
      </rPr>
      <t>1</t>
    </r>
    <r>
      <rPr>
        <sz val="9"/>
        <color rgb="FF000000"/>
        <rFont val="Courier New"/>
        <family val="3"/>
      </rPr>
      <t xml:space="preserve"> </t>
    </r>
    <r>
      <rPr>
        <sz val="9"/>
        <color rgb="FF000000"/>
        <rFont val="宋体"/>
        <family val="3"/>
        <charset val="134"/>
      </rPr>
      <t xml:space="preserve">层 </t>
    </r>
    <r>
      <rPr>
        <b/>
        <sz val="9"/>
        <color rgb="FF000000"/>
        <rFont val="Courier New"/>
        <family val="3"/>
      </rPr>
      <t>49</t>
    </r>
    <r>
      <rPr>
        <sz val="9"/>
        <color rgb="FF000000"/>
        <rFont val="Courier New"/>
        <family val="3"/>
      </rPr>
      <t xml:space="preserve"> </t>
    </r>
    <r>
      <rPr>
        <sz val="9"/>
        <color rgb="FF000000"/>
        <rFont val="宋体"/>
        <family val="3"/>
        <charset val="134"/>
      </rPr>
      <t>号</t>
    </r>
  </si>
  <si>
    <r>
      <t>139.</t>
    </r>
    <r>
      <rPr>
        <sz val="9"/>
        <color rgb="FF000000"/>
        <rFont val="Courier New"/>
        <family val="3"/>
      </rPr>
      <t xml:space="preserve"> </t>
    </r>
    <r>
      <rPr>
        <b/>
        <sz val="9"/>
        <color rgb="FF000000"/>
        <rFont val="Courier New"/>
        <family val="3"/>
      </rPr>
      <t>08</t>
    </r>
  </si>
  <si>
    <r>
      <t>84.</t>
    </r>
    <r>
      <rPr>
        <sz val="9"/>
        <color rgb="FF000000"/>
        <rFont val="Courier New"/>
        <family val="3"/>
      </rPr>
      <t xml:space="preserve"> </t>
    </r>
    <r>
      <rPr>
        <b/>
        <sz val="9"/>
        <color rgb="FF000000"/>
        <rFont val="Courier New"/>
        <family val="3"/>
      </rPr>
      <t>48</t>
    </r>
  </si>
  <si>
    <r>
      <t>94</t>
    </r>
    <r>
      <rPr>
        <sz val="9"/>
        <color rgb="FF000000"/>
        <rFont val="Courier New"/>
        <family val="3"/>
      </rPr>
      <t xml:space="preserve"> </t>
    </r>
    <r>
      <rPr>
        <b/>
        <sz val="9"/>
        <color rgb="FF000000"/>
        <rFont val="Courier New"/>
        <family val="3"/>
      </rPr>
      <t>82</t>
    </r>
  </si>
  <si>
    <r>
      <t>57.</t>
    </r>
    <r>
      <rPr>
        <sz val="9"/>
        <color rgb="FF000000"/>
        <rFont val="Courier New"/>
        <family val="3"/>
      </rPr>
      <t xml:space="preserve"> </t>
    </r>
    <r>
      <rPr>
        <b/>
        <sz val="9"/>
        <color rgb="FF000000"/>
        <rFont val="Courier New"/>
        <family val="3"/>
      </rPr>
      <t>59</t>
    </r>
  </si>
  <si>
    <r>
      <t>118</t>
    </r>
    <r>
      <rPr>
        <sz val="9"/>
        <color rgb="FF000000"/>
        <rFont val="Courier New"/>
        <family val="3"/>
      </rPr>
      <t xml:space="preserve"> </t>
    </r>
    <r>
      <rPr>
        <b/>
        <sz val="9"/>
        <color rgb="FF000000"/>
        <rFont val="Courier New"/>
        <family val="3"/>
      </rPr>
      <t>64</t>
    </r>
  </si>
  <si>
    <r>
      <t>72</t>
    </r>
    <r>
      <rPr>
        <sz val="9"/>
        <color rgb="FF000000"/>
        <rFont val="Courier New"/>
        <family val="3"/>
      </rPr>
      <t xml:space="preserve"> </t>
    </r>
    <r>
      <rPr>
        <b/>
        <sz val="9"/>
        <color rgb="FF000000"/>
        <rFont val="Courier New"/>
        <family val="3"/>
      </rPr>
      <t>06</t>
    </r>
  </si>
  <si>
    <r>
      <t>118.</t>
    </r>
    <r>
      <rPr>
        <sz val="9"/>
        <color rgb="FF000000"/>
        <rFont val="Courier New"/>
        <family val="3"/>
      </rPr>
      <t xml:space="preserve"> </t>
    </r>
    <r>
      <rPr>
        <b/>
        <sz val="9"/>
        <color rgb="FF000000"/>
        <rFont val="Courier New"/>
        <family val="3"/>
      </rPr>
      <t>64</t>
    </r>
  </si>
  <si>
    <r>
      <t>139</t>
    </r>
    <r>
      <rPr>
        <sz val="9"/>
        <color rgb="FF000000"/>
        <rFont val="Courier New"/>
        <family val="3"/>
      </rPr>
      <t xml:space="preserve"> </t>
    </r>
    <r>
      <rPr>
        <b/>
        <sz val="9"/>
        <color rgb="FF000000"/>
        <rFont val="Courier New"/>
        <family val="3"/>
      </rPr>
      <t>08</t>
    </r>
  </si>
  <si>
    <r>
      <t>84</t>
    </r>
    <r>
      <rPr>
        <sz val="9"/>
        <color rgb="FF000000"/>
        <rFont val="Courier New"/>
        <family val="3"/>
      </rPr>
      <t xml:space="preserve"> </t>
    </r>
    <r>
      <rPr>
        <b/>
        <sz val="9"/>
        <color rgb="FF000000"/>
        <rFont val="Courier New"/>
        <family val="3"/>
      </rPr>
      <t>48</t>
    </r>
  </si>
  <si>
    <r>
      <t>.</t>
    </r>
    <r>
      <rPr>
        <sz val="9"/>
        <color rgb="FF000000"/>
        <rFont val="Courier New"/>
        <family val="3"/>
      </rPr>
      <t xml:space="preserve"> </t>
    </r>
    <r>
      <rPr>
        <b/>
        <sz val="9"/>
        <color rgb="FF000000"/>
        <rFont val="Courier New"/>
        <family val="3"/>
      </rPr>
      <t>59</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</si>
  <si>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3</t>
    </r>
    <r>
      <rPr>
        <sz val="8.5"/>
        <color rgb="FF000000"/>
        <rFont val="Courier New"/>
        <family val="3"/>
      </rPr>
      <t xml:space="preserve"> </t>
    </r>
    <r>
      <rPr>
        <sz val="8.5"/>
        <color rgb="FF000000"/>
        <rFont val="宋体"/>
        <family val="3"/>
        <charset val="134"/>
      </rPr>
      <t xml:space="preserve">层 </t>
    </r>
    <r>
      <rPr>
        <b/>
        <sz val="8.5"/>
        <color rgb="FF000000"/>
        <rFont val="Courier New"/>
        <family val="3"/>
      </rPr>
      <t>01</t>
    </r>
    <r>
      <rPr>
        <sz val="8.5"/>
        <color rgb="FF000000"/>
        <rFont val="Courier New"/>
        <family val="3"/>
      </rPr>
      <t xml:space="preserve"> </t>
    </r>
    <r>
      <rPr>
        <sz val="8.5"/>
        <color rgb="FF000000"/>
        <rFont val="宋体"/>
        <family val="3"/>
        <charset val="134"/>
      </rPr>
      <t>号</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</si>
  <si>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3</t>
    </r>
    <r>
      <rPr>
        <sz val="8.5"/>
        <color rgb="FF000000"/>
        <rFont val="Courier New"/>
        <family val="3"/>
      </rPr>
      <t xml:space="preserve"> </t>
    </r>
    <r>
      <rPr>
        <sz val="8.5"/>
        <color rgb="FF000000"/>
        <rFont val="宋体"/>
        <family val="3"/>
        <charset val="134"/>
      </rPr>
      <t xml:space="preserve">层 </t>
    </r>
    <r>
      <rPr>
        <b/>
        <sz val="8.5"/>
        <color rgb="FF000000"/>
        <rFont val="Courier New"/>
        <family val="3"/>
      </rPr>
      <t>02</t>
    </r>
    <r>
      <rPr>
        <sz val="8.5"/>
        <color rgb="FF000000"/>
        <rFont val="Courier New"/>
        <family val="3"/>
      </rPr>
      <t xml:space="preserve"> </t>
    </r>
    <r>
      <rPr>
        <sz val="8.5"/>
        <color rgb="FF000000"/>
        <rFont val="宋体"/>
        <family val="3"/>
        <charset val="134"/>
      </rPr>
      <t>号</t>
    </r>
  </si>
  <si>
    <r>
      <t>57</t>
    </r>
    <r>
      <rPr>
        <sz val="9"/>
        <color rgb="FF000000"/>
        <rFont val="Courier New"/>
        <family val="3"/>
      </rPr>
      <t xml:space="preserve"> </t>
    </r>
    <r>
      <rPr>
        <b/>
        <sz val="9"/>
        <color rgb="FF000000"/>
        <rFont val="Courier New"/>
        <family val="3"/>
      </rPr>
      <t>59</t>
    </r>
  </si>
  <si>
    <r>
      <t>.</t>
    </r>
    <r>
      <rPr>
        <sz val="9"/>
        <color rgb="FF000000"/>
        <rFont val="Courier New"/>
        <family val="3"/>
      </rPr>
      <t xml:space="preserve"> </t>
    </r>
    <r>
      <rPr>
        <b/>
        <sz val="9"/>
        <color rgb="FF000000"/>
        <rFont val="Courier New"/>
        <family val="3"/>
      </rPr>
      <t>64</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</si>
  <si>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4</t>
    </r>
    <r>
      <rPr>
        <sz val="8.5"/>
        <color rgb="FF000000"/>
        <rFont val="Courier New"/>
        <family val="3"/>
      </rPr>
      <t xml:space="preserve"> </t>
    </r>
    <r>
      <rPr>
        <sz val="8.5"/>
        <color rgb="FF000000"/>
        <rFont val="宋体"/>
        <family val="3"/>
        <charset val="134"/>
      </rPr>
      <t xml:space="preserve">层 </t>
    </r>
    <r>
      <rPr>
        <b/>
        <sz val="8.5"/>
        <color rgb="FF000000"/>
        <rFont val="Courier New"/>
        <family val="3"/>
      </rPr>
      <t>06</t>
    </r>
    <r>
      <rPr>
        <sz val="8.5"/>
        <color rgb="FF000000"/>
        <rFont val="Courier New"/>
        <family val="3"/>
      </rPr>
      <t xml:space="preserve"> </t>
    </r>
    <r>
      <rPr>
        <sz val="8.5"/>
        <color rgb="FF000000"/>
        <rFont val="宋体"/>
        <family val="3"/>
        <charset val="134"/>
      </rPr>
      <t>号</t>
    </r>
  </si>
  <si>
    <r>
      <t>.</t>
    </r>
    <r>
      <rPr>
        <sz val="9"/>
        <color rgb="FF000000"/>
        <rFont val="Courier New"/>
        <family val="3"/>
      </rPr>
      <t xml:space="preserve"> </t>
    </r>
    <r>
      <rPr>
        <b/>
        <sz val="9"/>
        <color rgb="FF000000"/>
        <rFont val="Courier New"/>
        <family val="3"/>
      </rPr>
      <t>08</t>
    </r>
  </si>
  <si>
    <r>
      <t>.</t>
    </r>
    <r>
      <rPr>
        <sz val="9"/>
        <color rgb="FF000000"/>
        <rFont val="Courier New"/>
        <family val="3"/>
      </rPr>
      <t xml:space="preserve"> </t>
    </r>
    <r>
      <rPr>
        <b/>
        <sz val="9"/>
        <color rgb="FF000000"/>
        <rFont val="Courier New"/>
        <family val="3"/>
      </rPr>
      <t>48</t>
    </r>
  </si>
  <si>
    <r>
      <t>1</t>
    </r>
    <r>
      <rPr>
        <sz val="8.5"/>
        <color rgb="FF000000"/>
        <rFont val="Courier New"/>
        <family val="3"/>
      </rPr>
      <t xml:space="preserve"> </t>
    </r>
    <r>
      <rPr>
        <sz val="8.5"/>
        <color rgb="FF000000"/>
        <rFont val="宋体"/>
        <family val="3"/>
        <charset val="134"/>
      </rPr>
      <t xml:space="preserve">单元 </t>
    </r>
    <r>
      <rPr>
        <b/>
        <sz val="8.5"/>
        <color rgb="FF000000"/>
        <rFont val="Courier New"/>
        <family val="3"/>
      </rPr>
      <t>12</t>
    </r>
    <r>
      <rPr>
        <sz val="8.5"/>
        <color rgb="FF000000"/>
        <rFont val="Courier New"/>
        <family val="3"/>
      </rPr>
      <t xml:space="preserve"> </t>
    </r>
    <r>
      <rPr>
        <sz val="8.5"/>
        <color rgb="FF000000"/>
        <rFont val="宋体"/>
        <family val="3"/>
        <charset val="134"/>
      </rPr>
      <t>层</t>
    </r>
    <r>
      <rPr>
        <b/>
        <sz val="8.5"/>
        <color rgb="FF000000"/>
        <rFont val="Courier New"/>
        <family val="3"/>
      </rPr>
      <t>03</t>
    </r>
    <r>
      <rPr>
        <sz val="8.5"/>
        <color rgb="FF000000"/>
        <rFont val="Courier New"/>
        <family val="3"/>
      </rPr>
      <t xml:space="preserve"> </t>
    </r>
    <r>
      <rPr>
        <sz val="8.5"/>
        <color rgb="FF000000"/>
        <rFont val="宋体"/>
        <family val="3"/>
        <charset val="134"/>
      </rPr>
      <t>号</t>
    </r>
  </si>
  <si>
    <r>
      <t>2</t>
    </r>
    <r>
      <rPr>
        <sz val="8.5"/>
        <color rgb="FF000000"/>
        <rFont val="Courier New"/>
        <family val="3"/>
      </rPr>
      <t xml:space="preserve"> </t>
    </r>
    <r>
      <rPr>
        <sz val="8.5"/>
        <color rgb="FF000000"/>
        <rFont val="宋体"/>
        <family val="3"/>
        <charset val="134"/>
      </rPr>
      <t xml:space="preserve">单元 </t>
    </r>
    <r>
      <rPr>
        <b/>
        <sz val="8.5"/>
        <color rgb="FF000000"/>
        <rFont val="Courier New"/>
        <family val="3"/>
      </rPr>
      <t>21</t>
    </r>
    <r>
      <rPr>
        <sz val="8.5"/>
        <color rgb="FF000000"/>
        <rFont val="Courier New"/>
        <family val="3"/>
      </rPr>
      <t xml:space="preserve"> </t>
    </r>
    <r>
      <rPr>
        <sz val="8.5"/>
        <color rgb="FF000000"/>
        <rFont val="宋体"/>
        <family val="3"/>
        <charset val="134"/>
      </rPr>
      <t>层</t>
    </r>
    <r>
      <rPr>
        <b/>
        <sz val="8.5"/>
        <color rgb="FF000000"/>
        <rFont val="Courier New"/>
        <family val="3"/>
      </rPr>
      <t>04</t>
    </r>
    <r>
      <rPr>
        <sz val="8.5"/>
        <color rgb="FF000000"/>
        <rFont val="Courier New"/>
        <family val="3"/>
      </rPr>
      <t xml:space="preserve"> </t>
    </r>
    <r>
      <rPr>
        <sz val="8.5"/>
        <color rgb="FF000000"/>
        <rFont val="宋体"/>
        <family val="3"/>
        <charset val="134"/>
      </rPr>
      <t>号</t>
    </r>
  </si>
  <si>
    <r>
      <t>21111</t>
    </r>
    <r>
      <rPr>
        <sz val="9"/>
        <color rgb="FF000000"/>
        <rFont val="Courier New"/>
        <family val="3"/>
      </rPr>
      <t xml:space="preserve"> </t>
    </r>
    <r>
      <rPr>
        <b/>
        <sz val="9"/>
        <color rgb="FF000000"/>
        <rFont val="Courier New"/>
        <family val="3"/>
      </rPr>
      <t>.</t>
    </r>
    <r>
      <rPr>
        <sz val="9"/>
        <color rgb="FF000000"/>
        <rFont val="Courier New"/>
        <family val="3"/>
      </rPr>
      <t xml:space="preserve"> </t>
    </r>
    <r>
      <rPr>
        <b/>
        <sz val="9"/>
        <color rgb="FF000000"/>
        <rFont val="Courier New"/>
        <family val="3"/>
      </rPr>
      <t>64</t>
    </r>
  </si>
  <si>
    <r>
      <t>12267.</t>
    </r>
    <r>
      <rPr>
        <sz val="9"/>
        <color rgb="FF000000"/>
        <rFont val="Courier New"/>
        <family val="3"/>
      </rPr>
      <t xml:space="preserve"> </t>
    </r>
    <r>
      <rPr>
        <b/>
        <sz val="9"/>
        <color rgb="FF000000"/>
        <rFont val="Courier New"/>
        <family val="3"/>
      </rPr>
      <t>36</t>
    </r>
  </si>
  <si>
    <t>春兰华府</t>
    <phoneticPr fontId="140" type="noConversion"/>
  </si>
  <si>
    <t>大同天下</t>
    <phoneticPr fontId="140" type="noConversion"/>
  </si>
  <si>
    <t>清华园</t>
    <phoneticPr fontId="140" type="noConversion"/>
  </si>
  <si>
    <t>祥和花园</t>
    <phoneticPr fontId="140" type="noConversion"/>
  </si>
  <si>
    <t>橡树湾</t>
    <phoneticPr fontId="140" type="noConversion"/>
  </si>
  <si>
    <t>善国贾苑</t>
    <phoneticPr fontId="140" type="noConversion"/>
  </si>
  <si>
    <r>
      <t>以下是城北新房楼盘，售价主要集中在8</t>
    </r>
    <r>
      <rPr>
        <sz val="11"/>
        <color theme="1"/>
        <rFont val="宋体"/>
        <family val="3"/>
        <charset val="134"/>
        <scheme val="minor"/>
      </rPr>
      <t>000-8500之间。</t>
    </r>
    <phoneticPr fontId="140" type="noConversion"/>
  </si>
  <si>
    <t>已部分缴纳</t>
  </si>
  <si>
    <t>总价</t>
  </si>
  <si>
    <t>成本比率</t>
  </si>
  <si>
    <t>情况3</t>
  </si>
  <si>
    <t>自行开发建设</t>
  </si>
  <si>
    <t>非个人房产</t>
  </si>
  <si>
    <t>出让金+开发费</t>
  </si>
  <si>
    <t>大同天下</t>
    <phoneticPr fontId="3" type="noConversion"/>
  </si>
  <si>
    <t>橡树湾</t>
    <phoneticPr fontId="3" type="noConversion"/>
  </si>
  <si>
    <t>祥和家园</t>
    <phoneticPr fontId="3" type="noConversion"/>
  </si>
  <si>
    <t>共用面积</t>
    <phoneticPr fontId="140" type="noConversion"/>
  </si>
  <si>
    <t>现房</t>
    <phoneticPr fontId="25" type="noConversion"/>
  </si>
  <si>
    <t>期房</t>
    <phoneticPr fontId="25" type="noConversion"/>
  </si>
  <si>
    <t>毛坯</t>
    <phoneticPr fontId="25" type="noConversion"/>
  </si>
  <si>
    <t>住宅</t>
    <phoneticPr fontId="25" type="noConversion"/>
  </si>
  <si>
    <t>60-70（含）</t>
  </si>
  <si>
    <t>七通</t>
  </si>
  <si>
    <t>押一</t>
  </si>
  <si>
    <t>其他：</t>
  </si>
  <si>
    <t>青啤大道南侧、益康大道西侧</t>
    <phoneticPr fontId="140" type="noConversion"/>
  </si>
  <si>
    <r>
      <rPr>
        <sz val="10"/>
        <rFont val="宋体"/>
        <family val="3"/>
        <charset val="134"/>
      </rPr>
      <t>新华西路南侧</t>
    </r>
    <r>
      <rPr>
        <sz val="10"/>
        <rFont val="Arial"/>
        <family val="2"/>
      </rPr>
      <t>,</t>
    </r>
    <r>
      <rPr>
        <sz val="10"/>
        <rFont val="宋体"/>
        <family val="3"/>
        <charset val="134"/>
      </rPr>
      <t>振兴路西侧</t>
    </r>
    <phoneticPr fontId="140" type="noConversion"/>
  </si>
  <si>
    <t>善南街道贾庄居、青啤大道南侧</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</si>
</sst>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sz val="10.5"/>
      <color rgb="FF000000"/>
      <name val="Arial"/>
      <family val="2"/>
    </font>
    <font>
      <sz val="10.5"/>
      <color rgb="FF000000"/>
      <name val="宋体"/>
      <family val="3"/>
      <charset val="134"/>
    </font>
    <font>
      <b/>
      <sz val="10.5"/>
      <color rgb="FF000000"/>
      <name val="Courier New"/>
      <family val="3"/>
    </font>
    <font>
      <sz val="10.5"/>
      <color rgb="FF000000"/>
      <name val="Courier New"/>
      <family val="3"/>
    </font>
    <font>
      <sz val="9"/>
      <color rgb="FF000000"/>
      <name val="宋体"/>
      <family val="3"/>
      <charset val="134"/>
    </font>
    <font>
      <b/>
      <sz val="9"/>
      <color rgb="FF000000"/>
      <name val="Courier New"/>
      <family val="3"/>
    </font>
    <font>
      <sz val="9"/>
      <color rgb="FF000000"/>
      <name val="Courier New"/>
      <family val="3"/>
    </font>
    <font>
      <b/>
      <sz val="6.5"/>
      <color rgb="FF000000"/>
      <name val="Courier New"/>
      <family val="3"/>
    </font>
    <font>
      <sz val="1"/>
      <color rgb="FF000000"/>
      <name val="Arial"/>
      <family val="2"/>
    </font>
    <font>
      <b/>
      <sz val="8"/>
      <color rgb="FF000000"/>
      <name val="Courier New"/>
      <family val="3"/>
    </font>
    <font>
      <sz val="8"/>
      <color rgb="FF000000"/>
      <name val="Courier New"/>
      <family val="3"/>
    </font>
    <font>
      <b/>
      <sz val="8.5"/>
      <color rgb="FF000000"/>
      <name val="Courier New"/>
      <family val="3"/>
    </font>
    <font>
      <sz val="8.5"/>
      <color rgb="FF000000"/>
      <name val="Courier New"/>
      <family val="3"/>
    </font>
    <font>
      <sz val="8.5"/>
      <color rgb="FF000000"/>
      <name val="宋体"/>
      <family val="3"/>
      <charset val="134"/>
    </font>
    <font>
      <b/>
      <sz val="7.5"/>
      <color rgb="FF000000"/>
      <name val="Courier New"/>
      <family val="3"/>
    </font>
    <font>
      <sz val="9.5"/>
      <color rgb="FF000000"/>
      <name val="Arial"/>
      <family val="2"/>
    </font>
    <font>
      <sz val="8"/>
      <color rgb="FF000000"/>
      <name val="宋体"/>
      <family val="3"/>
      <charset val="134"/>
    </font>
    <font>
      <sz val="10"/>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55" fillId="5" borderId="0" xfId="17" applyFill="1"/>
    <xf numFmtId="0" fontId="79" fillId="13" borderId="0" xfId="0" applyFont="1" applyFill="1" applyAlignment="1" applyProtection="1">
      <alignment vertical="center"/>
      <protection locked="0"/>
    </xf>
    <xf numFmtId="0" fontId="79" fillId="13" borderId="0" xfId="0" applyFont="1" applyFill="1" applyAlignment="1" applyProtection="1">
      <alignment horizontal="center" vertical="center"/>
      <protection locked="0"/>
    </xf>
    <xf numFmtId="0" fontId="49" fillId="13" borderId="0" xfId="10" applyFont="1" applyFill="1" applyAlignment="1" applyProtection="1">
      <alignment horizontal="center" vertical="center"/>
      <protection locked="0"/>
    </xf>
    <xf numFmtId="0" fontId="46" fillId="13" borderId="0" xfId="10" applyFont="1" applyFill="1" applyAlignment="1" applyProtection="1">
      <alignment vertical="center"/>
      <protection locked="0"/>
    </xf>
    <xf numFmtId="0" fontId="134" fillId="13" borderId="0" xfId="10" applyFont="1" applyFill="1" applyAlignment="1" applyProtection="1">
      <alignment vertical="center"/>
      <protection locked="0"/>
    </xf>
    <xf numFmtId="0" fontId="0" fillId="5" borderId="0" xfId="0" applyFill="1">
      <alignment vertical="center"/>
    </xf>
    <xf numFmtId="0" fontId="55" fillId="0" borderId="0" xfId="17"/>
    <xf numFmtId="0" fontId="118" fillId="0" borderId="0" xfId="17" applyFont="1"/>
    <xf numFmtId="0" fontId="254" fillId="0" borderId="0" xfId="0" applyFont="1">
      <alignment vertical="center"/>
    </xf>
    <xf numFmtId="0" fontId="98" fillId="0" borderId="0" xfId="0" applyFont="1">
      <alignment vertical="center"/>
    </xf>
    <xf numFmtId="0" fontId="256" fillId="0" borderId="0" xfId="0" applyFont="1">
      <alignment vertical="center"/>
    </xf>
    <xf numFmtId="0" fontId="255" fillId="0" borderId="0" xfId="0" applyFont="1">
      <alignment vertical="center"/>
    </xf>
    <xf numFmtId="0" fontId="259" fillId="0" borderId="161" xfId="0" applyFont="1" applyBorder="1" applyAlignment="1">
      <alignment vertical="center" wrapText="1"/>
    </xf>
    <xf numFmtId="0" fontId="259" fillId="0" borderId="162" xfId="0" applyFont="1" applyBorder="1" applyAlignment="1">
      <alignment vertical="center" wrapText="1"/>
    </xf>
    <xf numFmtId="0" fontId="260" fillId="0" borderId="159" xfId="0" applyFont="1" applyBorder="1" applyAlignment="1">
      <alignment vertical="center" wrapText="1"/>
    </xf>
    <xf numFmtId="0" fontId="260" fillId="0" borderId="162" xfId="0" applyFont="1" applyBorder="1" applyAlignment="1">
      <alignment vertical="center" wrapText="1"/>
    </xf>
    <xf numFmtId="0" fontId="260" fillId="0" borderId="164" xfId="0" applyFont="1" applyBorder="1" applyAlignment="1">
      <alignment vertical="center" wrapText="1"/>
    </xf>
    <xf numFmtId="0" fontId="171" fillId="0" borderId="164" xfId="0" applyFont="1" applyBorder="1" applyAlignment="1">
      <alignment vertical="top" wrapText="1"/>
    </xf>
    <xf numFmtId="0" fontId="262" fillId="0" borderId="164" xfId="0" applyFont="1" applyBorder="1" applyAlignment="1">
      <alignment vertical="center" wrapText="1"/>
    </xf>
    <xf numFmtId="0" fontId="263" fillId="0" borderId="0" xfId="0" applyFont="1">
      <alignment vertical="center"/>
    </xf>
    <xf numFmtId="58" fontId="260" fillId="0" borderId="162" xfId="0" applyNumberFormat="1" applyFont="1" applyBorder="1" applyAlignment="1">
      <alignment vertical="center" wrapText="1"/>
    </xf>
    <xf numFmtId="0" fontId="264" fillId="0" borderId="164" xfId="0" applyFont="1" applyBorder="1" applyAlignment="1">
      <alignment vertical="center" wrapText="1"/>
    </xf>
    <xf numFmtId="0" fontId="266" fillId="0" borderId="164" xfId="0" applyFont="1" applyBorder="1" applyAlignment="1">
      <alignment vertical="center" wrapText="1"/>
    </xf>
    <xf numFmtId="0" fontId="266" fillId="0" borderId="162" xfId="0" applyFont="1" applyBorder="1" applyAlignment="1">
      <alignment vertical="center" wrapText="1"/>
    </xf>
    <xf numFmtId="0" fontId="268" fillId="0" borderId="162" xfId="0" applyFont="1" applyBorder="1" applyAlignment="1">
      <alignment vertical="center" wrapText="1"/>
    </xf>
    <xf numFmtId="0" fontId="259" fillId="0" borderId="159" xfId="0" applyFont="1" applyBorder="1" applyAlignment="1">
      <alignment vertical="center" wrapText="1"/>
    </xf>
    <xf numFmtId="0" fontId="255" fillId="0" borderId="162" xfId="0" applyFont="1" applyBorder="1" applyAlignment="1">
      <alignment vertical="center" wrapText="1"/>
    </xf>
    <xf numFmtId="0" fontId="171" fillId="0" borderId="162" xfId="0" applyFont="1" applyBorder="1" applyAlignment="1">
      <alignment vertical="center" wrapText="1"/>
    </xf>
    <xf numFmtId="0" fontId="269" fillId="0" borderId="164" xfId="0" applyFont="1" applyBorder="1" applyAlignment="1">
      <alignment vertical="center" wrapText="1"/>
    </xf>
    <xf numFmtId="0" fontId="270" fillId="0" borderId="164" xfId="0" applyFont="1" applyBorder="1" applyAlignment="1">
      <alignment vertical="top" wrapText="1"/>
    </xf>
    <xf numFmtId="0" fontId="255" fillId="0" borderId="0" xfId="0" applyFont="1" applyAlignment="1">
      <alignment vertical="center" wrapText="1"/>
    </xf>
    <xf numFmtId="0" fontId="264" fillId="0" borderId="162" xfId="0" applyFont="1" applyBorder="1" applyAlignment="1">
      <alignment vertical="center" wrapText="1"/>
    </xf>
    <xf numFmtId="0" fontId="271" fillId="0" borderId="162" xfId="0" applyFont="1" applyBorder="1" applyAlignment="1">
      <alignment vertical="center" wrapText="1"/>
    </xf>
    <xf numFmtId="0" fontId="98" fillId="0" borderId="1" xfId="0" applyFont="1" applyBorder="1" applyAlignment="1">
      <alignment horizontal="center" vertical="center"/>
    </xf>
    <xf numFmtId="0" fontId="0" fillId="0" borderId="1" xfId="0" applyBorder="1" applyAlignment="1">
      <alignment horizontal="center" vertical="center"/>
    </xf>
    <xf numFmtId="179" fontId="0" fillId="0" borderId="1" xfId="0" applyNumberFormat="1" applyBorder="1" applyAlignment="1">
      <alignment horizontal="center" vertical="center"/>
    </xf>
    <xf numFmtId="178"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55" fillId="20" borderId="10" xfId="1" applyNumberFormat="1" applyFont="1" applyFill="1" applyBorder="1" applyAlignment="1" applyProtection="1">
      <alignment horizontal="center" vertical="center"/>
      <protection locked="0"/>
    </xf>
    <xf numFmtId="0" fontId="55" fillId="20" borderId="24" xfId="1" applyNumberFormat="1" applyFont="1" applyFill="1" applyBorder="1" applyAlignment="1" applyProtection="1">
      <alignment horizontal="center" vertical="center"/>
      <protection locked="0"/>
    </xf>
    <xf numFmtId="0" fontId="0" fillId="20" borderId="1" xfId="0" applyFill="1" applyBorder="1" applyAlignment="1">
      <alignment horizontal="center" vertical="center"/>
    </xf>
    <xf numFmtId="179" fontId="0" fillId="0" borderId="0" xfId="0" applyNumberFormat="1">
      <alignment vertical="center"/>
    </xf>
    <xf numFmtId="178" fontId="0" fillId="0" borderId="0" xfId="0" applyNumberFormat="1">
      <alignment vertical="center"/>
    </xf>
    <xf numFmtId="10"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10" fontId="46" fillId="20" borderId="1" xfId="0" applyNumberFormat="1" applyFont="1" applyFill="1" applyBorder="1" applyAlignment="1" applyProtection="1">
      <alignment horizontal="center" vertical="center"/>
      <protection locked="0"/>
    </xf>
    <xf numFmtId="10" fontId="46" fillId="9" borderId="53" xfId="0" applyNumberFormat="1" applyFont="1" applyFill="1" applyBorder="1" applyAlignment="1" applyProtection="1">
      <alignment horizontal="center" vertical="center"/>
      <protection locked="0"/>
    </xf>
    <xf numFmtId="0" fontId="135" fillId="0" borderId="0" xfId="17" applyFont="1"/>
    <xf numFmtId="0" fontId="272" fillId="0" borderId="0" xfId="17" applyFont="1"/>
    <xf numFmtId="0" fontId="19" fillId="0" borderId="0" xfId="17" applyFont="1"/>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9" fillId="0" borderId="158" xfId="0" applyFont="1" applyBorder="1" applyAlignment="1">
      <alignment vertical="center" wrapText="1"/>
    </xf>
    <xf numFmtId="0" fontId="259" fillId="0" borderId="159" xfId="0" applyFont="1" applyBorder="1" applyAlignment="1">
      <alignment vertical="center" wrapText="1"/>
    </xf>
    <xf numFmtId="0" fontId="259" fillId="0" borderId="165" xfId="0" applyFont="1" applyBorder="1" applyAlignment="1">
      <alignment vertical="center" wrapText="1"/>
    </xf>
    <xf numFmtId="0" fontId="259" fillId="0" borderId="161" xfId="0" applyFont="1" applyBorder="1" applyAlignment="1">
      <alignment vertical="center" wrapText="1"/>
    </xf>
    <xf numFmtId="0" fontId="259" fillId="0" borderId="166" xfId="0" applyFont="1" applyBorder="1" applyAlignment="1">
      <alignment vertical="center" wrapText="1"/>
    </xf>
    <xf numFmtId="0" fontId="259" fillId="0" borderId="162" xfId="0" applyFont="1" applyBorder="1" applyAlignment="1">
      <alignment vertical="center" wrapText="1"/>
    </xf>
    <xf numFmtId="0" fontId="260" fillId="0" borderId="167" xfId="0" applyFont="1" applyBorder="1" applyAlignment="1">
      <alignment vertical="center" wrapText="1"/>
    </xf>
    <xf numFmtId="0" fontId="260" fillId="0" borderId="160" xfId="0" applyFont="1" applyBorder="1" applyAlignment="1">
      <alignment vertical="center" wrapText="1"/>
    </xf>
    <xf numFmtId="0" fontId="260" fillId="0" borderId="168" xfId="0" applyFont="1" applyBorder="1" applyAlignment="1">
      <alignment vertical="center" wrapText="1"/>
    </xf>
    <xf numFmtId="0" fontId="259" fillId="0" borderId="163" xfId="0" applyFont="1" applyBorder="1" applyAlignment="1">
      <alignment vertical="center" wrapText="1"/>
    </xf>
    <xf numFmtId="0" fontId="259" fillId="0" borderId="164" xfId="0" applyFont="1" applyBorder="1" applyAlignment="1">
      <alignment vertical="center" wrapText="1"/>
    </xf>
    <xf numFmtId="0" fontId="266" fillId="0" borderId="167" xfId="0" applyFont="1" applyBorder="1" applyAlignment="1">
      <alignment vertical="center" wrapText="1"/>
    </xf>
    <xf numFmtId="0" fontId="266" fillId="0" borderId="168" xfId="0" applyFont="1" applyBorder="1" applyAlignment="1">
      <alignment vertical="center" wrapText="1"/>
    </xf>
    <xf numFmtId="0" fontId="264" fillId="0" borderId="167" xfId="0" applyFont="1" applyBorder="1" applyAlignment="1">
      <alignment vertical="center" wrapText="1"/>
    </xf>
    <xf numFmtId="0" fontId="264" fillId="0" borderId="168" xfId="0" applyFont="1" applyBorder="1" applyAlignment="1">
      <alignment vertical="center" wrapText="1"/>
    </xf>
    <xf numFmtId="0" fontId="266" fillId="0" borderId="160" xfId="0" applyFont="1" applyBorder="1" applyAlignment="1">
      <alignment vertical="center" wrapText="1"/>
    </xf>
    <xf numFmtId="10" fontId="54" fillId="20" borderId="5" xfId="0" applyNumberFormat="1" applyFont="1" applyFill="1" applyBorder="1" applyAlignment="1" applyProtection="1">
      <alignment horizontal="left" vertical="center" wrapText="1"/>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8</xdr:col>
      <xdr:colOff>560998</xdr:colOff>
      <xdr:row>75</xdr:row>
      <xdr:rowOff>142365</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8915400"/>
          <a:ext cx="7819048" cy="4085715"/>
        </a:xfrm>
        <a:prstGeom prst="rect">
          <a:avLst/>
        </a:prstGeom>
      </xdr:spPr>
    </xdr:pic>
    <xdr:clientData/>
  </xdr:twoCellAnchor>
  <xdr:twoCellAnchor>
    <xdr:from>
      <xdr:col>4</xdr:col>
      <xdr:colOff>371474</xdr:colOff>
      <xdr:row>52</xdr:row>
      <xdr:rowOff>76200</xdr:rowOff>
    </xdr:from>
    <xdr:to>
      <xdr:col>7</xdr:col>
      <xdr:colOff>447675</xdr:colOff>
      <xdr:row>53</xdr:row>
      <xdr:rowOff>161925</xdr:rowOff>
    </xdr:to>
    <xdr:sp macro="" textlink="">
      <xdr:nvSpPr>
        <xdr:cNvPr id="4" name="线形标注 2 3">
          <a:extLst>
            <a:ext uri="{FF2B5EF4-FFF2-40B4-BE49-F238E27FC236}">
              <a16:creationId xmlns:a16="http://schemas.microsoft.com/office/drawing/2014/main" id="{00000000-0008-0000-2C00-000004000000}"/>
            </a:ext>
          </a:extLst>
        </xdr:cNvPr>
        <xdr:cNvSpPr/>
      </xdr:nvSpPr>
      <xdr:spPr>
        <a:xfrm>
          <a:off x="4124324" y="8991600"/>
          <a:ext cx="2133601" cy="257175"/>
        </a:xfrm>
        <a:prstGeom prst="borderCallout2">
          <a:avLst>
            <a:gd name="adj1" fmla="val 37269"/>
            <a:gd name="adj2" fmla="val -1075"/>
            <a:gd name="adj3" fmla="val 100232"/>
            <a:gd name="adj4" fmla="val -27381"/>
            <a:gd name="adj5" fmla="val 234723"/>
            <a:gd name="adj6" fmla="val -416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21.2</a:t>
          </a:r>
          <a:r>
            <a:rPr lang="zh-CN" altLang="en-US" sz="1100"/>
            <a:t>月 成交，楼面</a:t>
          </a:r>
          <a:r>
            <a:rPr lang="en-US" altLang="zh-CN" sz="1100"/>
            <a:t>4918</a:t>
          </a:r>
          <a:r>
            <a:rPr lang="zh-CN" altLang="en-US" sz="1100"/>
            <a:t>元，</a:t>
          </a:r>
          <a:r>
            <a:rPr lang="en-US" altLang="zh-CN" sz="1100"/>
            <a:t>R2.2</a:t>
          </a:r>
          <a:endParaRPr lang="zh-CN" altLang="en-US" sz="1100"/>
        </a:p>
      </xdr:txBody>
    </xdr:sp>
    <xdr:clientData/>
  </xdr:twoCellAnchor>
  <xdr:twoCellAnchor>
    <xdr:from>
      <xdr:col>4</xdr:col>
      <xdr:colOff>590551</xdr:colOff>
      <xdr:row>56</xdr:row>
      <xdr:rowOff>0</xdr:rowOff>
    </xdr:from>
    <xdr:to>
      <xdr:col>8</xdr:col>
      <xdr:colOff>19051</xdr:colOff>
      <xdr:row>57</xdr:row>
      <xdr:rowOff>85725</xdr:rowOff>
    </xdr:to>
    <xdr:sp macro="" textlink="">
      <xdr:nvSpPr>
        <xdr:cNvPr id="5" name="线形标注 2 4">
          <a:extLst>
            <a:ext uri="{FF2B5EF4-FFF2-40B4-BE49-F238E27FC236}">
              <a16:creationId xmlns:a16="http://schemas.microsoft.com/office/drawing/2014/main" id="{00000000-0008-0000-2C00-000005000000}"/>
            </a:ext>
          </a:extLst>
        </xdr:cNvPr>
        <xdr:cNvSpPr/>
      </xdr:nvSpPr>
      <xdr:spPr>
        <a:xfrm>
          <a:off x="4343401" y="9601200"/>
          <a:ext cx="2171700" cy="257175"/>
        </a:xfrm>
        <a:prstGeom prst="borderCallout2">
          <a:avLst>
            <a:gd name="adj1" fmla="val 37269"/>
            <a:gd name="adj2" fmla="val -1075"/>
            <a:gd name="adj3" fmla="val 37269"/>
            <a:gd name="adj4" fmla="val -17983"/>
            <a:gd name="adj5" fmla="val 56945"/>
            <a:gd name="adj6" fmla="val -384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B:21.1</a:t>
          </a:r>
          <a:r>
            <a:rPr lang="zh-CN" altLang="en-US" sz="1100"/>
            <a:t>月 成交，楼面</a:t>
          </a:r>
          <a:r>
            <a:rPr lang="en-US" altLang="zh-CN" sz="1100"/>
            <a:t>3762</a:t>
          </a:r>
          <a:r>
            <a:rPr lang="zh-CN" altLang="en-US" sz="1100"/>
            <a:t>元，</a:t>
          </a:r>
          <a:r>
            <a:rPr lang="en-US" altLang="zh-CN" sz="1100"/>
            <a:t>R2.9</a:t>
          </a:r>
          <a:endParaRPr lang="zh-CN" altLang="en-US" sz="1100"/>
        </a:p>
      </xdr:txBody>
    </xdr:sp>
    <xdr:clientData/>
  </xdr:twoCellAnchor>
  <xdr:twoCellAnchor>
    <xdr:from>
      <xdr:col>5</xdr:col>
      <xdr:colOff>57150</xdr:colOff>
      <xdr:row>64</xdr:row>
      <xdr:rowOff>9525</xdr:rowOff>
    </xdr:from>
    <xdr:to>
      <xdr:col>8</xdr:col>
      <xdr:colOff>171450</xdr:colOff>
      <xdr:row>65</xdr:row>
      <xdr:rowOff>95250</xdr:rowOff>
    </xdr:to>
    <xdr:sp macro="" textlink="">
      <xdr:nvSpPr>
        <xdr:cNvPr id="6" name="线形标注 2 5">
          <a:extLst>
            <a:ext uri="{FF2B5EF4-FFF2-40B4-BE49-F238E27FC236}">
              <a16:creationId xmlns:a16="http://schemas.microsoft.com/office/drawing/2014/main" id="{00000000-0008-0000-2C00-000006000000}"/>
            </a:ext>
          </a:extLst>
        </xdr:cNvPr>
        <xdr:cNvSpPr/>
      </xdr:nvSpPr>
      <xdr:spPr>
        <a:xfrm>
          <a:off x="4495800" y="10982325"/>
          <a:ext cx="2171700" cy="257175"/>
        </a:xfrm>
        <a:prstGeom prst="borderCallout2">
          <a:avLst>
            <a:gd name="adj1" fmla="val 37269"/>
            <a:gd name="adj2" fmla="val -1075"/>
            <a:gd name="adj3" fmla="val 37269"/>
            <a:gd name="adj4" fmla="val -17983"/>
            <a:gd name="adj5" fmla="val 56945"/>
            <a:gd name="adj6" fmla="val -384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A:21.3</a:t>
          </a:r>
          <a:r>
            <a:rPr lang="zh-CN" altLang="en-US" sz="1100"/>
            <a:t>月 成交，楼面</a:t>
          </a:r>
          <a:r>
            <a:rPr lang="en-US" altLang="zh-CN" sz="1100"/>
            <a:t>3107</a:t>
          </a:r>
          <a:r>
            <a:rPr lang="zh-CN" altLang="en-US" sz="1100"/>
            <a:t>元，</a:t>
          </a:r>
          <a:r>
            <a:rPr lang="en-US" altLang="zh-CN" sz="1100"/>
            <a:t>R2.8</a:t>
          </a:r>
          <a:endParaRPr lang="zh-CN" altLang="en-US" sz="1100"/>
        </a:p>
      </xdr:txBody>
    </xdr:sp>
    <xdr:clientData/>
  </xdr:twoCellAnchor>
  <xdr:twoCellAnchor>
    <xdr:from>
      <xdr:col>4</xdr:col>
      <xdr:colOff>76200</xdr:colOff>
      <xdr:row>67</xdr:row>
      <xdr:rowOff>47625</xdr:rowOff>
    </xdr:from>
    <xdr:to>
      <xdr:col>7</xdr:col>
      <xdr:colOff>295276</xdr:colOff>
      <xdr:row>68</xdr:row>
      <xdr:rowOff>133350</xdr:rowOff>
    </xdr:to>
    <xdr:sp macro="" textlink="">
      <xdr:nvSpPr>
        <xdr:cNvPr id="7" name="线形标注 2 6">
          <a:extLst>
            <a:ext uri="{FF2B5EF4-FFF2-40B4-BE49-F238E27FC236}">
              <a16:creationId xmlns:a16="http://schemas.microsoft.com/office/drawing/2014/main" id="{00000000-0008-0000-2C00-000007000000}"/>
            </a:ext>
          </a:extLst>
        </xdr:cNvPr>
        <xdr:cNvSpPr/>
      </xdr:nvSpPr>
      <xdr:spPr>
        <a:xfrm>
          <a:off x="3829050" y="11534775"/>
          <a:ext cx="2276476" cy="257175"/>
        </a:xfrm>
        <a:prstGeom prst="borderCallout2">
          <a:avLst>
            <a:gd name="adj1" fmla="val 37269"/>
            <a:gd name="adj2" fmla="val -1075"/>
            <a:gd name="adj3" fmla="val 37269"/>
            <a:gd name="adj4" fmla="val -17983"/>
            <a:gd name="adj5" fmla="val 1389"/>
            <a:gd name="adj6" fmla="val -419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C:20.10</a:t>
          </a:r>
          <a:r>
            <a:rPr lang="zh-CN" altLang="en-US" sz="1100"/>
            <a:t>月 成交，楼面</a:t>
          </a:r>
          <a:r>
            <a:rPr lang="en-US" altLang="zh-CN" sz="1100"/>
            <a:t>3177</a:t>
          </a:r>
          <a:r>
            <a:rPr lang="zh-CN" altLang="en-US" sz="1100"/>
            <a:t>元，</a:t>
          </a:r>
          <a:r>
            <a:rPr lang="en-US" altLang="zh-CN" sz="1100"/>
            <a:t>R2</a:t>
          </a:r>
          <a:endParaRPr lang="zh-CN" altLang="en-US" sz="1100"/>
        </a:p>
      </xdr:txBody>
    </xdr:sp>
    <xdr:clientData/>
  </xdr:twoCellAnchor>
  <xdr:twoCellAnchor>
    <xdr:from>
      <xdr:col>0</xdr:col>
      <xdr:colOff>1133475</xdr:colOff>
      <xdr:row>62</xdr:row>
      <xdr:rowOff>104775</xdr:rowOff>
    </xdr:from>
    <xdr:to>
      <xdr:col>1</xdr:col>
      <xdr:colOff>247650</xdr:colOff>
      <xdr:row>64</xdr:row>
      <xdr:rowOff>19050</xdr:rowOff>
    </xdr:to>
    <xdr:sp macro="" textlink="">
      <xdr:nvSpPr>
        <xdr:cNvPr id="8" name="线形标注 2 7">
          <a:extLst>
            <a:ext uri="{FF2B5EF4-FFF2-40B4-BE49-F238E27FC236}">
              <a16:creationId xmlns:a16="http://schemas.microsoft.com/office/drawing/2014/main" id="{00000000-0008-0000-2C00-000008000000}"/>
            </a:ext>
          </a:extLst>
        </xdr:cNvPr>
        <xdr:cNvSpPr/>
      </xdr:nvSpPr>
      <xdr:spPr>
        <a:xfrm>
          <a:off x="1133475" y="10734675"/>
          <a:ext cx="809625" cy="257175"/>
        </a:xfrm>
        <a:prstGeom prst="borderCallout2">
          <a:avLst>
            <a:gd name="adj1" fmla="val 303935"/>
            <a:gd name="adj2" fmla="val 110345"/>
            <a:gd name="adj3" fmla="val 222455"/>
            <a:gd name="adj4" fmla="val 86268"/>
            <a:gd name="adj5" fmla="val 105093"/>
            <a:gd name="adj6" fmla="val 720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twoCellAnchor editAs="oneCell">
    <xdr:from>
      <xdr:col>0</xdr:col>
      <xdr:colOff>0</xdr:colOff>
      <xdr:row>77</xdr:row>
      <xdr:rowOff>171449</xdr:rowOff>
    </xdr:from>
    <xdr:to>
      <xdr:col>9</xdr:col>
      <xdr:colOff>127355</xdr:colOff>
      <xdr:row>102</xdr:row>
      <xdr:rowOff>161236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3373099"/>
          <a:ext cx="8071205" cy="4276037"/>
        </a:xfrm>
        <a:prstGeom prst="rect">
          <a:avLst/>
        </a:prstGeom>
      </xdr:spPr>
    </xdr:pic>
    <xdr:clientData/>
  </xdr:twoCellAnchor>
  <xdr:twoCellAnchor editAs="oneCell">
    <xdr:from>
      <xdr:col>0</xdr:col>
      <xdr:colOff>0</xdr:colOff>
      <xdr:row>104</xdr:row>
      <xdr:rowOff>0</xdr:rowOff>
    </xdr:from>
    <xdr:to>
      <xdr:col>8</xdr:col>
      <xdr:colOff>679612</xdr:colOff>
      <xdr:row>128</xdr:row>
      <xdr:rowOff>65994</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3"/>
        <a:stretch>
          <a:fillRect/>
        </a:stretch>
      </xdr:blipFill>
      <xdr:spPr>
        <a:xfrm>
          <a:off x="0" y="17830800"/>
          <a:ext cx="7937662" cy="4180794"/>
        </a:xfrm>
        <a:prstGeom prst="rect">
          <a:avLst/>
        </a:prstGeom>
      </xdr:spPr>
    </xdr:pic>
    <xdr:clientData/>
  </xdr:twoCellAnchor>
  <xdr:twoCellAnchor editAs="oneCell">
    <xdr:from>
      <xdr:col>0</xdr:col>
      <xdr:colOff>0</xdr:colOff>
      <xdr:row>129</xdr:row>
      <xdr:rowOff>57149</xdr:rowOff>
    </xdr:from>
    <xdr:to>
      <xdr:col>8</xdr:col>
      <xdr:colOff>589248</xdr:colOff>
      <xdr:row>152</xdr:row>
      <xdr:rowOff>37448</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4"/>
        <a:stretch>
          <a:fillRect/>
        </a:stretch>
      </xdr:blipFill>
      <xdr:spPr>
        <a:xfrm>
          <a:off x="0" y="22174199"/>
          <a:ext cx="7847298" cy="3923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301624</xdr:colOff>
      <xdr:row>0</xdr:row>
      <xdr:rowOff>0</xdr:rowOff>
    </xdr:from>
    <xdr:to>
      <xdr:col>18</xdr:col>
      <xdr:colOff>514349</xdr:colOff>
      <xdr:row>25</xdr:row>
      <xdr:rowOff>160786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6054724" y="0"/>
          <a:ext cx="5013325" cy="4447036"/>
        </a:xfrm>
        <a:prstGeom prst="rect">
          <a:avLst/>
        </a:prstGeom>
      </xdr:spPr>
    </xdr:pic>
    <xdr:clientData/>
  </xdr:twoCellAnchor>
  <xdr:twoCellAnchor editAs="oneCell">
    <xdr:from>
      <xdr:col>11</xdr:col>
      <xdr:colOff>314325</xdr:colOff>
      <xdr:row>26</xdr:row>
      <xdr:rowOff>4549</xdr:rowOff>
    </xdr:from>
    <xdr:to>
      <xdr:col>19</xdr:col>
      <xdr:colOff>209550</xdr:colOff>
      <xdr:row>40</xdr:row>
      <xdr:rowOff>66322</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6067425" y="4462249"/>
          <a:ext cx="5381625" cy="2462073"/>
        </a:xfrm>
        <a:prstGeom prst="rect">
          <a:avLst/>
        </a:prstGeom>
      </xdr:spPr>
    </xdr:pic>
    <xdr:clientData/>
  </xdr:twoCellAnchor>
  <xdr:twoCellAnchor editAs="oneCell">
    <xdr:from>
      <xdr:col>0</xdr:col>
      <xdr:colOff>0</xdr:colOff>
      <xdr:row>11</xdr:row>
      <xdr:rowOff>95250</xdr:rowOff>
    </xdr:from>
    <xdr:to>
      <xdr:col>8</xdr:col>
      <xdr:colOff>482914</xdr:colOff>
      <xdr:row>35</xdr:row>
      <xdr:rowOff>56503</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981200"/>
          <a:ext cx="5664514" cy="4076053"/>
        </a:xfrm>
        <a:prstGeom prst="rect">
          <a:avLst/>
        </a:prstGeom>
      </xdr:spPr>
    </xdr:pic>
    <xdr:clientData/>
  </xdr:twoCellAnchor>
  <xdr:twoCellAnchor editAs="oneCell">
    <xdr:from>
      <xdr:col>0</xdr:col>
      <xdr:colOff>9525</xdr:colOff>
      <xdr:row>44</xdr:row>
      <xdr:rowOff>161925</xdr:rowOff>
    </xdr:from>
    <xdr:to>
      <xdr:col>9</xdr:col>
      <xdr:colOff>580160</xdr:colOff>
      <xdr:row>74</xdr:row>
      <xdr:rowOff>161282</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9525" y="7705725"/>
          <a:ext cx="6923810" cy="5142857"/>
        </a:xfrm>
        <a:prstGeom prst="rect">
          <a:avLst/>
        </a:prstGeom>
      </xdr:spPr>
    </xdr:pic>
    <xdr:clientData/>
  </xdr:twoCellAnchor>
  <xdr:twoCellAnchor editAs="oneCell">
    <xdr:from>
      <xdr:col>0</xdr:col>
      <xdr:colOff>0</xdr:colOff>
      <xdr:row>76</xdr:row>
      <xdr:rowOff>0</xdr:rowOff>
    </xdr:from>
    <xdr:to>
      <xdr:col>13</xdr:col>
      <xdr:colOff>370292</xdr:colOff>
      <xdr:row>85</xdr:row>
      <xdr:rowOff>37902</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13030200"/>
          <a:ext cx="9466667" cy="1580952"/>
        </a:xfrm>
        <a:prstGeom prst="rect">
          <a:avLst/>
        </a:prstGeom>
      </xdr:spPr>
    </xdr:pic>
    <xdr:clientData/>
  </xdr:twoCellAnchor>
  <xdr:twoCellAnchor editAs="oneCell">
    <xdr:from>
      <xdr:col>0</xdr:col>
      <xdr:colOff>0</xdr:colOff>
      <xdr:row>86</xdr:row>
      <xdr:rowOff>0</xdr:rowOff>
    </xdr:from>
    <xdr:to>
      <xdr:col>13</xdr:col>
      <xdr:colOff>341721</xdr:colOff>
      <xdr:row>94</xdr:row>
      <xdr:rowOff>47448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4744700"/>
          <a:ext cx="9438096" cy="1419048"/>
        </a:xfrm>
        <a:prstGeom prst="rect">
          <a:avLst/>
        </a:prstGeom>
      </xdr:spPr>
    </xdr:pic>
    <xdr:clientData/>
  </xdr:twoCellAnchor>
  <xdr:twoCellAnchor editAs="oneCell">
    <xdr:from>
      <xdr:col>0</xdr:col>
      <xdr:colOff>0</xdr:colOff>
      <xdr:row>95</xdr:row>
      <xdr:rowOff>0</xdr:rowOff>
    </xdr:from>
    <xdr:to>
      <xdr:col>13</xdr:col>
      <xdr:colOff>389340</xdr:colOff>
      <xdr:row>103</xdr:row>
      <xdr:rowOff>37924</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16287750"/>
          <a:ext cx="9485715" cy="1409524"/>
        </a:xfrm>
        <a:prstGeom prst="rect">
          <a:avLst/>
        </a:prstGeom>
      </xdr:spPr>
    </xdr:pic>
    <xdr:clientData/>
  </xdr:twoCellAnchor>
  <xdr:twoCellAnchor editAs="oneCell">
    <xdr:from>
      <xdr:col>0</xdr:col>
      <xdr:colOff>0</xdr:colOff>
      <xdr:row>105</xdr:row>
      <xdr:rowOff>0</xdr:rowOff>
    </xdr:from>
    <xdr:to>
      <xdr:col>16</xdr:col>
      <xdr:colOff>427178</xdr:colOff>
      <xdr:row>134</xdr:row>
      <xdr:rowOff>104141</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18002250"/>
          <a:ext cx="11580953" cy="50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552450</xdr:colOff>
      <xdr:row>1689</xdr:row>
      <xdr:rowOff>28575</xdr:rowOff>
    </xdr:from>
    <xdr:to>
      <xdr:col>6</xdr:col>
      <xdr:colOff>57785</xdr:colOff>
      <xdr:row>1689</xdr:row>
      <xdr:rowOff>163830</xdr:rowOff>
    </xdr:to>
    <xdr:sp macro="" textlink="">
      <xdr:nvSpPr>
        <xdr:cNvPr id="2" name="TextBox 49" descr="TextBox 49">
          <a:extLst>
            <a:ext uri="{FF2B5EF4-FFF2-40B4-BE49-F238E27FC236}">
              <a16:creationId xmlns:a16="http://schemas.microsoft.com/office/drawing/2014/main" id="{00000000-0008-0000-2E00-000002000000}"/>
            </a:ext>
          </a:extLst>
        </xdr:cNvPr>
        <xdr:cNvSpPr txBox="1"/>
      </xdr:nvSpPr>
      <xdr:spPr>
        <a:xfrm rot="21600000">
          <a:off x="4998085" y="1398270"/>
          <a:ext cx="19113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50">
              <a:solidFill>
                <a:srgbClr val="000000"/>
              </a:solidFill>
              <a:effectLst/>
              <a:latin typeface="Courier New"/>
              <a:ea typeface="Courier New"/>
            </a:rPr>
            <a:t>139</a:t>
          </a:r>
          <a:endParaRPr lang="zh-CN" sz="1050">
            <a:solidFill>
              <a:srgbClr val="000000"/>
            </a:solidFill>
            <a:effectLst/>
            <a:latin typeface="Arial"/>
            <a:ea typeface="宋体"/>
          </a:endParaRPr>
        </a:p>
      </xdr:txBody>
    </xdr:sp>
    <xdr:clientData/>
  </xdr:twoCellAnchor>
  <xdr:twoCellAnchor>
    <xdr:from>
      <xdr:col>8</xdr:col>
      <xdr:colOff>600075</xdr:colOff>
      <xdr:row>1629</xdr:row>
      <xdr:rowOff>28575</xdr:rowOff>
    </xdr:from>
    <xdr:to>
      <xdr:col>9</xdr:col>
      <xdr:colOff>61595</xdr:colOff>
      <xdr:row>1629</xdr:row>
      <xdr:rowOff>163195</xdr:rowOff>
    </xdr:to>
    <xdr:sp macro="" textlink="">
      <xdr:nvSpPr>
        <xdr:cNvPr id="3" name="TextBox 41" descr="TextBox 41">
          <a:extLst>
            <a:ext uri="{FF2B5EF4-FFF2-40B4-BE49-F238E27FC236}">
              <a16:creationId xmlns:a16="http://schemas.microsoft.com/office/drawing/2014/main" id="{00000000-0008-0000-2E00-000003000000}"/>
            </a:ext>
          </a:extLst>
        </xdr:cNvPr>
        <xdr:cNvSpPr txBox="1"/>
      </xdr:nvSpPr>
      <xdr:spPr>
        <a:xfrm rot="21600000">
          <a:off x="6301740" y="1397000"/>
          <a:ext cx="14732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10">
              <a:solidFill>
                <a:srgbClr val="000000"/>
              </a:solidFill>
              <a:effectLst/>
              <a:latin typeface="Courier New"/>
              <a:ea typeface="Courier New"/>
            </a:rPr>
            <a:t>57</a:t>
          </a:r>
          <a:endParaRPr lang="zh-CN" sz="1050">
            <a:solidFill>
              <a:srgbClr val="000000"/>
            </a:solidFill>
            <a:effectLst/>
            <a:latin typeface="Arial"/>
            <a:ea typeface="宋体"/>
          </a:endParaRPr>
        </a:p>
      </xdr:txBody>
    </xdr:sp>
    <xdr:clientData/>
  </xdr:twoCellAnchor>
  <xdr:twoCellAnchor>
    <xdr:from>
      <xdr:col>8</xdr:col>
      <xdr:colOff>600075</xdr:colOff>
      <xdr:row>1689</xdr:row>
      <xdr:rowOff>28575</xdr:rowOff>
    </xdr:from>
    <xdr:to>
      <xdr:col>9</xdr:col>
      <xdr:colOff>58420</xdr:colOff>
      <xdr:row>1689</xdr:row>
      <xdr:rowOff>163830</xdr:rowOff>
    </xdr:to>
    <xdr:sp macro="" textlink="">
      <xdr:nvSpPr>
        <xdr:cNvPr id="4" name="TextBox 50" descr="TextBox 50">
          <a:extLst>
            <a:ext uri="{FF2B5EF4-FFF2-40B4-BE49-F238E27FC236}">
              <a16:creationId xmlns:a16="http://schemas.microsoft.com/office/drawing/2014/main" id="{00000000-0008-0000-2E00-000004000000}"/>
            </a:ext>
          </a:extLst>
        </xdr:cNvPr>
        <xdr:cNvSpPr txBox="1"/>
      </xdr:nvSpPr>
      <xdr:spPr>
        <a:xfrm rot="21600000">
          <a:off x="6302375" y="1398270"/>
          <a:ext cx="14414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84</a:t>
          </a:r>
          <a:endParaRPr lang="zh-CN" sz="1050">
            <a:solidFill>
              <a:srgbClr val="000000"/>
            </a:solidFill>
            <a:effectLst/>
            <a:latin typeface="Arial"/>
            <a:ea typeface="宋体"/>
          </a:endParaRPr>
        </a:p>
      </xdr:txBody>
    </xdr:sp>
    <xdr:clientData/>
  </xdr:twoCellAnchor>
  <xdr:twoCellAnchor>
    <xdr:from>
      <xdr:col>5</xdr:col>
      <xdr:colOff>552450</xdr:colOff>
      <xdr:row>1749</xdr:row>
      <xdr:rowOff>28575</xdr:rowOff>
    </xdr:from>
    <xdr:to>
      <xdr:col>6</xdr:col>
      <xdr:colOff>57785</xdr:colOff>
      <xdr:row>1749</xdr:row>
      <xdr:rowOff>163830</xdr:rowOff>
    </xdr:to>
    <xdr:sp macro="" textlink="">
      <xdr:nvSpPr>
        <xdr:cNvPr id="5" name="TextBox 58" descr="TextBox 58">
          <a:extLst>
            <a:ext uri="{FF2B5EF4-FFF2-40B4-BE49-F238E27FC236}">
              <a16:creationId xmlns:a16="http://schemas.microsoft.com/office/drawing/2014/main" id="{00000000-0008-0000-2E00-000005000000}"/>
            </a:ext>
          </a:extLst>
        </xdr:cNvPr>
        <xdr:cNvSpPr txBox="1"/>
      </xdr:nvSpPr>
      <xdr:spPr>
        <a:xfrm rot="21600000">
          <a:off x="4998085" y="1397635"/>
          <a:ext cx="19113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50">
              <a:solidFill>
                <a:srgbClr val="000000"/>
              </a:solidFill>
              <a:effectLst/>
              <a:latin typeface="Courier New"/>
              <a:ea typeface="Courier New"/>
            </a:rPr>
            <a:t>139</a:t>
          </a:r>
          <a:endParaRPr lang="zh-CN" sz="1050">
            <a:solidFill>
              <a:srgbClr val="000000"/>
            </a:solidFill>
            <a:effectLst/>
            <a:latin typeface="Arial"/>
            <a:ea typeface="宋体"/>
          </a:endParaRPr>
        </a:p>
      </xdr:txBody>
    </xdr:sp>
    <xdr:clientData/>
  </xdr:twoCellAnchor>
  <xdr:twoCellAnchor>
    <xdr:from>
      <xdr:col>5</xdr:col>
      <xdr:colOff>552450</xdr:colOff>
      <xdr:row>1639</xdr:row>
      <xdr:rowOff>38100</xdr:rowOff>
    </xdr:from>
    <xdr:to>
      <xdr:col>6</xdr:col>
      <xdr:colOff>58420</xdr:colOff>
      <xdr:row>1639</xdr:row>
      <xdr:rowOff>173355</xdr:rowOff>
    </xdr:to>
    <xdr:sp macro="" textlink="">
      <xdr:nvSpPr>
        <xdr:cNvPr id="6" name="TextBox 42" descr="TextBox 42">
          <a:extLst>
            <a:ext uri="{FF2B5EF4-FFF2-40B4-BE49-F238E27FC236}">
              <a16:creationId xmlns:a16="http://schemas.microsoft.com/office/drawing/2014/main" id="{00000000-0008-0000-2E00-000006000000}"/>
            </a:ext>
          </a:extLst>
        </xdr:cNvPr>
        <xdr:cNvSpPr txBox="1"/>
      </xdr:nvSpPr>
      <xdr:spPr>
        <a:xfrm rot="21600000">
          <a:off x="4998085" y="2938780"/>
          <a:ext cx="19177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118</a:t>
          </a:r>
          <a:endParaRPr lang="zh-CN" sz="1050">
            <a:solidFill>
              <a:srgbClr val="000000"/>
            </a:solidFill>
            <a:effectLst/>
            <a:latin typeface="Arial"/>
            <a:ea typeface="宋体"/>
          </a:endParaRPr>
        </a:p>
      </xdr:txBody>
    </xdr:sp>
    <xdr:clientData/>
  </xdr:twoCellAnchor>
  <xdr:twoCellAnchor>
    <xdr:from>
      <xdr:col>5</xdr:col>
      <xdr:colOff>552450</xdr:colOff>
      <xdr:row>1699</xdr:row>
      <xdr:rowOff>28575</xdr:rowOff>
    </xdr:from>
    <xdr:to>
      <xdr:col>6</xdr:col>
      <xdr:colOff>58420</xdr:colOff>
      <xdr:row>1699</xdr:row>
      <xdr:rowOff>163830</xdr:rowOff>
    </xdr:to>
    <xdr:sp macro="" textlink="">
      <xdr:nvSpPr>
        <xdr:cNvPr id="7" name="TextBox 51" descr="TextBox 51">
          <a:extLst>
            <a:ext uri="{FF2B5EF4-FFF2-40B4-BE49-F238E27FC236}">
              <a16:creationId xmlns:a16="http://schemas.microsoft.com/office/drawing/2014/main" id="{00000000-0008-0000-2E00-000007000000}"/>
            </a:ext>
          </a:extLst>
        </xdr:cNvPr>
        <xdr:cNvSpPr txBox="1"/>
      </xdr:nvSpPr>
      <xdr:spPr>
        <a:xfrm rot="21600000">
          <a:off x="4998085" y="2939415"/>
          <a:ext cx="19177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118</a:t>
          </a:r>
          <a:endParaRPr lang="zh-CN" sz="1050">
            <a:solidFill>
              <a:srgbClr val="000000"/>
            </a:solidFill>
            <a:effectLst/>
            <a:latin typeface="Arial"/>
            <a:ea typeface="宋体"/>
          </a:endParaRPr>
        </a:p>
      </xdr:txBody>
    </xdr:sp>
    <xdr:clientData/>
  </xdr:twoCellAnchor>
  <xdr:twoCellAnchor>
    <xdr:from>
      <xdr:col>8</xdr:col>
      <xdr:colOff>600075</xdr:colOff>
      <xdr:row>1749</xdr:row>
      <xdr:rowOff>28575</xdr:rowOff>
    </xdr:from>
    <xdr:to>
      <xdr:col>9</xdr:col>
      <xdr:colOff>58420</xdr:colOff>
      <xdr:row>1749</xdr:row>
      <xdr:rowOff>163830</xdr:rowOff>
    </xdr:to>
    <xdr:sp macro="" textlink="">
      <xdr:nvSpPr>
        <xdr:cNvPr id="8" name="TextBox 59" descr="TextBox 59">
          <a:extLst>
            <a:ext uri="{FF2B5EF4-FFF2-40B4-BE49-F238E27FC236}">
              <a16:creationId xmlns:a16="http://schemas.microsoft.com/office/drawing/2014/main" id="{00000000-0008-0000-2E00-000008000000}"/>
            </a:ext>
          </a:extLst>
        </xdr:cNvPr>
        <xdr:cNvSpPr txBox="1"/>
      </xdr:nvSpPr>
      <xdr:spPr>
        <a:xfrm rot="21600000">
          <a:off x="6302375" y="1397635"/>
          <a:ext cx="14414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84</a:t>
          </a:r>
          <a:endParaRPr lang="zh-CN" sz="1050">
            <a:solidFill>
              <a:srgbClr val="000000"/>
            </a:solidFill>
            <a:effectLst/>
            <a:latin typeface="Arial"/>
            <a:ea typeface="宋体"/>
          </a:endParaRPr>
        </a:p>
      </xdr:txBody>
    </xdr:sp>
    <xdr:clientData/>
  </xdr:twoCellAnchor>
  <xdr:twoCellAnchor>
    <xdr:from>
      <xdr:col>8</xdr:col>
      <xdr:colOff>600075</xdr:colOff>
      <xdr:row>1639</xdr:row>
      <xdr:rowOff>28575</xdr:rowOff>
    </xdr:from>
    <xdr:to>
      <xdr:col>9</xdr:col>
      <xdr:colOff>57785</xdr:colOff>
      <xdr:row>1639</xdr:row>
      <xdr:rowOff>163830</xdr:rowOff>
    </xdr:to>
    <xdr:sp macro="" textlink="">
      <xdr:nvSpPr>
        <xdr:cNvPr id="9" name="TextBox 43" descr="TextBox 43">
          <a:extLst>
            <a:ext uri="{FF2B5EF4-FFF2-40B4-BE49-F238E27FC236}">
              <a16:creationId xmlns:a16="http://schemas.microsoft.com/office/drawing/2014/main" id="{00000000-0008-0000-2E00-000009000000}"/>
            </a:ext>
          </a:extLst>
        </xdr:cNvPr>
        <xdr:cNvSpPr txBox="1"/>
      </xdr:nvSpPr>
      <xdr:spPr>
        <a:xfrm rot="21600000">
          <a:off x="6304280" y="2938145"/>
          <a:ext cx="14351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72</a:t>
          </a:r>
          <a:endParaRPr lang="zh-CN" sz="1050">
            <a:solidFill>
              <a:srgbClr val="000000"/>
            </a:solidFill>
            <a:effectLst/>
            <a:latin typeface="Arial"/>
            <a:ea typeface="宋体"/>
          </a:endParaRPr>
        </a:p>
      </xdr:txBody>
    </xdr:sp>
    <xdr:clientData/>
  </xdr:twoCellAnchor>
  <xdr:twoCellAnchor>
    <xdr:from>
      <xdr:col>8</xdr:col>
      <xdr:colOff>600075</xdr:colOff>
      <xdr:row>1699</xdr:row>
      <xdr:rowOff>28575</xdr:rowOff>
    </xdr:from>
    <xdr:to>
      <xdr:col>9</xdr:col>
      <xdr:colOff>57785</xdr:colOff>
      <xdr:row>1699</xdr:row>
      <xdr:rowOff>163830</xdr:rowOff>
    </xdr:to>
    <xdr:sp macro="" textlink="">
      <xdr:nvSpPr>
        <xdr:cNvPr id="10" name="TextBox 52" descr="TextBox 52">
          <a:extLst>
            <a:ext uri="{FF2B5EF4-FFF2-40B4-BE49-F238E27FC236}">
              <a16:creationId xmlns:a16="http://schemas.microsoft.com/office/drawing/2014/main" id="{00000000-0008-0000-2E00-00000A000000}"/>
            </a:ext>
          </a:extLst>
        </xdr:cNvPr>
        <xdr:cNvSpPr txBox="1"/>
      </xdr:nvSpPr>
      <xdr:spPr>
        <a:xfrm rot="21600000">
          <a:off x="6304280" y="2938780"/>
          <a:ext cx="14351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72</a:t>
          </a:r>
          <a:endParaRPr lang="zh-CN" sz="1050">
            <a:solidFill>
              <a:srgbClr val="000000"/>
            </a:solidFill>
            <a:effectLst/>
            <a:latin typeface="Arial"/>
            <a:ea typeface="宋体"/>
          </a:endParaRPr>
        </a:p>
      </xdr:txBody>
    </xdr:sp>
    <xdr:clientData/>
  </xdr:twoCellAnchor>
  <xdr:twoCellAnchor>
    <xdr:from>
      <xdr:col>8</xdr:col>
      <xdr:colOff>600075</xdr:colOff>
      <xdr:row>1759</xdr:row>
      <xdr:rowOff>28575</xdr:rowOff>
    </xdr:from>
    <xdr:to>
      <xdr:col>9</xdr:col>
      <xdr:colOff>61595</xdr:colOff>
      <xdr:row>1759</xdr:row>
      <xdr:rowOff>163195</xdr:rowOff>
    </xdr:to>
    <xdr:sp macro="" textlink="">
      <xdr:nvSpPr>
        <xdr:cNvPr id="11" name="TextBox 60" descr="TextBox 60">
          <a:extLst>
            <a:ext uri="{FF2B5EF4-FFF2-40B4-BE49-F238E27FC236}">
              <a16:creationId xmlns:a16="http://schemas.microsoft.com/office/drawing/2014/main" id="{00000000-0008-0000-2E00-00000B000000}"/>
            </a:ext>
          </a:extLst>
        </xdr:cNvPr>
        <xdr:cNvSpPr txBox="1"/>
      </xdr:nvSpPr>
      <xdr:spPr>
        <a:xfrm rot="21600000">
          <a:off x="6301740" y="2938145"/>
          <a:ext cx="14732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10">
              <a:solidFill>
                <a:srgbClr val="000000"/>
              </a:solidFill>
              <a:effectLst/>
              <a:latin typeface="Courier New"/>
              <a:ea typeface="Courier New"/>
            </a:rPr>
            <a:t>57</a:t>
          </a:r>
          <a:endParaRPr lang="zh-CN" sz="1050">
            <a:solidFill>
              <a:srgbClr val="000000"/>
            </a:solidFill>
            <a:effectLst/>
            <a:latin typeface="Arial"/>
            <a:ea typeface="宋体"/>
          </a:endParaRPr>
        </a:p>
      </xdr:txBody>
    </xdr:sp>
    <xdr:clientData/>
  </xdr:twoCellAnchor>
  <xdr:twoCellAnchor>
    <xdr:from>
      <xdr:col>5</xdr:col>
      <xdr:colOff>609600</xdr:colOff>
      <xdr:row>105</xdr:row>
      <xdr:rowOff>28575</xdr:rowOff>
    </xdr:from>
    <xdr:to>
      <xdr:col>6</xdr:col>
      <xdr:colOff>57785</xdr:colOff>
      <xdr:row>105</xdr:row>
      <xdr:rowOff>163830</xdr:rowOff>
    </xdr:to>
    <xdr:sp macro="" textlink="">
      <xdr:nvSpPr>
        <xdr:cNvPr id="12" name="TextBox 8" descr="TextBox 8">
          <a:extLst>
            <a:ext uri="{FF2B5EF4-FFF2-40B4-BE49-F238E27FC236}">
              <a16:creationId xmlns:a16="http://schemas.microsoft.com/office/drawing/2014/main" id="{00000000-0008-0000-2E00-00000C000000}"/>
            </a:ext>
          </a:extLst>
        </xdr:cNvPr>
        <xdr:cNvSpPr txBox="1"/>
      </xdr:nvSpPr>
      <xdr:spPr>
        <a:xfrm rot="21600000">
          <a:off x="5065395" y="8174990"/>
          <a:ext cx="1339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13</a:t>
          </a:r>
          <a:endParaRPr lang="zh-CN" sz="1050">
            <a:solidFill>
              <a:srgbClr val="000000"/>
            </a:solidFill>
            <a:effectLst/>
            <a:latin typeface="Arial"/>
            <a:ea typeface="宋体"/>
          </a:endParaRPr>
        </a:p>
      </xdr:txBody>
    </xdr:sp>
    <xdr:clientData/>
  </xdr:twoCellAnchor>
  <xdr:twoCellAnchor>
    <xdr:from>
      <xdr:col>8</xdr:col>
      <xdr:colOff>600075</xdr:colOff>
      <xdr:row>419</xdr:row>
      <xdr:rowOff>28575</xdr:rowOff>
    </xdr:from>
    <xdr:to>
      <xdr:col>9</xdr:col>
      <xdr:colOff>61595</xdr:colOff>
      <xdr:row>419</xdr:row>
      <xdr:rowOff>163830</xdr:rowOff>
    </xdr:to>
    <xdr:sp macro="" textlink="">
      <xdr:nvSpPr>
        <xdr:cNvPr id="13" name="TextBox 9" descr="TextBox 9">
          <a:extLst>
            <a:ext uri="{FF2B5EF4-FFF2-40B4-BE49-F238E27FC236}">
              <a16:creationId xmlns:a16="http://schemas.microsoft.com/office/drawing/2014/main" id="{00000000-0008-0000-2E00-00000D000000}"/>
            </a:ext>
          </a:extLst>
        </xdr:cNvPr>
        <xdr:cNvSpPr txBox="1"/>
      </xdr:nvSpPr>
      <xdr:spPr>
        <a:xfrm rot="21600000">
          <a:off x="6325870" y="1398270"/>
          <a:ext cx="1473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86</a:t>
          </a:r>
          <a:endParaRPr lang="zh-CN" sz="1050">
            <a:solidFill>
              <a:srgbClr val="000000"/>
            </a:solidFill>
            <a:effectLst/>
            <a:latin typeface="Arial"/>
            <a:ea typeface="宋体"/>
          </a:endParaRPr>
        </a:p>
      </xdr:txBody>
    </xdr:sp>
    <xdr:clientData/>
  </xdr:twoCellAnchor>
  <xdr:twoCellAnchor>
    <xdr:from>
      <xdr:col>8</xdr:col>
      <xdr:colOff>600075</xdr:colOff>
      <xdr:row>479</xdr:row>
      <xdr:rowOff>28575</xdr:rowOff>
    </xdr:from>
    <xdr:to>
      <xdr:col>9</xdr:col>
      <xdr:colOff>61595</xdr:colOff>
      <xdr:row>479</xdr:row>
      <xdr:rowOff>163830</xdr:rowOff>
    </xdr:to>
    <xdr:sp macro="" textlink="">
      <xdr:nvSpPr>
        <xdr:cNvPr id="14" name="TextBox 14" descr="TextBox 14">
          <a:extLst>
            <a:ext uri="{FF2B5EF4-FFF2-40B4-BE49-F238E27FC236}">
              <a16:creationId xmlns:a16="http://schemas.microsoft.com/office/drawing/2014/main" id="{00000000-0008-0000-2E00-00000E000000}"/>
            </a:ext>
          </a:extLst>
        </xdr:cNvPr>
        <xdr:cNvSpPr txBox="1"/>
      </xdr:nvSpPr>
      <xdr:spPr>
        <a:xfrm rot="21600000">
          <a:off x="6325870" y="1398270"/>
          <a:ext cx="1473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86</a:t>
          </a:r>
          <a:endParaRPr lang="zh-CN" sz="1050">
            <a:solidFill>
              <a:srgbClr val="000000"/>
            </a:solidFill>
            <a:effectLst/>
            <a:latin typeface="Arial"/>
            <a:ea typeface="宋体"/>
          </a:endParaRPr>
        </a:p>
      </xdr:txBody>
    </xdr:sp>
    <xdr:clientData/>
  </xdr:twoCellAnchor>
  <xdr:twoCellAnchor>
    <xdr:from>
      <xdr:col>8</xdr:col>
      <xdr:colOff>600075</xdr:colOff>
      <xdr:row>539</xdr:row>
      <xdr:rowOff>28575</xdr:rowOff>
    </xdr:from>
    <xdr:to>
      <xdr:col>9</xdr:col>
      <xdr:colOff>60960</xdr:colOff>
      <xdr:row>539</xdr:row>
      <xdr:rowOff>163830</xdr:rowOff>
    </xdr:to>
    <xdr:sp macro="" textlink="">
      <xdr:nvSpPr>
        <xdr:cNvPr id="15" name="TextBox 19" descr="TextBox 19">
          <a:extLst>
            <a:ext uri="{FF2B5EF4-FFF2-40B4-BE49-F238E27FC236}">
              <a16:creationId xmlns:a16="http://schemas.microsoft.com/office/drawing/2014/main" id="{00000000-0008-0000-2E00-00000F000000}"/>
            </a:ext>
          </a:extLst>
        </xdr:cNvPr>
        <xdr:cNvSpPr txBox="1"/>
      </xdr:nvSpPr>
      <xdr:spPr>
        <a:xfrm rot="21600000">
          <a:off x="6325870" y="1398270"/>
          <a:ext cx="1466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68</a:t>
          </a:r>
          <a:endParaRPr lang="zh-CN" sz="1050">
            <a:solidFill>
              <a:srgbClr val="000000"/>
            </a:solidFill>
            <a:effectLst/>
            <a:latin typeface="Arial"/>
            <a:ea typeface="宋体"/>
          </a:endParaRPr>
        </a:p>
      </xdr:txBody>
    </xdr:sp>
    <xdr:clientData/>
  </xdr:twoCellAnchor>
  <xdr:twoCellAnchor>
    <xdr:from>
      <xdr:col>8</xdr:col>
      <xdr:colOff>600075</xdr:colOff>
      <xdr:row>1656</xdr:row>
      <xdr:rowOff>19050</xdr:rowOff>
    </xdr:from>
    <xdr:to>
      <xdr:col>9</xdr:col>
      <xdr:colOff>61595</xdr:colOff>
      <xdr:row>1656</xdr:row>
      <xdr:rowOff>153670</xdr:rowOff>
    </xdr:to>
    <xdr:sp macro="" textlink="">
      <xdr:nvSpPr>
        <xdr:cNvPr id="16" name="TextBox 44" descr="TextBox 44">
          <a:extLst>
            <a:ext uri="{FF2B5EF4-FFF2-40B4-BE49-F238E27FC236}">
              <a16:creationId xmlns:a16="http://schemas.microsoft.com/office/drawing/2014/main" id="{00000000-0008-0000-2E00-000010000000}"/>
            </a:ext>
          </a:extLst>
        </xdr:cNvPr>
        <xdr:cNvSpPr txBox="1"/>
      </xdr:nvSpPr>
      <xdr:spPr>
        <a:xfrm rot="21600000">
          <a:off x="6301740" y="5555615"/>
          <a:ext cx="14732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10">
              <a:solidFill>
                <a:srgbClr val="000000"/>
              </a:solidFill>
              <a:effectLst/>
              <a:latin typeface="Courier New"/>
              <a:ea typeface="Courier New"/>
            </a:rPr>
            <a:t>57</a:t>
          </a:r>
          <a:endParaRPr lang="zh-CN" sz="1050">
            <a:solidFill>
              <a:srgbClr val="000000"/>
            </a:solidFill>
            <a:effectLst/>
            <a:latin typeface="Arial"/>
            <a:ea typeface="宋体"/>
          </a:endParaRPr>
        </a:p>
      </xdr:txBody>
    </xdr:sp>
    <xdr:clientData/>
  </xdr:twoCellAnchor>
  <xdr:twoCellAnchor>
    <xdr:from>
      <xdr:col>5</xdr:col>
      <xdr:colOff>552450</xdr:colOff>
      <xdr:row>1716</xdr:row>
      <xdr:rowOff>19050</xdr:rowOff>
    </xdr:from>
    <xdr:to>
      <xdr:col>6</xdr:col>
      <xdr:colOff>58420</xdr:colOff>
      <xdr:row>1716</xdr:row>
      <xdr:rowOff>154305</xdr:rowOff>
    </xdr:to>
    <xdr:sp macro="" textlink="">
      <xdr:nvSpPr>
        <xdr:cNvPr id="17" name="TextBox 53" descr="TextBox 53">
          <a:extLst>
            <a:ext uri="{FF2B5EF4-FFF2-40B4-BE49-F238E27FC236}">
              <a16:creationId xmlns:a16="http://schemas.microsoft.com/office/drawing/2014/main" id="{00000000-0008-0000-2E00-000011000000}"/>
            </a:ext>
          </a:extLst>
        </xdr:cNvPr>
        <xdr:cNvSpPr txBox="1"/>
      </xdr:nvSpPr>
      <xdr:spPr>
        <a:xfrm rot="21600000">
          <a:off x="4998085" y="5558155"/>
          <a:ext cx="19177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118</a:t>
          </a:r>
          <a:endParaRPr lang="zh-CN" sz="1050">
            <a:solidFill>
              <a:srgbClr val="000000"/>
            </a:solidFill>
            <a:effectLst/>
            <a:latin typeface="Arial"/>
            <a:ea typeface="宋体"/>
          </a:endParaRPr>
        </a:p>
      </xdr:txBody>
    </xdr:sp>
    <xdr:clientData/>
  </xdr:twoCellAnchor>
  <xdr:twoCellAnchor>
    <xdr:from>
      <xdr:col>5</xdr:col>
      <xdr:colOff>552450</xdr:colOff>
      <xdr:row>1776</xdr:row>
      <xdr:rowOff>19050</xdr:rowOff>
    </xdr:from>
    <xdr:to>
      <xdr:col>6</xdr:col>
      <xdr:colOff>58420</xdr:colOff>
      <xdr:row>1776</xdr:row>
      <xdr:rowOff>154305</xdr:rowOff>
    </xdr:to>
    <xdr:sp macro="" textlink="">
      <xdr:nvSpPr>
        <xdr:cNvPr id="18" name="TextBox 61" descr="TextBox 61">
          <a:extLst>
            <a:ext uri="{FF2B5EF4-FFF2-40B4-BE49-F238E27FC236}">
              <a16:creationId xmlns:a16="http://schemas.microsoft.com/office/drawing/2014/main" id="{00000000-0008-0000-2E00-000012000000}"/>
            </a:ext>
          </a:extLst>
        </xdr:cNvPr>
        <xdr:cNvSpPr txBox="1"/>
      </xdr:nvSpPr>
      <xdr:spPr>
        <a:xfrm rot="21600000">
          <a:off x="4998085" y="5556885"/>
          <a:ext cx="19177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118</a:t>
          </a:r>
          <a:endParaRPr lang="zh-CN" sz="1050">
            <a:solidFill>
              <a:srgbClr val="000000"/>
            </a:solidFill>
            <a:effectLst/>
            <a:latin typeface="Arial"/>
            <a:ea typeface="宋体"/>
          </a:endParaRPr>
        </a:p>
      </xdr:txBody>
    </xdr:sp>
    <xdr:clientData/>
  </xdr:twoCellAnchor>
  <xdr:twoCellAnchor>
    <xdr:from>
      <xdr:col>5</xdr:col>
      <xdr:colOff>609600</xdr:colOff>
      <xdr:row>98</xdr:row>
      <xdr:rowOff>19050</xdr:rowOff>
    </xdr:from>
    <xdr:to>
      <xdr:col>6</xdr:col>
      <xdr:colOff>59055</xdr:colOff>
      <xdr:row>98</xdr:row>
      <xdr:rowOff>154305</xdr:rowOff>
    </xdr:to>
    <xdr:sp macro="" textlink="">
      <xdr:nvSpPr>
        <xdr:cNvPr id="19" name="TextBox 7" descr="TextBox 7">
          <a:extLst>
            <a:ext uri="{FF2B5EF4-FFF2-40B4-BE49-F238E27FC236}">
              <a16:creationId xmlns:a16="http://schemas.microsoft.com/office/drawing/2014/main" id="{00000000-0008-0000-2E00-000013000000}"/>
            </a:ext>
          </a:extLst>
        </xdr:cNvPr>
        <xdr:cNvSpPr txBox="1"/>
      </xdr:nvSpPr>
      <xdr:spPr>
        <a:xfrm rot="21600000">
          <a:off x="5065395" y="7097395"/>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8</xdr:col>
      <xdr:colOff>600075</xdr:colOff>
      <xdr:row>429</xdr:row>
      <xdr:rowOff>28575</xdr:rowOff>
    </xdr:from>
    <xdr:to>
      <xdr:col>9</xdr:col>
      <xdr:colOff>59055</xdr:colOff>
      <xdr:row>429</xdr:row>
      <xdr:rowOff>163195</xdr:rowOff>
    </xdr:to>
    <xdr:sp macro="" textlink="">
      <xdr:nvSpPr>
        <xdr:cNvPr id="20" name="TextBox 10" descr="TextBox 10">
          <a:extLst>
            <a:ext uri="{FF2B5EF4-FFF2-40B4-BE49-F238E27FC236}">
              <a16:creationId xmlns:a16="http://schemas.microsoft.com/office/drawing/2014/main" id="{00000000-0008-0000-2E00-000014000000}"/>
            </a:ext>
          </a:extLst>
        </xdr:cNvPr>
        <xdr:cNvSpPr txBox="1"/>
      </xdr:nvSpPr>
      <xdr:spPr>
        <a:xfrm rot="21600000">
          <a:off x="6327775" y="2938780"/>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8</xdr:col>
      <xdr:colOff>600075</xdr:colOff>
      <xdr:row>489</xdr:row>
      <xdr:rowOff>28575</xdr:rowOff>
    </xdr:from>
    <xdr:to>
      <xdr:col>9</xdr:col>
      <xdr:colOff>60960</xdr:colOff>
      <xdr:row>489</xdr:row>
      <xdr:rowOff>163830</xdr:rowOff>
    </xdr:to>
    <xdr:sp macro="" textlink="">
      <xdr:nvSpPr>
        <xdr:cNvPr id="21" name="TextBox 15" descr="TextBox 15">
          <a:extLst>
            <a:ext uri="{FF2B5EF4-FFF2-40B4-BE49-F238E27FC236}">
              <a16:creationId xmlns:a16="http://schemas.microsoft.com/office/drawing/2014/main" id="{00000000-0008-0000-2E00-000015000000}"/>
            </a:ext>
          </a:extLst>
        </xdr:cNvPr>
        <xdr:cNvSpPr txBox="1"/>
      </xdr:nvSpPr>
      <xdr:spPr>
        <a:xfrm rot="21600000">
          <a:off x="6325870" y="2939415"/>
          <a:ext cx="1466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68</a:t>
          </a:r>
          <a:endParaRPr lang="zh-CN" sz="1050">
            <a:solidFill>
              <a:srgbClr val="000000"/>
            </a:solidFill>
            <a:effectLst/>
            <a:latin typeface="Arial"/>
            <a:ea typeface="宋体"/>
          </a:endParaRPr>
        </a:p>
      </xdr:txBody>
    </xdr:sp>
    <xdr:clientData/>
  </xdr:twoCellAnchor>
  <xdr:twoCellAnchor>
    <xdr:from>
      <xdr:col>8</xdr:col>
      <xdr:colOff>600075</xdr:colOff>
      <xdr:row>549</xdr:row>
      <xdr:rowOff>28575</xdr:rowOff>
    </xdr:from>
    <xdr:to>
      <xdr:col>9</xdr:col>
      <xdr:colOff>61595</xdr:colOff>
      <xdr:row>549</xdr:row>
      <xdr:rowOff>163830</xdr:rowOff>
    </xdr:to>
    <xdr:sp macro="" textlink="">
      <xdr:nvSpPr>
        <xdr:cNvPr id="22" name="TextBox 20" descr="TextBox 20">
          <a:extLst>
            <a:ext uri="{FF2B5EF4-FFF2-40B4-BE49-F238E27FC236}">
              <a16:creationId xmlns:a16="http://schemas.microsoft.com/office/drawing/2014/main" id="{00000000-0008-0000-2E00-000016000000}"/>
            </a:ext>
          </a:extLst>
        </xdr:cNvPr>
        <xdr:cNvSpPr txBox="1"/>
      </xdr:nvSpPr>
      <xdr:spPr>
        <a:xfrm rot="21600000">
          <a:off x="6325870" y="2939415"/>
          <a:ext cx="1473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86</a:t>
          </a:r>
          <a:endParaRPr lang="zh-CN" sz="1050">
            <a:solidFill>
              <a:srgbClr val="000000"/>
            </a:solidFill>
            <a:effectLst/>
            <a:latin typeface="Arial"/>
            <a:ea typeface="宋体"/>
          </a:endParaRPr>
        </a:p>
      </xdr:txBody>
    </xdr:sp>
    <xdr:clientData/>
  </xdr:twoCellAnchor>
  <xdr:twoCellAnchor>
    <xdr:from>
      <xdr:col>5</xdr:col>
      <xdr:colOff>600075</xdr:colOff>
      <xdr:row>1251</xdr:row>
      <xdr:rowOff>19050</xdr:rowOff>
    </xdr:from>
    <xdr:to>
      <xdr:col>6</xdr:col>
      <xdr:colOff>48895</xdr:colOff>
      <xdr:row>1251</xdr:row>
      <xdr:rowOff>154305</xdr:rowOff>
    </xdr:to>
    <xdr:sp macro="" textlink="">
      <xdr:nvSpPr>
        <xdr:cNvPr id="23" name="TextBox 39" descr="TextBox 39">
          <a:extLst>
            <a:ext uri="{FF2B5EF4-FFF2-40B4-BE49-F238E27FC236}">
              <a16:creationId xmlns:a16="http://schemas.microsoft.com/office/drawing/2014/main" id="{00000000-0008-0000-2E00-000017000000}"/>
            </a:ext>
          </a:extLst>
        </xdr:cNvPr>
        <xdr:cNvSpPr txBox="1"/>
      </xdr:nvSpPr>
      <xdr:spPr>
        <a:xfrm rot="21600000">
          <a:off x="5093970" y="8173720"/>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5</xdr:col>
      <xdr:colOff>552450</xdr:colOff>
      <xdr:row>1666</xdr:row>
      <xdr:rowOff>19050</xdr:rowOff>
    </xdr:from>
    <xdr:to>
      <xdr:col>6</xdr:col>
      <xdr:colOff>57785</xdr:colOff>
      <xdr:row>1666</xdr:row>
      <xdr:rowOff>154305</xdr:rowOff>
    </xdr:to>
    <xdr:sp macro="" textlink="">
      <xdr:nvSpPr>
        <xdr:cNvPr id="24" name="TextBox 45" descr="TextBox 45">
          <a:extLst>
            <a:ext uri="{FF2B5EF4-FFF2-40B4-BE49-F238E27FC236}">
              <a16:creationId xmlns:a16="http://schemas.microsoft.com/office/drawing/2014/main" id="{00000000-0008-0000-2E00-000018000000}"/>
            </a:ext>
          </a:extLst>
        </xdr:cNvPr>
        <xdr:cNvSpPr txBox="1"/>
      </xdr:nvSpPr>
      <xdr:spPr>
        <a:xfrm rot="21600000">
          <a:off x="4998085" y="7096125"/>
          <a:ext cx="19113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50">
              <a:solidFill>
                <a:srgbClr val="000000"/>
              </a:solidFill>
              <a:effectLst/>
              <a:latin typeface="Courier New"/>
              <a:ea typeface="Courier New"/>
            </a:rPr>
            <a:t>139</a:t>
          </a:r>
          <a:endParaRPr lang="zh-CN" sz="1050">
            <a:solidFill>
              <a:srgbClr val="000000"/>
            </a:solidFill>
            <a:effectLst/>
            <a:latin typeface="Arial"/>
            <a:ea typeface="宋体"/>
          </a:endParaRPr>
        </a:p>
      </xdr:txBody>
    </xdr:sp>
    <xdr:clientData/>
  </xdr:twoCellAnchor>
  <xdr:twoCellAnchor>
    <xdr:from>
      <xdr:col>8</xdr:col>
      <xdr:colOff>600075</xdr:colOff>
      <xdr:row>1716</xdr:row>
      <xdr:rowOff>19050</xdr:rowOff>
    </xdr:from>
    <xdr:to>
      <xdr:col>9</xdr:col>
      <xdr:colOff>57785</xdr:colOff>
      <xdr:row>1716</xdr:row>
      <xdr:rowOff>154305</xdr:rowOff>
    </xdr:to>
    <xdr:sp macro="" textlink="">
      <xdr:nvSpPr>
        <xdr:cNvPr id="25" name="TextBox 54" descr="TextBox 54">
          <a:extLst>
            <a:ext uri="{FF2B5EF4-FFF2-40B4-BE49-F238E27FC236}">
              <a16:creationId xmlns:a16="http://schemas.microsoft.com/office/drawing/2014/main" id="{00000000-0008-0000-2E00-000019000000}"/>
            </a:ext>
          </a:extLst>
        </xdr:cNvPr>
        <xdr:cNvSpPr txBox="1"/>
      </xdr:nvSpPr>
      <xdr:spPr>
        <a:xfrm rot="21600000">
          <a:off x="6304280" y="5557520"/>
          <a:ext cx="14351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72</a:t>
          </a:r>
          <a:endParaRPr lang="zh-CN" sz="1050">
            <a:solidFill>
              <a:srgbClr val="000000"/>
            </a:solidFill>
            <a:effectLst/>
            <a:latin typeface="Arial"/>
            <a:ea typeface="宋体"/>
          </a:endParaRPr>
        </a:p>
      </xdr:txBody>
    </xdr:sp>
    <xdr:clientData/>
  </xdr:twoCellAnchor>
  <xdr:twoCellAnchor>
    <xdr:from>
      <xdr:col>8</xdr:col>
      <xdr:colOff>600075</xdr:colOff>
      <xdr:row>1776</xdr:row>
      <xdr:rowOff>19050</xdr:rowOff>
    </xdr:from>
    <xdr:to>
      <xdr:col>9</xdr:col>
      <xdr:colOff>57785</xdr:colOff>
      <xdr:row>1776</xdr:row>
      <xdr:rowOff>154305</xdr:rowOff>
    </xdr:to>
    <xdr:sp macro="" textlink="">
      <xdr:nvSpPr>
        <xdr:cNvPr id="26" name="TextBox 62" descr="TextBox 62">
          <a:extLst>
            <a:ext uri="{FF2B5EF4-FFF2-40B4-BE49-F238E27FC236}">
              <a16:creationId xmlns:a16="http://schemas.microsoft.com/office/drawing/2014/main" id="{00000000-0008-0000-2E00-00001A000000}"/>
            </a:ext>
          </a:extLst>
        </xdr:cNvPr>
        <xdr:cNvSpPr txBox="1"/>
      </xdr:nvSpPr>
      <xdr:spPr>
        <a:xfrm rot="21600000">
          <a:off x="6304280" y="5556250"/>
          <a:ext cx="14351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72</a:t>
          </a:r>
          <a:endParaRPr lang="zh-CN" sz="1050">
            <a:solidFill>
              <a:srgbClr val="000000"/>
            </a:solidFill>
            <a:effectLst/>
            <a:latin typeface="Arial"/>
            <a:ea typeface="宋体"/>
          </a:endParaRPr>
        </a:p>
      </xdr:txBody>
    </xdr:sp>
    <xdr:clientData/>
  </xdr:twoCellAnchor>
  <xdr:twoCellAnchor>
    <xdr:from>
      <xdr:col>5</xdr:col>
      <xdr:colOff>609600</xdr:colOff>
      <xdr:row>88</xdr:row>
      <xdr:rowOff>19050</xdr:rowOff>
    </xdr:from>
    <xdr:to>
      <xdr:col>6</xdr:col>
      <xdr:colOff>59055</xdr:colOff>
      <xdr:row>88</xdr:row>
      <xdr:rowOff>154305</xdr:rowOff>
    </xdr:to>
    <xdr:sp macro="" textlink="">
      <xdr:nvSpPr>
        <xdr:cNvPr id="27" name="TextBox 6" descr="TextBox 6">
          <a:extLst>
            <a:ext uri="{FF2B5EF4-FFF2-40B4-BE49-F238E27FC236}">
              <a16:creationId xmlns:a16="http://schemas.microsoft.com/office/drawing/2014/main" id="{00000000-0008-0000-2E00-00001B000000}"/>
            </a:ext>
          </a:extLst>
        </xdr:cNvPr>
        <xdr:cNvSpPr txBox="1"/>
      </xdr:nvSpPr>
      <xdr:spPr>
        <a:xfrm rot="21600000">
          <a:off x="5065395" y="5558155"/>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8</xdr:col>
      <xdr:colOff>600075</xdr:colOff>
      <xdr:row>446</xdr:row>
      <xdr:rowOff>19050</xdr:rowOff>
    </xdr:from>
    <xdr:to>
      <xdr:col>9</xdr:col>
      <xdr:colOff>59055</xdr:colOff>
      <xdr:row>446</xdr:row>
      <xdr:rowOff>153670</xdr:rowOff>
    </xdr:to>
    <xdr:sp macro="" textlink="">
      <xdr:nvSpPr>
        <xdr:cNvPr id="28" name="TextBox 11" descr="TextBox 11">
          <a:extLst>
            <a:ext uri="{FF2B5EF4-FFF2-40B4-BE49-F238E27FC236}">
              <a16:creationId xmlns:a16="http://schemas.microsoft.com/office/drawing/2014/main" id="{00000000-0008-0000-2E00-00001C000000}"/>
            </a:ext>
          </a:extLst>
        </xdr:cNvPr>
        <xdr:cNvSpPr txBox="1"/>
      </xdr:nvSpPr>
      <xdr:spPr>
        <a:xfrm rot="21600000">
          <a:off x="6327775" y="5555615"/>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8</xdr:col>
      <xdr:colOff>600075</xdr:colOff>
      <xdr:row>506</xdr:row>
      <xdr:rowOff>19050</xdr:rowOff>
    </xdr:from>
    <xdr:to>
      <xdr:col>9</xdr:col>
      <xdr:colOff>59055</xdr:colOff>
      <xdr:row>506</xdr:row>
      <xdr:rowOff>153670</xdr:rowOff>
    </xdr:to>
    <xdr:sp macro="" textlink="">
      <xdr:nvSpPr>
        <xdr:cNvPr id="29" name="TextBox 16" descr="TextBox 16">
          <a:extLst>
            <a:ext uri="{FF2B5EF4-FFF2-40B4-BE49-F238E27FC236}">
              <a16:creationId xmlns:a16="http://schemas.microsoft.com/office/drawing/2014/main" id="{00000000-0008-0000-2E00-00001D000000}"/>
            </a:ext>
          </a:extLst>
        </xdr:cNvPr>
        <xdr:cNvSpPr txBox="1"/>
      </xdr:nvSpPr>
      <xdr:spPr>
        <a:xfrm rot="21600000">
          <a:off x="6327775" y="5555615"/>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8</xdr:col>
      <xdr:colOff>600075</xdr:colOff>
      <xdr:row>566</xdr:row>
      <xdr:rowOff>19050</xdr:rowOff>
    </xdr:from>
    <xdr:to>
      <xdr:col>9</xdr:col>
      <xdr:colOff>60960</xdr:colOff>
      <xdr:row>566</xdr:row>
      <xdr:rowOff>154305</xdr:rowOff>
    </xdr:to>
    <xdr:sp macro="" textlink="">
      <xdr:nvSpPr>
        <xdr:cNvPr id="30" name="TextBox 21" descr="TextBox 21">
          <a:extLst>
            <a:ext uri="{FF2B5EF4-FFF2-40B4-BE49-F238E27FC236}">
              <a16:creationId xmlns:a16="http://schemas.microsoft.com/office/drawing/2014/main" id="{00000000-0008-0000-2E00-00001E000000}"/>
            </a:ext>
          </a:extLst>
        </xdr:cNvPr>
        <xdr:cNvSpPr txBox="1"/>
      </xdr:nvSpPr>
      <xdr:spPr>
        <a:xfrm rot="21600000">
          <a:off x="6325870" y="5556885"/>
          <a:ext cx="1466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68</a:t>
          </a:r>
          <a:endParaRPr lang="zh-CN" sz="1050">
            <a:solidFill>
              <a:srgbClr val="000000"/>
            </a:solidFill>
            <a:effectLst/>
            <a:latin typeface="Arial"/>
            <a:ea typeface="宋体"/>
          </a:endParaRPr>
        </a:p>
      </xdr:txBody>
    </xdr:sp>
    <xdr:clientData/>
  </xdr:twoCellAnchor>
  <xdr:twoCellAnchor>
    <xdr:from>
      <xdr:col>5</xdr:col>
      <xdr:colOff>600075</xdr:colOff>
      <xdr:row>1200</xdr:row>
      <xdr:rowOff>19050</xdr:rowOff>
    </xdr:from>
    <xdr:to>
      <xdr:col>6</xdr:col>
      <xdr:colOff>49530</xdr:colOff>
      <xdr:row>1200</xdr:row>
      <xdr:rowOff>154305</xdr:rowOff>
    </xdr:to>
    <xdr:sp macro="" textlink="">
      <xdr:nvSpPr>
        <xdr:cNvPr id="31" name="TextBox 35" descr="TextBox 35">
          <a:extLst>
            <a:ext uri="{FF2B5EF4-FFF2-40B4-BE49-F238E27FC236}">
              <a16:creationId xmlns:a16="http://schemas.microsoft.com/office/drawing/2014/main" id="{00000000-0008-0000-2E00-00001F000000}"/>
            </a:ext>
          </a:extLst>
        </xdr:cNvPr>
        <xdr:cNvSpPr txBox="1"/>
      </xdr:nvSpPr>
      <xdr:spPr>
        <a:xfrm rot="21600000">
          <a:off x="5093970" y="9545955"/>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5</xdr:col>
      <xdr:colOff>600075</xdr:colOff>
      <xdr:row>1244</xdr:row>
      <xdr:rowOff>19050</xdr:rowOff>
    </xdr:from>
    <xdr:to>
      <xdr:col>6</xdr:col>
      <xdr:colOff>48895</xdr:colOff>
      <xdr:row>1244</xdr:row>
      <xdr:rowOff>154305</xdr:rowOff>
    </xdr:to>
    <xdr:sp macro="" textlink="">
      <xdr:nvSpPr>
        <xdr:cNvPr id="32" name="TextBox 38" descr="TextBox 38">
          <a:extLst>
            <a:ext uri="{FF2B5EF4-FFF2-40B4-BE49-F238E27FC236}">
              <a16:creationId xmlns:a16="http://schemas.microsoft.com/office/drawing/2014/main" id="{00000000-0008-0000-2E00-000020000000}"/>
            </a:ext>
          </a:extLst>
        </xdr:cNvPr>
        <xdr:cNvSpPr txBox="1"/>
      </xdr:nvSpPr>
      <xdr:spPr>
        <a:xfrm rot="21600000">
          <a:off x="5093970" y="7096125"/>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8</xdr:col>
      <xdr:colOff>600075</xdr:colOff>
      <xdr:row>1666</xdr:row>
      <xdr:rowOff>19050</xdr:rowOff>
    </xdr:from>
    <xdr:to>
      <xdr:col>9</xdr:col>
      <xdr:colOff>58420</xdr:colOff>
      <xdr:row>1666</xdr:row>
      <xdr:rowOff>154305</xdr:rowOff>
    </xdr:to>
    <xdr:sp macro="" textlink="">
      <xdr:nvSpPr>
        <xdr:cNvPr id="33" name="TextBox 46" descr="TextBox 46">
          <a:extLst>
            <a:ext uri="{FF2B5EF4-FFF2-40B4-BE49-F238E27FC236}">
              <a16:creationId xmlns:a16="http://schemas.microsoft.com/office/drawing/2014/main" id="{00000000-0008-0000-2E00-000021000000}"/>
            </a:ext>
          </a:extLst>
        </xdr:cNvPr>
        <xdr:cNvSpPr txBox="1"/>
      </xdr:nvSpPr>
      <xdr:spPr>
        <a:xfrm rot="21600000">
          <a:off x="6302375" y="7096125"/>
          <a:ext cx="14414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84</a:t>
          </a:r>
          <a:endParaRPr lang="zh-CN" sz="1050">
            <a:solidFill>
              <a:srgbClr val="000000"/>
            </a:solidFill>
            <a:effectLst/>
            <a:latin typeface="Arial"/>
            <a:ea typeface="宋体"/>
          </a:endParaRPr>
        </a:p>
      </xdr:txBody>
    </xdr:sp>
    <xdr:clientData/>
  </xdr:twoCellAnchor>
  <xdr:twoCellAnchor>
    <xdr:from>
      <xdr:col>5</xdr:col>
      <xdr:colOff>552450</xdr:colOff>
      <xdr:row>1726</xdr:row>
      <xdr:rowOff>9525</xdr:rowOff>
    </xdr:from>
    <xdr:to>
      <xdr:col>6</xdr:col>
      <xdr:colOff>57785</xdr:colOff>
      <xdr:row>1726</xdr:row>
      <xdr:rowOff>144780</xdr:rowOff>
    </xdr:to>
    <xdr:sp macro="" textlink="">
      <xdr:nvSpPr>
        <xdr:cNvPr id="34" name="TextBox 55" descr="TextBox 55">
          <a:extLst>
            <a:ext uri="{FF2B5EF4-FFF2-40B4-BE49-F238E27FC236}">
              <a16:creationId xmlns:a16="http://schemas.microsoft.com/office/drawing/2014/main" id="{00000000-0008-0000-2E00-000022000000}"/>
            </a:ext>
          </a:extLst>
        </xdr:cNvPr>
        <xdr:cNvSpPr txBox="1"/>
      </xdr:nvSpPr>
      <xdr:spPr>
        <a:xfrm rot="21600000">
          <a:off x="4998085" y="7096760"/>
          <a:ext cx="19113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50">
              <a:solidFill>
                <a:srgbClr val="000000"/>
              </a:solidFill>
              <a:effectLst/>
              <a:latin typeface="Courier New"/>
              <a:ea typeface="Courier New"/>
            </a:rPr>
            <a:t>139</a:t>
          </a:r>
          <a:endParaRPr lang="zh-CN" sz="1050">
            <a:solidFill>
              <a:srgbClr val="000000"/>
            </a:solidFill>
            <a:effectLst/>
            <a:latin typeface="Arial"/>
            <a:ea typeface="宋体"/>
          </a:endParaRPr>
        </a:p>
      </xdr:txBody>
    </xdr:sp>
    <xdr:clientData/>
  </xdr:twoCellAnchor>
  <xdr:twoCellAnchor>
    <xdr:from>
      <xdr:col>8</xdr:col>
      <xdr:colOff>600075</xdr:colOff>
      <xdr:row>1786</xdr:row>
      <xdr:rowOff>9525</xdr:rowOff>
    </xdr:from>
    <xdr:to>
      <xdr:col>9</xdr:col>
      <xdr:colOff>61595</xdr:colOff>
      <xdr:row>1786</xdr:row>
      <xdr:rowOff>144145</xdr:rowOff>
    </xdr:to>
    <xdr:sp macro="" textlink="">
      <xdr:nvSpPr>
        <xdr:cNvPr id="35" name="TextBox 63" descr="TextBox 63">
          <a:extLst>
            <a:ext uri="{FF2B5EF4-FFF2-40B4-BE49-F238E27FC236}">
              <a16:creationId xmlns:a16="http://schemas.microsoft.com/office/drawing/2014/main" id="{00000000-0008-0000-2E00-000023000000}"/>
            </a:ext>
          </a:extLst>
        </xdr:cNvPr>
        <xdr:cNvSpPr txBox="1"/>
      </xdr:nvSpPr>
      <xdr:spPr>
        <a:xfrm rot="21600000">
          <a:off x="6301740" y="7094220"/>
          <a:ext cx="14732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10">
              <a:solidFill>
                <a:srgbClr val="000000"/>
              </a:solidFill>
              <a:effectLst/>
              <a:latin typeface="Courier New"/>
              <a:ea typeface="Courier New"/>
            </a:rPr>
            <a:t>57</a:t>
          </a:r>
          <a:endParaRPr lang="zh-CN" sz="1050">
            <a:solidFill>
              <a:srgbClr val="000000"/>
            </a:solidFill>
            <a:effectLst/>
            <a:latin typeface="Arial"/>
            <a:ea typeface="宋体"/>
          </a:endParaRPr>
        </a:p>
      </xdr:txBody>
    </xdr:sp>
    <xdr:clientData/>
  </xdr:twoCellAnchor>
  <xdr:twoCellAnchor>
    <xdr:from>
      <xdr:col>5</xdr:col>
      <xdr:colOff>609600</xdr:colOff>
      <xdr:row>22</xdr:row>
      <xdr:rowOff>19050</xdr:rowOff>
    </xdr:from>
    <xdr:to>
      <xdr:col>6</xdr:col>
      <xdr:colOff>58420</xdr:colOff>
      <xdr:row>22</xdr:row>
      <xdr:rowOff>154305</xdr:rowOff>
    </xdr:to>
    <xdr:sp macro="" textlink="">
      <xdr:nvSpPr>
        <xdr:cNvPr id="36" name="TextBox 3" descr="TextBox 3">
          <a:extLst>
            <a:ext uri="{FF2B5EF4-FFF2-40B4-BE49-F238E27FC236}">
              <a16:creationId xmlns:a16="http://schemas.microsoft.com/office/drawing/2014/main" id="{00000000-0008-0000-2E00-000024000000}"/>
            </a:ext>
          </a:extLst>
        </xdr:cNvPr>
        <xdr:cNvSpPr txBox="1"/>
      </xdr:nvSpPr>
      <xdr:spPr>
        <a:xfrm rot="21600000">
          <a:off x="5065395" y="4599305"/>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5</xdr:col>
      <xdr:colOff>609600</xdr:colOff>
      <xdr:row>71</xdr:row>
      <xdr:rowOff>28575</xdr:rowOff>
    </xdr:from>
    <xdr:to>
      <xdr:col>6</xdr:col>
      <xdr:colOff>57785</xdr:colOff>
      <xdr:row>71</xdr:row>
      <xdr:rowOff>163830</xdr:rowOff>
    </xdr:to>
    <xdr:sp macro="" textlink="">
      <xdr:nvSpPr>
        <xdr:cNvPr id="37" name="TextBox 5" descr="TextBox 5">
          <a:extLst>
            <a:ext uri="{FF2B5EF4-FFF2-40B4-BE49-F238E27FC236}">
              <a16:creationId xmlns:a16="http://schemas.microsoft.com/office/drawing/2014/main" id="{00000000-0008-0000-2E00-000025000000}"/>
            </a:ext>
          </a:extLst>
        </xdr:cNvPr>
        <xdr:cNvSpPr txBox="1"/>
      </xdr:nvSpPr>
      <xdr:spPr>
        <a:xfrm rot="21600000">
          <a:off x="5065395" y="2940050"/>
          <a:ext cx="1339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13</a:t>
          </a:r>
          <a:endParaRPr lang="zh-CN" sz="1050">
            <a:solidFill>
              <a:srgbClr val="000000"/>
            </a:solidFill>
            <a:effectLst/>
            <a:latin typeface="Arial"/>
            <a:ea typeface="宋体"/>
          </a:endParaRPr>
        </a:p>
      </xdr:txBody>
    </xdr:sp>
    <xdr:clientData/>
  </xdr:twoCellAnchor>
  <xdr:twoCellAnchor>
    <xdr:from>
      <xdr:col>8</xdr:col>
      <xdr:colOff>600075</xdr:colOff>
      <xdr:row>456</xdr:row>
      <xdr:rowOff>19050</xdr:rowOff>
    </xdr:from>
    <xdr:to>
      <xdr:col>9</xdr:col>
      <xdr:colOff>61595</xdr:colOff>
      <xdr:row>456</xdr:row>
      <xdr:rowOff>154305</xdr:rowOff>
    </xdr:to>
    <xdr:sp macro="" textlink="">
      <xdr:nvSpPr>
        <xdr:cNvPr id="38" name="TextBox 12" descr="TextBox 12">
          <a:extLst>
            <a:ext uri="{FF2B5EF4-FFF2-40B4-BE49-F238E27FC236}">
              <a16:creationId xmlns:a16="http://schemas.microsoft.com/office/drawing/2014/main" id="{00000000-0008-0000-2E00-000026000000}"/>
            </a:ext>
          </a:extLst>
        </xdr:cNvPr>
        <xdr:cNvSpPr txBox="1"/>
      </xdr:nvSpPr>
      <xdr:spPr>
        <a:xfrm rot="21600000">
          <a:off x="6325870" y="7096125"/>
          <a:ext cx="1473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86</a:t>
          </a:r>
          <a:endParaRPr lang="zh-CN" sz="1050">
            <a:solidFill>
              <a:srgbClr val="000000"/>
            </a:solidFill>
            <a:effectLst/>
            <a:latin typeface="Arial"/>
            <a:ea typeface="宋体"/>
          </a:endParaRPr>
        </a:p>
      </xdr:txBody>
    </xdr:sp>
    <xdr:clientData/>
  </xdr:twoCellAnchor>
  <xdr:twoCellAnchor>
    <xdr:from>
      <xdr:col>8</xdr:col>
      <xdr:colOff>600075</xdr:colOff>
      <xdr:row>516</xdr:row>
      <xdr:rowOff>19050</xdr:rowOff>
    </xdr:from>
    <xdr:to>
      <xdr:col>9</xdr:col>
      <xdr:colOff>60960</xdr:colOff>
      <xdr:row>516</xdr:row>
      <xdr:rowOff>154305</xdr:rowOff>
    </xdr:to>
    <xdr:sp macro="" textlink="">
      <xdr:nvSpPr>
        <xdr:cNvPr id="39" name="TextBox 17" descr="TextBox 17">
          <a:extLst>
            <a:ext uri="{FF2B5EF4-FFF2-40B4-BE49-F238E27FC236}">
              <a16:creationId xmlns:a16="http://schemas.microsoft.com/office/drawing/2014/main" id="{00000000-0008-0000-2E00-000027000000}"/>
            </a:ext>
          </a:extLst>
        </xdr:cNvPr>
        <xdr:cNvSpPr txBox="1"/>
      </xdr:nvSpPr>
      <xdr:spPr>
        <a:xfrm rot="21600000">
          <a:off x="6325870" y="7096125"/>
          <a:ext cx="1466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68</a:t>
          </a:r>
          <a:endParaRPr lang="zh-CN" sz="1050">
            <a:solidFill>
              <a:srgbClr val="000000"/>
            </a:solidFill>
            <a:effectLst/>
            <a:latin typeface="Arial"/>
            <a:ea typeface="宋体"/>
          </a:endParaRPr>
        </a:p>
      </xdr:txBody>
    </xdr:sp>
    <xdr:clientData/>
  </xdr:twoCellAnchor>
  <xdr:twoCellAnchor>
    <xdr:from>
      <xdr:col>8</xdr:col>
      <xdr:colOff>600075</xdr:colOff>
      <xdr:row>576</xdr:row>
      <xdr:rowOff>9525</xdr:rowOff>
    </xdr:from>
    <xdr:to>
      <xdr:col>9</xdr:col>
      <xdr:colOff>59055</xdr:colOff>
      <xdr:row>576</xdr:row>
      <xdr:rowOff>144145</xdr:rowOff>
    </xdr:to>
    <xdr:sp macro="" textlink="">
      <xdr:nvSpPr>
        <xdr:cNvPr id="40" name="TextBox 22" descr="TextBox 22">
          <a:extLst>
            <a:ext uri="{FF2B5EF4-FFF2-40B4-BE49-F238E27FC236}">
              <a16:creationId xmlns:a16="http://schemas.microsoft.com/office/drawing/2014/main" id="{00000000-0008-0000-2E00-000028000000}"/>
            </a:ext>
          </a:extLst>
        </xdr:cNvPr>
        <xdr:cNvSpPr txBox="1"/>
      </xdr:nvSpPr>
      <xdr:spPr>
        <a:xfrm rot="21600000">
          <a:off x="6327775" y="7094855"/>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5</xdr:col>
      <xdr:colOff>600075</xdr:colOff>
      <xdr:row>627</xdr:row>
      <xdr:rowOff>19050</xdr:rowOff>
    </xdr:from>
    <xdr:to>
      <xdr:col>6</xdr:col>
      <xdr:colOff>49530</xdr:colOff>
      <xdr:row>627</xdr:row>
      <xdr:rowOff>154305</xdr:rowOff>
    </xdr:to>
    <xdr:sp macro="" textlink="">
      <xdr:nvSpPr>
        <xdr:cNvPr id="41" name="TextBox 25" descr="TextBox 25">
          <a:extLst>
            <a:ext uri="{FF2B5EF4-FFF2-40B4-BE49-F238E27FC236}">
              <a16:creationId xmlns:a16="http://schemas.microsoft.com/office/drawing/2014/main" id="{00000000-0008-0000-2E00-000029000000}"/>
            </a:ext>
          </a:extLst>
        </xdr:cNvPr>
        <xdr:cNvSpPr txBox="1"/>
      </xdr:nvSpPr>
      <xdr:spPr>
        <a:xfrm rot="21600000">
          <a:off x="5059680" y="5847080"/>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5</xdr:col>
      <xdr:colOff>590550</xdr:colOff>
      <xdr:row>695</xdr:row>
      <xdr:rowOff>28575</xdr:rowOff>
    </xdr:from>
    <xdr:to>
      <xdr:col>6</xdr:col>
      <xdr:colOff>52070</xdr:colOff>
      <xdr:row>695</xdr:row>
      <xdr:rowOff>163830</xdr:rowOff>
    </xdr:to>
    <xdr:sp macro="" textlink="">
      <xdr:nvSpPr>
        <xdr:cNvPr id="42" name="TextBox 27" descr="TextBox 27">
          <a:extLst>
            <a:ext uri="{FF2B5EF4-FFF2-40B4-BE49-F238E27FC236}">
              <a16:creationId xmlns:a16="http://schemas.microsoft.com/office/drawing/2014/main" id="{00000000-0008-0000-2E00-00002A000000}"/>
            </a:ext>
          </a:extLst>
        </xdr:cNvPr>
        <xdr:cNvSpPr txBox="1"/>
      </xdr:nvSpPr>
      <xdr:spPr>
        <a:xfrm rot="21600000">
          <a:off x="5046980" y="7098030"/>
          <a:ext cx="1473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30</a:t>
          </a:r>
          <a:endParaRPr lang="zh-CN" sz="1050">
            <a:solidFill>
              <a:srgbClr val="000000"/>
            </a:solidFill>
            <a:effectLst/>
            <a:latin typeface="Arial"/>
            <a:ea typeface="宋体"/>
          </a:endParaRPr>
        </a:p>
      </xdr:txBody>
    </xdr:sp>
    <xdr:clientData/>
  </xdr:twoCellAnchor>
  <xdr:twoCellAnchor>
    <xdr:from>
      <xdr:col>5</xdr:col>
      <xdr:colOff>590550</xdr:colOff>
      <xdr:row>817</xdr:row>
      <xdr:rowOff>9525</xdr:rowOff>
    </xdr:from>
    <xdr:to>
      <xdr:col>6</xdr:col>
      <xdr:colOff>49530</xdr:colOff>
      <xdr:row>817</xdr:row>
      <xdr:rowOff>144780</xdr:rowOff>
    </xdr:to>
    <xdr:sp macro="" textlink="">
      <xdr:nvSpPr>
        <xdr:cNvPr id="43" name="TextBox 30" descr="TextBox 30">
          <a:extLst>
            <a:ext uri="{FF2B5EF4-FFF2-40B4-BE49-F238E27FC236}">
              <a16:creationId xmlns:a16="http://schemas.microsoft.com/office/drawing/2014/main" id="{00000000-0008-0000-2E00-00002B000000}"/>
            </a:ext>
          </a:extLst>
        </xdr:cNvPr>
        <xdr:cNvSpPr txBox="1"/>
      </xdr:nvSpPr>
      <xdr:spPr>
        <a:xfrm rot="21600000">
          <a:off x="5045710" y="7097395"/>
          <a:ext cx="14478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94</a:t>
          </a:r>
          <a:endParaRPr lang="zh-CN" sz="1050">
            <a:solidFill>
              <a:srgbClr val="000000"/>
            </a:solidFill>
            <a:effectLst/>
            <a:latin typeface="Arial"/>
            <a:ea typeface="宋体"/>
          </a:endParaRPr>
        </a:p>
      </xdr:txBody>
    </xdr:sp>
    <xdr:clientData/>
  </xdr:twoCellAnchor>
  <xdr:twoCellAnchor>
    <xdr:from>
      <xdr:col>5</xdr:col>
      <xdr:colOff>590550</xdr:colOff>
      <xdr:row>868</xdr:row>
      <xdr:rowOff>19050</xdr:rowOff>
    </xdr:from>
    <xdr:to>
      <xdr:col>6</xdr:col>
      <xdr:colOff>49530</xdr:colOff>
      <xdr:row>868</xdr:row>
      <xdr:rowOff>154305</xdr:rowOff>
    </xdr:to>
    <xdr:sp macro="" textlink="">
      <xdr:nvSpPr>
        <xdr:cNvPr id="44" name="TextBox 32" descr="TextBox 32">
          <a:extLst>
            <a:ext uri="{FF2B5EF4-FFF2-40B4-BE49-F238E27FC236}">
              <a16:creationId xmlns:a16="http://schemas.microsoft.com/office/drawing/2014/main" id="{00000000-0008-0000-2E00-00002C000000}"/>
            </a:ext>
          </a:extLst>
        </xdr:cNvPr>
        <xdr:cNvSpPr txBox="1"/>
      </xdr:nvSpPr>
      <xdr:spPr>
        <a:xfrm rot="21600000">
          <a:off x="5045710" y="5558155"/>
          <a:ext cx="14478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94</a:t>
          </a:r>
          <a:endParaRPr lang="zh-CN" sz="1050">
            <a:solidFill>
              <a:srgbClr val="000000"/>
            </a:solidFill>
            <a:effectLst/>
            <a:latin typeface="Arial"/>
            <a:ea typeface="宋体"/>
          </a:endParaRPr>
        </a:p>
      </xdr:txBody>
    </xdr:sp>
    <xdr:clientData/>
  </xdr:twoCellAnchor>
  <xdr:twoCellAnchor>
    <xdr:from>
      <xdr:col>5</xdr:col>
      <xdr:colOff>600075</xdr:colOff>
      <xdr:row>1193</xdr:row>
      <xdr:rowOff>19050</xdr:rowOff>
    </xdr:from>
    <xdr:to>
      <xdr:col>6</xdr:col>
      <xdr:colOff>47625</xdr:colOff>
      <xdr:row>1193</xdr:row>
      <xdr:rowOff>154305</xdr:rowOff>
    </xdr:to>
    <xdr:sp macro="" textlink="">
      <xdr:nvSpPr>
        <xdr:cNvPr id="45" name="TextBox 34" descr="TextBox 34">
          <a:extLst>
            <a:ext uri="{FF2B5EF4-FFF2-40B4-BE49-F238E27FC236}">
              <a16:creationId xmlns:a16="http://schemas.microsoft.com/office/drawing/2014/main" id="{00000000-0008-0000-2E00-00002D000000}"/>
            </a:ext>
          </a:extLst>
        </xdr:cNvPr>
        <xdr:cNvSpPr txBox="1"/>
      </xdr:nvSpPr>
      <xdr:spPr>
        <a:xfrm rot="21600000">
          <a:off x="5093970" y="8467725"/>
          <a:ext cx="13335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12</a:t>
          </a:r>
          <a:endParaRPr lang="zh-CN" sz="1050">
            <a:solidFill>
              <a:srgbClr val="000000"/>
            </a:solidFill>
            <a:effectLst/>
            <a:latin typeface="Arial"/>
            <a:ea typeface="宋体"/>
          </a:endParaRPr>
        </a:p>
      </xdr:txBody>
    </xdr:sp>
    <xdr:clientData/>
  </xdr:twoCellAnchor>
  <xdr:twoCellAnchor>
    <xdr:from>
      <xdr:col>5</xdr:col>
      <xdr:colOff>600075</xdr:colOff>
      <xdr:row>1234</xdr:row>
      <xdr:rowOff>19050</xdr:rowOff>
    </xdr:from>
    <xdr:to>
      <xdr:col>6</xdr:col>
      <xdr:colOff>49530</xdr:colOff>
      <xdr:row>1234</xdr:row>
      <xdr:rowOff>154305</xdr:rowOff>
    </xdr:to>
    <xdr:sp macro="" textlink="">
      <xdr:nvSpPr>
        <xdr:cNvPr id="46" name="TextBox 37" descr="TextBox 37">
          <a:extLst>
            <a:ext uri="{FF2B5EF4-FFF2-40B4-BE49-F238E27FC236}">
              <a16:creationId xmlns:a16="http://schemas.microsoft.com/office/drawing/2014/main" id="{00000000-0008-0000-2E00-00002E000000}"/>
            </a:ext>
          </a:extLst>
        </xdr:cNvPr>
        <xdr:cNvSpPr txBox="1"/>
      </xdr:nvSpPr>
      <xdr:spPr>
        <a:xfrm rot="21600000">
          <a:off x="5093970" y="5556250"/>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5</xdr:col>
      <xdr:colOff>552450</xdr:colOff>
      <xdr:row>1673</xdr:row>
      <xdr:rowOff>19050</xdr:rowOff>
    </xdr:from>
    <xdr:to>
      <xdr:col>6</xdr:col>
      <xdr:colOff>57785</xdr:colOff>
      <xdr:row>1673</xdr:row>
      <xdr:rowOff>154305</xdr:rowOff>
    </xdr:to>
    <xdr:sp macro="" textlink="">
      <xdr:nvSpPr>
        <xdr:cNvPr id="47" name="TextBox 47" descr="TextBox 47">
          <a:extLst>
            <a:ext uri="{FF2B5EF4-FFF2-40B4-BE49-F238E27FC236}">
              <a16:creationId xmlns:a16="http://schemas.microsoft.com/office/drawing/2014/main" id="{00000000-0008-0000-2E00-00002F000000}"/>
            </a:ext>
          </a:extLst>
        </xdr:cNvPr>
        <xdr:cNvSpPr txBox="1"/>
      </xdr:nvSpPr>
      <xdr:spPr>
        <a:xfrm rot="21600000">
          <a:off x="4998085" y="8173085"/>
          <a:ext cx="19113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50">
              <a:solidFill>
                <a:srgbClr val="000000"/>
              </a:solidFill>
              <a:effectLst/>
              <a:latin typeface="Courier New"/>
              <a:ea typeface="Courier New"/>
            </a:rPr>
            <a:t>139</a:t>
          </a:r>
          <a:endParaRPr lang="zh-CN" sz="1050">
            <a:solidFill>
              <a:srgbClr val="000000"/>
            </a:solidFill>
            <a:effectLst/>
            <a:latin typeface="Arial"/>
            <a:ea typeface="宋体"/>
          </a:endParaRPr>
        </a:p>
      </xdr:txBody>
    </xdr:sp>
    <xdr:clientData/>
  </xdr:twoCellAnchor>
  <xdr:twoCellAnchor>
    <xdr:from>
      <xdr:col>8</xdr:col>
      <xdr:colOff>600075</xdr:colOff>
      <xdr:row>1726</xdr:row>
      <xdr:rowOff>9525</xdr:rowOff>
    </xdr:from>
    <xdr:to>
      <xdr:col>9</xdr:col>
      <xdr:colOff>58420</xdr:colOff>
      <xdr:row>1726</xdr:row>
      <xdr:rowOff>144780</xdr:rowOff>
    </xdr:to>
    <xdr:sp macro="" textlink="">
      <xdr:nvSpPr>
        <xdr:cNvPr id="48" name="TextBox 56" descr="TextBox 56">
          <a:extLst>
            <a:ext uri="{FF2B5EF4-FFF2-40B4-BE49-F238E27FC236}">
              <a16:creationId xmlns:a16="http://schemas.microsoft.com/office/drawing/2014/main" id="{00000000-0008-0000-2E00-000030000000}"/>
            </a:ext>
          </a:extLst>
        </xdr:cNvPr>
        <xdr:cNvSpPr txBox="1"/>
      </xdr:nvSpPr>
      <xdr:spPr>
        <a:xfrm rot="21600000">
          <a:off x="6302375" y="7096760"/>
          <a:ext cx="14414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84</a:t>
          </a:r>
          <a:endParaRPr lang="zh-CN" sz="1050">
            <a:solidFill>
              <a:srgbClr val="000000"/>
            </a:solidFill>
            <a:effectLst/>
            <a:latin typeface="Arial"/>
            <a:ea typeface="宋体"/>
          </a:endParaRPr>
        </a:p>
      </xdr:txBody>
    </xdr:sp>
    <xdr:clientData/>
  </xdr:twoCellAnchor>
  <xdr:twoCellAnchor>
    <xdr:from>
      <xdr:col>5</xdr:col>
      <xdr:colOff>552450</xdr:colOff>
      <xdr:row>1793</xdr:row>
      <xdr:rowOff>19050</xdr:rowOff>
    </xdr:from>
    <xdr:to>
      <xdr:col>6</xdr:col>
      <xdr:colOff>58420</xdr:colOff>
      <xdr:row>1793</xdr:row>
      <xdr:rowOff>154305</xdr:rowOff>
    </xdr:to>
    <xdr:sp macro="" textlink="">
      <xdr:nvSpPr>
        <xdr:cNvPr id="49" name="TextBox 64" descr="TextBox 64">
          <a:extLst>
            <a:ext uri="{FF2B5EF4-FFF2-40B4-BE49-F238E27FC236}">
              <a16:creationId xmlns:a16="http://schemas.microsoft.com/office/drawing/2014/main" id="{00000000-0008-0000-2E00-000031000000}"/>
            </a:ext>
          </a:extLst>
        </xdr:cNvPr>
        <xdr:cNvSpPr txBox="1"/>
      </xdr:nvSpPr>
      <xdr:spPr>
        <a:xfrm rot="21600000">
          <a:off x="4998085" y="8172450"/>
          <a:ext cx="19177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118</a:t>
          </a:r>
          <a:endParaRPr lang="zh-CN" sz="1050">
            <a:solidFill>
              <a:srgbClr val="000000"/>
            </a:solidFill>
            <a:effectLst/>
            <a:latin typeface="Arial"/>
            <a:ea typeface="宋体"/>
          </a:endParaRPr>
        </a:p>
      </xdr:txBody>
    </xdr:sp>
    <xdr:clientData/>
  </xdr:twoCellAnchor>
  <xdr:twoCellAnchor>
    <xdr:from>
      <xdr:col>5</xdr:col>
      <xdr:colOff>609600</xdr:colOff>
      <xdr:row>5</xdr:row>
      <xdr:rowOff>28575</xdr:rowOff>
    </xdr:from>
    <xdr:to>
      <xdr:col>6</xdr:col>
      <xdr:colOff>58420</xdr:colOff>
      <xdr:row>5</xdr:row>
      <xdr:rowOff>163830</xdr:rowOff>
    </xdr:to>
    <xdr:sp macro="" textlink="">
      <xdr:nvSpPr>
        <xdr:cNvPr id="50" name="TextBox 2" descr="TextBox 2">
          <a:extLst>
            <a:ext uri="{FF2B5EF4-FFF2-40B4-BE49-F238E27FC236}">
              <a16:creationId xmlns:a16="http://schemas.microsoft.com/office/drawing/2014/main" id="{00000000-0008-0000-2E00-000032000000}"/>
            </a:ext>
          </a:extLst>
        </xdr:cNvPr>
        <xdr:cNvSpPr txBox="1"/>
      </xdr:nvSpPr>
      <xdr:spPr>
        <a:xfrm rot="21600000">
          <a:off x="5065395" y="1981835"/>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5</xdr:col>
      <xdr:colOff>609600</xdr:colOff>
      <xdr:row>61</xdr:row>
      <xdr:rowOff>28575</xdr:rowOff>
    </xdr:from>
    <xdr:to>
      <xdr:col>6</xdr:col>
      <xdr:colOff>57150</xdr:colOff>
      <xdr:row>61</xdr:row>
      <xdr:rowOff>163830</xdr:rowOff>
    </xdr:to>
    <xdr:sp macro="" textlink="">
      <xdr:nvSpPr>
        <xdr:cNvPr id="51" name="TextBox 4" descr="TextBox 4">
          <a:extLst>
            <a:ext uri="{FF2B5EF4-FFF2-40B4-BE49-F238E27FC236}">
              <a16:creationId xmlns:a16="http://schemas.microsoft.com/office/drawing/2014/main" id="{00000000-0008-0000-2E00-000033000000}"/>
            </a:ext>
          </a:extLst>
        </xdr:cNvPr>
        <xdr:cNvSpPr txBox="1"/>
      </xdr:nvSpPr>
      <xdr:spPr>
        <a:xfrm rot="21600000">
          <a:off x="5065395" y="1398270"/>
          <a:ext cx="13335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12</a:t>
          </a:r>
          <a:endParaRPr lang="zh-CN" sz="1050">
            <a:solidFill>
              <a:srgbClr val="000000"/>
            </a:solidFill>
            <a:effectLst/>
            <a:latin typeface="Arial"/>
            <a:ea typeface="宋体"/>
          </a:endParaRPr>
        </a:p>
      </xdr:txBody>
    </xdr:sp>
    <xdr:clientData/>
  </xdr:twoCellAnchor>
  <xdr:twoCellAnchor>
    <xdr:from>
      <xdr:col>8</xdr:col>
      <xdr:colOff>600075</xdr:colOff>
      <xdr:row>463</xdr:row>
      <xdr:rowOff>19050</xdr:rowOff>
    </xdr:from>
    <xdr:to>
      <xdr:col>9</xdr:col>
      <xdr:colOff>60960</xdr:colOff>
      <xdr:row>463</xdr:row>
      <xdr:rowOff>154305</xdr:rowOff>
    </xdr:to>
    <xdr:sp macro="" textlink="">
      <xdr:nvSpPr>
        <xdr:cNvPr id="52" name="TextBox 13" descr="TextBox 13">
          <a:extLst>
            <a:ext uri="{FF2B5EF4-FFF2-40B4-BE49-F238E27FC236}">
              <a16:creationId xmlns:a16="http://schemas.microsoft.com/office/drawing/2014/main" id="{00000000-0008-0000-2E00-000034000000}"/>
            </a:ext>
          </a:extLst>
        </xdr:cNvPr>
        <xdr:cNvSpPr txBox="1"/>
      </xdr:nvSpPr>
      <xdr:spPr>
        <a:xfrm rot="21600000">
          <a:off x="6325870" y="8173085"/>
          <a:ext cx="1466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68</a:t>
          </a:r>
          <a:endParaRPr lang="zh-CN" sz="1050">
            <a:solidFill>
              <a:srgbClr val="000000"/>
            </a:solidFill>
            <a:effectLst/>
            <a:latin typeface="Arial"/>
            <a:ea typeface="宋体"/>
          </a:endParaRPr>
        </a:p>
      </xdr:txBody>
    </xdr:sp>
    <xdr:clientData/>
  </xdr:twoCellAnchor>
  <xdr:twoCellAnchor>
    <xdr:from>
      <xdr:col>8</xdr:col>
      <xdr:colOff>600075</xdr:colOff>
      <xdr:row>523</xdr:row>
      <xdr:rowOff>19050</xdr:rowOff>
    </xdr:from>
    <xdr:to>
      <xdr:col>9</xdr:col>
      <xdr:colOff>59055</xdr:colOff>
      <xdr:row>523</xdr:row>
      <xdr:rowOff>153670</xdr:rowOff>
    </xdr:to>
    <xdr:sp macro="" textlink="">
      <xdr:nvSpPr>
        <xdr:cNvPr id="53" name="TextBox 18" descr="TextBox 18">
          <a:extLst>
            <a:ext uri="{FF2B5EF4-FFF2-40B4-BE49-F238E27FC236}">
              <a16:creationId xmlns:a16="http://schemas.microsoft.com/office/drawing/2014/main" id="{00000000-0008-0000-2E00-000035000000}"/>
            </a:ext>
          </a:extLst>
        </xdr:cNvPr>
        <xdr:cNvSpPr txBox="1"/>
      </xdr:nvSpPr>
      <xdr:spPr>
        <a:xfrm rot="21600000">
          <a:off x="6327775" y="8172450"/>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8</xdr:col>
      <xdr:colOff>600075</xdr:colOff>
      <xdr:row>583</xdr:row>
      <xdr:rowOff>19050</xdr:rowOff>
    </xdr:from>
    <xdr:to>
      <xdr:col>9</xdr:col>
      <xdr:colOff>59055</xdr:colOff>
      <xdr:row>583</xdr:row>
      <xdr:rowOff>153670</xdr:rowOff>
    </xdr:to>
    <xdr:sp macro="" textlink="">
      <xdr:nvSpPr>
        <xdr:cNvPr id="54" name="TextBox 23" descr="TextBox 23">
          <a:extLst>
            <a:ext uri="{FF2B5EF4-FFF2-40B4-BE49-F238E27FC236}">
              <a16:creationId xmlns:a16="http://schemas.microsoft.com/office/drawing/2014/main" id="{00000000-0008-0000-2E00-000036000000}"/>
            </a:ext>
          </a:extLst>
        </xdr:cNvPr>
        <xdr:cNvSpPr txBox="1"/>
      </xdr:nvSpPr>
      <xdr:spPr>
        <a:xfrm rot="21600000">
          <a:off x="6327775" y="8173085"/>
          <a:ext cx="14478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76</a:t>
          </a:r>
          <a:endParaRPr lang="zh-CN" sz="1050">
            <a:solidFill>
              <a:srgbClr val="000000"/>
            </a:solidFill>
            <a:effectLst/>
            <a:latin typeface="Arial"/>
            <a:ea typeface="宋体"/>
          </a:endParaRPr>
        </a:p>
      </xdr:txBody>
    </xdr:sp>
    <xdr:clientData/>
  </xdr:twoCellAnchor>
  <xdr:twoCellAnchor>
    <xdr:from>
      <xdr:col>5</xdr:col>
      <xdr:colOff>600075</xdr:colOff>
      <xdr:row>600</xdr:row>
      <xdr:rowOff>28575</xdr:rowOff>
    </xdr:from>
    <xdr:to>
      <xdr:col>6</xdr:col>
      <xdr:colOff>48260</xdr:colOff>
      <xdr:row>600</xdr:row>
      <xdr:rowOff>163830</xdr:rowOff>
    </xdr:to>
    <xdr:sp macro="" textlink="">
      <xdr:nvSpPr>
        <xdr:cNvPr id="55" name="TextBox 24" descr="TextBox 24">
          <a:extLst>
            <a:ext uri="{FF2B5EF4-FFF2-40B4-BE49-F238E27FC236}">
              <a16:creationId xmlns:a16="http://schemas.microsoft.com/office/drawing/2014/main" id="{00000000-0008-0000-2E00-000037000000}"/>
            </a:ext>
          </a:extLst>
        </xdr:cNvPr>
        <xdr:cNvSpPr txBox="1"/>
      </xdr:nvSpPr>
      <xdr:spPr>
        <a:xfrm rot="21600000">
          <a:off x="5059680" y="1689100"/>
          <a:ext cx="1339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13</a:t>
          </a:r>
          <a:endParaRPr lang="zh-CN" sz="1050">
            <a:solidFill>
              <a:srgbClr val="000000"/>
            </a:solidFill>
            <a:effectLst/>
            <a:latin typeface="Arial"/>
            <a:ea typeface="宋体"/>
          </a:endParaRPr>
        </a:p>
      </xdr:txBody>
    </xdr:sp>
    <xdr:clientData/>
  </xdr:twoCellAnchor>
  <xdr:twoCellAnchor>
    <xdr:from>
      <xdr:col>5</xdr:col>
      <xdr:colOff>600075</xdr:colOff>
      <xdr:row>685</xdr:row>
      <xdr:rowOff>19050</xdr:rowOff>
    </xdr:from>
    <xdr:to>
      <xdr:col>6</xdr:col>
      <xdr:colOff>49530</xdr:colOff>
      <xdr:row>685</xdr:row>
      <xdr:rowOff>154305</xdr:rowOff>
    </xdr:to>
    <xdr:sp macro="" textlink="">
      <xdr:nvSpPr>
        <xdr:cNvPr id="56" name="TextBox 26" descr="TextBox 26">
          <a:extLst>
            <a:ext uri="{FF2B5EF4-FFF2-40B4-BE49-F238E27FC236}">
              <a16:creationId xmlns:a16="http://schemas.microsoft.com/office/drawing/2014/main" id="{00000000-0008-0000-2E00-000038000000}"/>
            </a:ext>
          </a:extLst>
        </xdr:cNvPr>
        <xdr:cNvSpPr txBox="1"/>
      </xdr:nvSpPr>
      <xdr:spPr>
        <a:xfrm rot="21600000">
          <a:off x="5059045" y="5558155"/>
          <a:ext cx="13525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10</a:t>
          </a:r>
          <a:endParaRPr lang="zh-CN" sz="1050">
            <a:solidFill>
              <a:srgbClr val="000000"/>
            </a:solidFill>
            <a:effectLst/>
            <a:latin typeface="Arial"/>
            <a:ea typeface="宋体"/>
          </a:endParaRPr>
        </a:p>
      </xdr:txBody>
    </xdr:sp>
    <xdr:clientData/>
  </xdr:twoCellAnchor>
  <xdr:twoCellAnchor>
    <xdr:from>
      <xdr:col>5</xdr:col>
      <xdr:colOff>590550</xdr:colOff>
      <xdr:row>763</xdr:row>
      <xdr:rowOff>19050</xdr:rowOff>
    </xdr:from>
    <xdr:to>
      <xdr:col>6</xdr:col>
      <xdr:colOff>49530</xdr:colOff>
      <xdr:row>763</xdr:row>
      <xdr:rowOff>154305</xdr:rowOff>
    </xdr:to>
    <xdr:sp macro="" textlink="">
      <xdr:nvSpPr>
        <xdr:cNvPr id="57" name="TextBox 28" descr="TextBox 28">
          <a:extLst>
            <a:ext uri="{FF2B5EF4-FFF2-40B4-BE49-F238E27FC236}">
              <a16:creationId xmlns:a16="http://schemas.microsoft.com/office/drawing/2014/main" id="{00000000-0008-0000-2E00-000039000000}"/>
            </a:ext>
          </a:extLst>
        </xdr:cNvPr>
        <xdr:cNvSpPr txBox="1"/>
      </xdr:nvSpPr>
      <xdr:spPr>
        <a:xfrm rot="21600000">
          <a:off x="5045710" y="8174355"/>
          <a:ext cx="14478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94</a:t>
          </a:r>
          <a:endParaRPr lang="zh-CN" sz="1050">
            <a:solidFill>
              <a:srgbClr val="000000"/>
            </a:solidFill>
            <a:effectLst/>
            <a:latin typeface="Arial"/>
            <a:ea typeface="宋体"/>
          </a:endParaRPr>
        </a:p>
      </xdr:txBody>
    </xdr:sp>
    <xdr:clientData/>
  </xdr:twoCellAnchor>
  <xdr:twoCellAnchor>
    <xdr:from>
      <xdr:col>5</xdr:col>
      <xdr:colOff>590550</xdr:colOff>
      <xdr:row>790</xdr:row>
      <xdr:rowOff>28575</xdr:rowOff>
    </xdr:from>
    <xdr:to>
      <xdr:col>6</xdr:col>
      <xdr:colOff>49530</xdr:colOff>
      <xdr:row>790</xdr:row>
      <xdr:rowOff>163830</xdr:rowOff>
    </xdr:to>
    <xdr:sp macro="" textlink="">
      <xdr:nvSpPr>
        <xdr:cNvPr id="58" name="TextBox 29" descr="TextBox 29">
          <a:extLst>
            <a:ext uri="{FF2B5EF4-FFF2-40B4-BE49-F238E27FC236}">
              <a16:creationId xmlns:a16="http://schemas.microsoft.com/office/drawing/2014/main" id="{00000000-0008-0000-2E00-00003A000000}"/>
            </a:ext>
          </a:extLst>
        </xdr:cNvPr>
        <xdr:cNvSpPr txBox="1"/>
      </xdr:nvSpPr>
      <xdr:spPr>
        <a:xfrm rot="21600000">
          <a:off x="5045710" y="2940050"/>
          <a:ext cx="14478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94</a:t>
          </a:r>
          <a:endParaRPr lang="zh-CN" sz="1050">
            <a:solidFill>
              <a:srgbClr val="000000"/>
            </a:solidFill>
            <a:effectLst/>
            <a:latin typeface="Arial"/>
            <a:ea typeface="宋体"/>
          </a:endParaRPr>
        </a:p>
      </xdr:txBody>
    </xdr:sp>
    <xdr:clientData/>
  </xdr:twoCellAnchor>
  <xdr:twoCellAnchor>
    <xdr:from>
      <xdr:col>5</xdr:col>
      <xdr:colOff>590550</xdr:colOff>
      <xdr:row>841</xdr:row>
      <xdr:rowOff>28575</xdr:rowOff>
    </xdr:from>
    <xdr:to>
      <xdr:col>6</xdr:col>
      <xdr:colOff>49530</xdr:colOff>
      <xdr:row>841</xdr:row>
      <xdr:rowOff>163830</xdr:rowOff>
    </xdr:to>
    <xdr:sp macro="" textlink="">
      <xdr:nvSpPr>
        <xdr:cNvPr id="59" name="TextBox 31" descr="TextBox 31">
          <a:extLst>
            <a:ext uri="{FF2B5EF4-FFF2-40B4-BE49-F238E27FC236}">
              <a16:creationId xmlns:a16="http://schemas.microsoft.com/office/drawing/2014/main" id="{00000000-0008-0000-2E00-00003B000000}"/>
            </a:ext>
          </a:extLst>
        </xdr:cNvPr>
        <xdr:cNvSpPr txBox="1"/>
      </xdr:nvSpPr>
      <xdr:spPr>
        <a:xfrm rot="21600000">
          <a:off x="5045710" y="1397635"/>
          <a:ext cx="14478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0">
              <a:solidFill>
                <a:srgbClr val="000000"/>
              </a:solidFill>
              <a:effectLst/>
              <a:latin typeface="Courier New"/>
              <a:ea typeface="Courier New"/>
            </a:rPr>
            <a:t>94</a:t>
          </a:r>
          <a:endParaRPr lang="zh-CN" sz="1050">
            <a:solidFill>
              <a:srgbClr val="000000"/>
            </a:solidFill>
            <a:effectLst/>
            <a:latin typeface="Arial"/>
            <a:ea typeface="宋体"/>
          </a:endParaRPr>
        </a:p>
      </xdr:txBody>
    </xdr:sp>
    <xdr:clientData/>
  </xdr:twoCellAnchor>
  <xdr:twoCellAnchor>
    <xdr:from>
      <xdr:col>5</xdr:col>
      <xdr:colOff>600075</xdr:colOff>
      <xdr:row>1183</xdr:row>
      <xdr:rowOff>28575</xdr:rowOff>
    </xdr:from>
    <xdr:to>
      <xdr:col>6</xdr:col>
      <xdr:colOff>48895</xdr:colOff>
      <xdr:row>1183</xdr:row>
      <xdr:rowOff>163830</xdr:rowOff>
    </xdr:to>
    <xdr:sp macro="" textlink="">
      <xdr:nvSpPr>
        <xdr:cNvPr id="60" name="TextBox 33" descr="TextBox 33">
          <a:extLst>
            <a:ext uri="{FF2B5EF4-FFF2-40B4-BE49-F238E27FC236}">
              <a16:creationId xmlns:a16="http://schemas.microsoft.com/office/drawing/2014/main" id="{00000000-0008-0000-2E00-00003C000000}"/>
            </a:ext>
          </a:extLst>
        </xdr:cNvPr>
        <xdr:cNvSpPr txBox="1"/>
      </xdr:nvSpPr>
      <xdr:spPr>
        <a:xfrm rot="21600000">
          <a:off x="5093970" y="6927215"/>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5</xdr:col>
      <xdr:colOff>600075</xdr:colOff>
      <xdr:row>1217</xdr:row>
      <xdr:rowOff>28575</xdr:rowOff>
    </xdr:from>
    <xdr:to>
      <xdr:col>6</xdr:col>
      <xdr:colOff>48260</xdr:colOff>
      <xdr:row>1217</xdr:row>
      <xdr:rowOff>163830</xdr:rowOff>
    </xdr:to>
    <xdr:sp macro="" textlink="">
      <xdr:nvSpPr>
        <xdr:cNvPr id="61" name="TextBox 36" descr="TextBox 36">
          <a:extLst>
            <a:ext uri="{FF2B5EF4-FFF2-40B4-BE49-F238E27FC236}">
              <a16:creationId xmlns:a16="http://schemas.microsoft.com/office/drawing/2014/main" id="{00000000-0008-0000-2E00-00003D000000}"/>
            </a:ext>
          </a:extLst>
        </xdr:cNvPr>
        <xdr:cNvSpPr txBox="1"/>
      </xdr:nvSpPr>
      <xdr:spPr>
        <a:xfrm rot="21600000">
          <a:off x="5093970" y="2938780"/>
          <a:ext cx="13398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19</a:t>
          </a:r>
          <a:endParaRPr lang="zh-CN" sz="1050">
            <a:solidFill>
              <a:srgbClr val="000000"/>
            </a:solidFill>
            <a:effectLst/>
            <a:latin typeface="Arial"/>
            <a:ea typeface="宋体"/>
          </a:endParaRPr>
        </a:p>
      </xdr:txBody>
    </xdr:sp>
    <xdr:clientData/>
  </xdr:twoCellAnchor>
  <xdr:twoCellAnchor>
    <xdr:from>
      <xdr:col>5</xdr:col>
      <xdr:colOff>600075</xdr:colOff>
      <xdr:row>1304</xdr:row>
      <xdr:rowOff>38100</xdr:rowOff>
    </xdr:from>
    <xdr:to>
      <xdr:col>6</xdr:col>
      <xdr:colOff>48895</xdr:colOff>
      <xdr:row>1304</xdr:row>
      <xdr:rowOff>173355</xdr:rowOff>
    </xdr:to>
    <xdr:sp macro="" textlink="">
      <xdr:nvSpPr>
        <xdr:cNvPr id="62" name="TextBox 40" descr="TextBox 40">
          <a:extLst>
            <a:ext uri="{FF2B5EF4-FFF2-40B4-BE49-F238E27FC236}">
              <a16:creationId xmlns:a16="http://schemas.microsoft.com/office/drawing/2014/main" id="{00000000-0008-0000-2E00-00003E000000}"/>
            </a:ext>
          </a:extLst>
        </xdr:cNvPr>
        <xdr:cNvSpPr txBox="1"/>
      </xdr:nvSpPr>
      <xdr:spPr>
        <a:xfrm rot="21600000">
          <a:off x="5093970" y="7100570"/>
          <a:ext cx="13462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45">
              <a:solidFill>
                <a:srgbClr val="000000"/>
              </a:solidFill>
              <a:effectLst/>
              <a:latin typeface="Courier New"/>
              <a:ea typeface="Courier New"/>
            </a:rPr>
            <a:t>16</a:t>
          </a:r>
          <a:endParaRPr lang="zh-CN" sz="1050">
            <a:solidFill>
              <a:srgbClr val="000000"/>
            </a:solidFill>
            <a:effectLst/>
            <a:latin typeface="Arial"/>
            <a:ea typeface="宋体"/>
          </a:endParaRPr>
        </a:p>
      </xdr:txBody>
    </xdr:sp>
    <xdr:clientData/>
  </xdr:twoCellAnchor>
  <xdr:twoCellAnchor>
    <xdr:from>
      <xdr:col>8</xdr:col>
      <xdr:colOff>600075</xdr:colOff>
      <xdr:row>1673</xdr:row>
      <xdr:rowOff>19050</xdr:rowOff>
    </xdr:from>
    <xdr:to>
      <xdr:col>9</xdr:col>
      <xdr:colOff>58420</xdr:colOff>
      <xdr:row>1673</xdr:row>
      <xdr:rowOff>154305</xdr:rowOff>
    </xdr:to>
    <xdr:sp macro="" textlink="">
      <xdr:nvSpPr>
        <xdr:cNvPr id="63" name="TextBox 48" descr="TextBox 48">
          <a:extLst>
            <a:ext uri="{FF2B5EF4-FFF2-40B4-BE49-F238E27FC236}">
              <a16:creationId xmlns:a16="http://schemas.microsoft.com/office/drawing/2014/main" id="{00000000-0008-0000-2E00-00003F000000}"/>
            </a:ext>
          </a:extLst>
        </xdr:cNvPr>
        <xdr:cNvSpPr txBox="1"/>
      </xdr:nvSpPr>
      <xdr:spPr>
        <a:xfrm rot="21600000">
          <a:off x="6302375" y="8173085"/>
          <a:ext cx="144145"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100"/>
            </a:spcBef>
            <a:spcAft>
              <a:spcPts val="0"/>
            </a:spcAft>
          </a:pPr>
          <a:r>
            <a:rPr lang="en-US" sz="900" b="1" spc="-25">
              <a:solidFill>
                <a:srgbClr val="000000"/>
              </a:solidFill>
              <a:effectLst/>
              <a:latin typeface="Courier New"/>
              <a:ea typeface="Courier New"/>
            </a:rPr>
            <a:t>84</a:t>
          </a:r>
          <a:endParaRPr lang="zh-CN" sz="1050">
            <a:solidFill>
              <a:srgbClr val="000000"/>
            </a:solidFill>
            <a:effectLst/>
            <a:latin typeface="Arial"/>
            <a:ea typeface="宋体"/>
          </a:endParaRPr>
        </a:p>
      </xdr:txBody>
    </xdr:sp>
    <xdr:clientData/>
  </xdr:twoCellAnchor>
  <xdr:twoCellAnchor>
    <xdr:from>
      <xdr:col>8</xdr:col>
      <xdr:colOff>600075</xdr:colOff>
      <xdr:row>1733</xdr:row>
      <xdr:rowOff>19050</xdr:rowOff>
    </xdr:from>
    <xdr:to>
      <xdr:col>9</xdr:col>
      <xdr:colOff>61595</xdr:colOff>
      <xdr:row>1733</xdr:row>
      <xdr:rowOff>153670</xdr:rowOff>
    </xdr:to>
    <xdr:sp macro="" textlink="">
      <xdr:nvSpPr>
        <xdr:cNvPr id="64" name="TextBox 57" descr="TextBox 57">
          <a:extLst>
            <a:ext uri="{FF2B5EF4-FFF2-40B4-BE49-F238E27FC236}">
              <a16:creationId xmlns:a16="http://schemas.microsoft.com/office/drawing/2014/main" id="{00000000-0008-0000-2E00-000040000000}"/>
            </a:ext>
          </a:extLst>
        </xdr:cNvPr>
        <xdr:cNvSpPr txBox="1"/>
      </xdr:nvSpPr>
      <xdr:spPr>
        <a:xfrm rot="21600000">
          <a:off x="6301740" y="8173085"/>
          <a:ext cx="147320" cy="134620"/>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10">
              <a:solidFill>
                <a:srgbClr val="000000"/>
              </a:solidFill>
              <a:effectLst/>
              <a:latin typeface="Courier New"/>
              <a:ea typeface="Courier New"/>
            </a:rPr>
            <a:t>57</a:t>
          </a:r>
          <a:endParaRPr lang="zh-CN" sz="1050">
            <a:solidFill>
              <a:srgbClr val="000000"/>
            </a:solidFill>
            <a:effectLst/>
            <a:latin typeface="Arial"/>
            <a:ea typeface="宋体"/>
          </a:endParaRPr>
        </a:p>
      </xdr:txBody>
    </xdr:sp>
    <xdr:clientData/>
  </xdr:twoCellAnchor>
  <xdr:twoCellAnchor>
    <xdr:from>
      <xdr:col>8</xdr:col>
      <xdr:colOff>600075</xdr:colOff>
      <xdr:row>1793</xdr:row>
      <xdr:rowOff>19050</xdr:rowOff>
    </xdr:from>
    <xdr:to>
      <xdr:col>9</xdr:col>
      <xdr:colOff>57785</xdr:colOff>
      <xdr:row>1793</xdr:row>
      <xdr:rowOff>154305</xdr:rowOff>
    </xdr:to>
    <xdr:sp macro="" textlink="">
      <xdr:nvSpPr>
        <xdr:cNvPr id="65" name="TextBox 65" descr="TextBox 65">
          <a:extLst>
            <a:ext uri="{FF2B5EF4-FFF2-40B4-BE49-F238E27FC236}">
              <a16:creationId xmlns:a16="http://schemas.microsoft.com/office/drawing/2014/main" id="{00000000-0008-0000-2E00-000041000000}"/>
            </a:ext>
          </a:extLst>
        </xdr:cNvPr>
        <xdr:cNvSpPr txBox="1"/>
      </xdr:nvSpPr>
      <xdr:spPr>
        <a:xfrm rot="21600000">
          <a:off x="6304280" y="8171180"/>
          <a:ext cx="143510" cy="135255"/>
        </a:xfrm>
        <a:prstGeom prst="rect">
          <a:avLst/>
        </a:prstGeom>
        <a:noFill/>
        <a:ln w="0">
          <a:noFill/>
        </a:ln>
      </xdr:spPr>
      <xdr:style>
        <a:lnRef idx="0">
          <a:schemeClr val="accent1"/>
        </a:lnRef>
        <a:fillRef idx="0">
          <a:schemeClr val="accent1"/>
        </a:fillRef>
        <a:effectRef idx="0">
          <a:schemeClr val="accent1"/>
        </a:effectRef>
        <a:fontRef idx="minor">
          <a:schemeClr val="dk1"/>
        </a:fontRef>
      </xdr:style>
      <xdr:txBody>
        <a:bodyPr rot="0" spcFirstLastPara="0" vert="horz" wrap="square" lIns="0" tIns="0" rIns="0" bIns="0" numCol="1" spcCol="0" rtlCol="0" fromWordArt="0" anchor="t" anchorCtr="0" forceAA="0" compatLnSpc="1">
          <a:noAutofit/>
        </a:bodyPr>
        <a:lstStyle/>
        <a:p>
          <a:pPr indent="12700" eaLnBrk="0">
            <a:lnSpc>
              <a:spcPct val="85000"/>
            </a:lnSpc>
            <a:spcBef>
              <a:spcPts val="95"/>
            </a:spcBef>
            <a:spcAft>
              <a:spcPts val="0"/>
            </a:spcAft>
          </a:pPr>
          <a:r>
            <a:rPr lang="en-US" sz="900" b="1" spc="-30">
              <a:solidFill>
                <a:srgbClr val="000000"/>
              </a:solidFill>
              <a:effectLst/>
              <a:latin typeface="Courier New"/>
              <a:ea typeface="Courier New"/>
            </a:rPr>
            <a:t>72</a:t>
          </a:r>
          <a:endParaRPr lang="zh-CN" sz="1050">
            <a:solidFill>
              <a:srgbClr val="000000"/>
            </a:solidFill>
            <a:effectLst/>
            <a:latin typeface="Arial"/>
            <a:ea typeface="宋体"/>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247105</xdr:colOff>
      <xdr:row>32</xdr:row>
      <xdr:rowOff>18362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361905" cy="5504762"/>
        </a:xfrm>
        <a:prstGeom prst="rect">
          <a:avLst/>
        </a:prstGeom>
      </xdr:spPr>
    </xdr:pic>
    <xdr:clientData/>
  </xdr:twoCellAnchor>
  <xdr:twoCellAnchor editAs="oneCell">
    <xdr:from>
      <xdr:col>0</xdr:col>
      <xdr:colOff>0</xdr:colOff>
      <xdr:row>32</xdr:row>
      <xdr:rowOff>142875</xdr:rowOff>
    </xdr:from>
    <xdr:to>
      <xdr:col>7</xdr:col>
      <xdr:colOff>182893</xdr:colOff>
      <xdr:row>41</xdr:row>
      <xdr:rowOff>161695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5629275"/>
          <a:ext cx="4983493" cy="15618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 val="12"/>
      <sheetName val="13"/>
      <sheetName val="14"/>
      <sheetName val="15"/>
      <sheetName val="16"/>
    </sheetNames>
    <sheetDataSet>
      <sheetData sheetId="0" refreshError="1">
        <row r="106">
          <cell r="F106">
            <v>1505.3600000000001</v>
          </cell>
        </row>
        <row r="107">
          <cell r="F107">
            <v>44.17</v>
          </cell>
        </row>
        <row r="108">
          <cell r="F108">
            <v>22512.1</v>
          </cell>
        </row>
      </sheetData>
      <sheetData sheetId="1" refreshError="1">
        <row r="108">
          <cell r="F108">
            <v>1502.9699999999996</v>
          </cell>
        </row>
        <row r="109">
          <cell r="F109">
            <v>30.02</v>
          </cell>
        </row>
        <row r="110">
          <cell r="F110">
            <v>22548.36</v>
          </cell>
        </row>
      </sheetData>
      <sheetData sheetId="2" refreshError="1">
        <row r="96">
          <cell r="F96">
            <v>1336.2599999999998</v>
          </cell>
        </row>
        <row r="97">
          <cell r="F97">
            <v>42.66</v>
          </cell>
        </row>
        <row r="98">
          <cell r="F98">
            <v>19788.490000000002</v>
          </cell>
        </row>
      </sheetData>
      <sheetData sheetId="3" refreshError="1">
        <row r="95">
          <cell r="F95">
            <v>1389.6200000000003</v>
          </cell>
        </row>
        <row r="96">
          <cell r="F96">
            <v>42.02</v>
          </cell>
        </row>
        <row r="97">
          <cell r="F97">
            <v>19723.400000000001</v>
          </cell>
        </row>
      </sheetData>
      <sheetData sheetId="4" refreshError="1">
        <row r="118">
          <cell r="F118">
            <v>1425.2999999999995</v>
          </cell>
        </row>
        <row r="119">
          <cell r="F119">
            <v>0</v>
          </cell>
        </row>
        <row r="120">
          <cell r="F120">
            <v>20740.190000000002</v>
          </cell>
        </row>
      </sheetData>
      <sheetData sheetId="5" refreshError="1">
        <row r="112">
          <cell r="F112">
            <v>1461.1800000000005</v>
          </cell>
        </row>
        <row r="113">
          <cell r="F113">
            <v>91.78</v>
          </cell>
        </row>
        <row r="114">
          <cell r="F114">
            <v>19742.239999999998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出让国有建设用地使用权及在建建筑物房地产抵押价值预评估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受贵公司委托，我公司对出让国有建设用地使用权及在建建筑物房地产抵押价值进行了预评估。</v>
      </c>
    </row>
    <row r="7" spans="1:2" s="1363" customFormat="1">
      <c r="A7" s="1361" t="s">
        <v>1231</v>
      </c>
      <c r="B7" s="1362" t="str">
        <f>'预评函-1'!A7</f>
        <v>估价对象为出让国有建设用地使用权及在建建筑物房地产，为所有。根据《国有土地使用证》[]，估价对象（分摊）出让国有建设用地使用权面积为39947平方米，建筑面积为133675.47平方米。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出让国有建设用地使用权及在建建筑物房地产,属开发建设的居住项目，该项目尚在开发建设中。根据《国有土地使用证》[]，估价对象（分摊）出让国有建设用地使用权面积为39947平方米，规划建筑面积为133675.47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2021年4月25日</v>
      </c>
    </row>
    <row r="13" spans="1:2" s="1363" customFormat="1">
      <c r="A13" s="1361" t="s">
        <v>1194</v>
      </c>
      <c r="B13" s="1362"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本次评估采用的主估价方法为成本法和假设开发法。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70449</v>
      </c>
    </row>
    <row r="21" spans="1:2" s="1363" customFormat="1">
      <c r="A21" s="1361" t="s">
        <v>1202</v>
      </c>
      <c r="B21" s="1362" t="e">
        <f ca="1">'预评函-2'!D7</f>
        <v>#DIV/0!</v>
      </c>
    </row>
    <row r="22" spans="1:2" s="1363" customFormat="1">
      <c r="A22" s="1361" t="s">
        <v>1203</v>
      </c>
      <c r="B22" s="1362" t="str">
        <f ca="1">'预评函-2'!D6</f>
        <v>柒亿零肆佰肆拾玖万元整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70449</v>
      </c>
    </row>
    <row r="31" spans="1:2" s="1363" customFormat="1">
      <c r="A31" s="1361" t="s">
        <v>1241</v>
      </c>
      <c r="B31" s="1362">
        <f ca="1">'预评函-2'!D15</f>
        <v>5270</v>
      </c>
    </row>
    <row r="32" spans="1:2" s="1363" customFormat="1">
      <c r="A32" s="1361" t="s">
        <v>1208</v>
      </c>
      <c r="B32" s="1362" t="str">
        <f ca="1">'预评函-2'!D14</f>
        <v>柒亿零肆佰肆拾玖万元整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出让国有建设用地使用权及在建建筑物房地产</v>
      </c>
    </row>
    <row r="42" spans="1:2" s="1363" customFormat="1">
      <c r="A42" s="1361" t="s">
        <v>1255</v>
      </c>
      <c r="B42" s="1362" t="str">
        <f>'预评函-3'!B2</f>
        <v>建筑面积</v>
      </c>
    </row>
    <row r="43" spans="1:2" s="1363" customFormat="1">
      <c r="A43" s="1361" t="s">
        <v>1256</v>
      </c>
      <c r="B43" s="1362">
        <f>'预评函-3'!B4</f>
        <v>133675.47</v>
      </c>
    </row>
    <row r="44" spans="1:2" s="1363" customFormat="1">
      <c r="A44" s="1361" t="s">
        <v>1240</v>
      </c>
      <c r="B44" s="1362" t="str">
        <f>'预评函-3'!C2</f>
        <v>(分摊)土地面积</v>
      </c>
    </row>
    <row r="45" spans="1:2" s="1363" customFormat="1">
      <c r="A45" s="1361" t="s">
        <v>1212</v>
      </c>
      <c r="B45" s="1362">
        <f>'预评函-3'!C4</f>
        <v>39947</v>
      </c>
    </row>
    <row r="46" spans="1:2" s="1363" customFormat="1">
      <c r="A46" s="1361" t="s">
        <v>1238</v>
      </c>
      <c r="B46" s="1362" t="str">
        <f>'预评函-3'!D2</f>
        <v>出让国有建设用地使用权价值</v>
      </c>
    </row>
    <row r="47" spans="1:2" s="1363" customFormat="1">
      <c r="A47" s="1361" t="s">
        <v>1213</v>
      </c>
      <c r="B47" s="1362">
        <f ca="1">'预评函-3'!D4</f>
        <v>47201</v>
      </c>
    </row>
    <row r="48" spans="1:2" s="1363" customFormat="1">
      <c r="A48" s="1361" t="s">
        <v>1214</v>
      </c>
      <c r="B48" s="1362" t="e">
        <f ca="1">'预评函-3'!E4</f>
        <v>#DIV/0!</v>
      </c>
    </row>
    <row r="49" spans="1:2" s="1363" customFormat="1">
      <c r="A49" s="1361" t="s">
        <v>1215</v>
      </c>
      <c r="B49" s="1362" t="str">
        <f ca="1">'预评函-3'!D5</f>
        <v>肆亿柒仟贰佰零壹万元整</v>
      </c>
    </row>
    <row r="50" spans="1:2" s="1363" customFormat="1">
      <c r="A50" s="1361" t="s">
        <v>1239</v>
      </c>
      <c r="B50" s="1362" t="str">
        <f>'预评函-3'!F2</f>
        <v>在建建筑物价值</v>
      </c>
    </row>
    <row r="51" spans="1:2" s="1363" customFormat="1">
      <c r="A51" s="1361" t="s">
        <v>1216</v>
      </c>
      <c r="B51" s="1362">
        <f ca="1">'预评函-3'!F4</f>
        <v>23248</v>
      </c>
    </row>
    <row r="52" spans="1:2" s="1363" customFormat="1">
      <c r="A52" s="1361" t="s">
        <v>1217</v>
      </c>
      <c r="B52" s="1362" t="e">
        <f ca="1">'预评函-3'!G4</f>
        <v>#DIV/0!</v>
      </c>
    </row>
    <row r="53" spans="1:2" s="1363" customFormat="1">
      <c r="A53" s="1361" t="s">
        <v>1245</v>
      </c>
      <c r="B53" s="1362" t="str">
        <f ca="1">'预评函-3'!F5</f>
        <v>贰亿叁仟贰佰肆拾捌万元整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3037</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59"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1737" t="s">
        <v>832</v>
      </c>
      <c r="C54" s="1734" t="s">
        <v>1248</v>
      </c>
    </row>
    <row r="55" spans="1:4">
      <c r="A55" s="3159"/>
      <c r="B55" s="1737" t="s">
        <v>833</v>
      </c>
      <c r="C55" s="1734" t="s">
        <v>1249</v>
      </c>
    </row>
    <row r="56" spans="1:4">
      <c r="A56" s="3159"/>
      <c r="B56" s="1737" t="s">
        <v>834</v>
      </c>
      <c r="C56" s="1734" t="s">
        <v>1253</v>
      </c>
    </row>
    <row r="57" spans="1:4">
      <c r="A57" s="3159"/>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D10" sqref="D10"/>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2" customWidth="1"/>
    <col min="12" max="13" width="10" style="2853"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68" t="str">
        <f>IF(B10="北京市","北京市",C10)&amp;F10&amp;IF(结果表!G1="在建","出让国有建设用地使用权及在建建筑物",IF(结果表!G1="土地","出让国有建设用地使用权",))&amp;B9&amp;"预评估"</f>
        <v>出让国有建设用地使用权及在建建筑物房地产抵押价值预评估</v>
      </c>
      <c r="C1" s="3169"/>
      <c r="D1" s="3169"/>
      <c r="E1" s="3169"/>
      <c r="F1" s="3169"/>
      <c r="G1" s="3169"/>
      <c r="H1" s="3169"/>
      <c r="I1" s="3170"/>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29"/>
      <c r="U1" s="1929"/>
      <c r="V1" s="1929"/>
      <c r="W1" s="1929"/>
      <c r="X1" s="1929"/>
      <c r="Y1" s="1929"/>
      <c r="Z1" s="1929"/>
      <c r="AA1" s="1929"/>
      <c r="AB1" s="1929"/>
    </row>
    <row r="2" spans="1:28">
      <c r="A2" s="2589" t="s">
        <v>2913</v>
      </c>
      <c r="B2" s="2593"/>
      <c r="C2" s="2594"/>
      <c r="D2" s="2896"/>
      <c r="E2" s="2886"/>
      <c r="F2" s="2886"/>
      <c r="G2" s="2887"/>
      <c r="H2" s="2887"/>
      <c r="I2" s="2887"/>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出让国有建设用地使用权及在建建筑物房地产</v>
      </c>
      <c r="T2" s="1929"/>
      <c r="U2" s="1929"/>
      <c r="V2" s="1929"/>
      <c r="W2" s="1929"/>
      <c r="X2" s="1929"/>
      <c r="Y2" s="1929"/>
      <c r="Z2" s="1929"/>
      <c r="AA2" s="1929"/>
      <c r="AB2" s="1929"/>
    </row>
    <row r="3" spans="1:28">
      <c r="A3" s="306" t="s">
        <v>2914</v>
      </c>
      <c r="B3" s="2595"/>
      <c r="C3" s="2596" t="s">
        <v>2915</v>
      </c>
      <c r="D3" s="2595">
        <v>44311</v>
      </c>
      <c r="E3" s="2887"/>
      <c r="F3" s="2887"/>
      <c r="G3" s="2887"/>
      <c r="H3" s="2887"/>
      <c r="I3" s="2887"/>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2917</v>
      </c>
      <c r="B5" s="2602"/>
      <c r="C5" s="2603"/>
      <c r="D5" s="2604"/>
      <c r="E5" s="2888"/>
      <c r="F5" s="2888"/>
      <c r="G5" s="2888"/>
      <c r="H5" s="2888"/>
      <c r="I5" s="2888"/>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2918</v>
      </c>
      <c r="B6" s="2606"/>
      <c r="C6" s="2607"/>
      <c r="D6" s="2608"/>
      <c r="E6" s="2886"/>
      <c r="F6" s="2888"/>
      <c r="G6" s="2888"/>
      <c r="H6" s="2888"/>
      <c r="I6" s="2888"/>
      <c r="J6" s="2663"/>
      <c r="K6" s="2838" t="str">
        <f>IF(COUNTIF(B6,"*上海银行*"),"上海银行","")</f>
        <v/>
      </c>
      <c r="L6" s="2836"/>
      <c r="M6" s="2836"/>
      <c r="N6" s="2663"/>
      <c r="O6" s="2674"/>
      <c r="P6" s="2663"/>
      <c r="Q6" s="2663"/>
      <c r="R6" s="2663"/>
    </row>
    <row r="7" spans="1:28">
      <c r="A7" s="2605" t="s">
        <v>2919</v>
      </c>
      <c r="B7" s="2609"/>
      <c r="C7" s="2607"/>
      <c r="D7" s="2608"/>
      <c r="E7" s="2886"/>
      <c r="F7" s="2888"/>
      <c r="G7" s="2888"/>
      <c r="H7" s="2888"/>
      <c r="I7" s="2888"/>
      <c r="J7" s="2663"/>
      <c r="K7" s="2839"/>
      <c r="L7" s="2836"/>
      <c r="M7" s="2836"/>
      <c r="N7" s="2663"/>
      <c r="O7" s="2674"/>
      <c r="P7" s="2663"/>
      <c r="Q7" s="2663"/>
      <c r="R7" s="2663"/>
    </row>
    <row r="8" spans="1:28">
      <c r="A8" s="2610" t="s">
        <v>2920</v>
      </c>
      <c r="B8" s="2611" t="s">
        <v>3061</v>
      </c>
      <c r="C8" s="2612"/>
      <c r="D8" s="3171" t="s">
        <v>2921</v>
      </c>
      <c r="E8" s="2613" t="s">
        <v>3062</v>
      </c>
      <c r="F8" s="2614"/>
      <c r="G8" s="2887"/>
      <c r="H8" s="2887"/>
      <c r="I8" s="2887"/>
      <c r="J8" s="2663"/>
      <c r="K8" s="2837"/>
      <c r="L8" s="2836"/>
      <c r="M8" s="2836"/>
      <c r="N8" s="2663"/>
      <c r="O8" s="2674"/>
      <c r="P8" s="2663"/>
      <c r="Q8" s="2663"/>
      <c r="R8" s="2663"/>
    </row>
    <row r="9" spans="1:28" ht="13.5" thickBot="1">
      <c r="A9" s="2615" t="s">
        <v>2922</v>
      </c>
      <c r="B9" s="2616" t="s">
        <v>3062</v>
      </c>
      <c r="C9" s="2617"/>
      <c r="D9" s="3172"/>
      <c r="E9" s="2616" t="s">
        <v>70</v>
      </c>
      <c r="F9" s="2618"/>
      <c r="G9" s="2889"/>
      <c r="H9" s="2889"/>
      <c r="I9" s="2889"/>
      <c r="J9" s="2663"/>
      <c r="K9" s="2839"/>
      <c r="L9" s="2836"/>
      <c r="M9" s="2836"/>
      <c r="N9" s="2663"/>
      <c r="O9" s="2674"/>
      <c r="P9" s="2663"/>
      <c r="Q9" s="2663"/>
      <c r="R9" s="2663"/>
    </row>
    <row r="10" spans="1:28" ht="13.5" thickTop="1">
      <c r="A10" s="2619" t="s">
        <v>2923</v>
      </c>
      <c r="B10" s="2620" t="s">
        <v>3934</v>
      </c>
      <c r="C10" s="2621"/>
      <c r="D10" s="2604"/>
      <c r="E10" s="2622" t="s">
        <v>2924</v>
      </c>
      <c r="F10" s="2890"/>
      <c r="G10" s="2891"/>
      <c r="H10" s="2892"/>
      <c r="I10" s="2893"/>
      <c r="J10" s="2663"/>
      <c r="K10" s="2839"/>
      <c r="L10" s="2836"/>
      <c r="M10" s="2836"/>
      <c r="N10" s="2663"/>
      <c r="O10" s="2674"/>
      <c r="P10" s="2663"/>
      <c r="Q10" s="2663"/>
      <c r="R10" s="2663"/>
    </row>
    <row r="11" spans="1:28">
      <c r="A11" s="2623" t="s">
        <v>2925</v>
      </c>
      <c r="B11" s="2624" t="s">
        <v>3063</v>
      </c>
      <c r="C11" s="2625"/>
      <c r="D11" s="2626"/>
      <c r="E11" s="2592"/>
      <c r="F11" s="2592"/>
      <c r="G11" s="2592"/>
      <c r="H11" s="2592"/>
      <c r="I11" s="2592"/>
      <c r="J11" s="2663"/>
      <c r="K11" s="2839"/>
      <c r="L11" s="2836"/>
      <c r="M11" s="2836"/>
      <c r="N11" s="2663"/>
      <c r="O11" s="2674"/>
      <c r="P11" s="2663"/>
      <c r="Q11" s="2663"/>
      <c r="R11" s="2663"/>
    </row>
    <row r="12" spans="1:28">
      <c r="A12" s="2627" t="s">
        <v>2926</v>
      </c>
      <c r="B12" s="2624" t="s">
        <v>3064</v>
      </c>
      <c r="C12" s="327" t="s">
        <v>2927</v>
      </c>
      <c r="D12" s="2628" t="s">
        <v>2928</v>
      </c>
      <c r="E12" s="2628" t="s">
        <v>2929</v>
      </c>
      <c r="F12" s="2628" t="s">
        <v>2930</v>
      </c>
      <c r="G12" s="2628" t="s">
        <v>2931</v>
      </c>
      <c r="H12" s="2628" t="s">
        <v>2932</v>
      </c>
      <c r="I12" s="2628" t="s">
        <v>2933</v>
      </c>
      <c r="J12" s="2663"/>
      <c r="K12" s="2839"/>
      <c r="L12" s="2836"/>
      <c r="M12" s="2836"/>
      <c r="N12" s="2663"/>
      <c r="O12" s="2674"/>
      <c r="P12" s="2663"/>
      <c r="Q12" s="2663"/>
      <c r="R12" s="2663"/>
    </row>
    <row r="13" spans="1:28">
      <c r="A13" s="1239"/>
      <c r="B13" s="2629"/>
      <c r="C13" s="2630" t="s">
        <v>2934</v>
      </c>
      <c r="D13" s="963">
        <v>69637</v>
      </c>
      <c r="E13" s="963"/>
      <c r="F13" s="963"/>
      <c r="G13" s="963"/>
      <c r="H13" s="963">
        <v>62332</v>
      </c>
      <c r="I13" s="963"/>
      <c r="J13" s="2663"/>
      <c r="K13" s="2839"/>
      <c r="L13" s="2836"/>
      <c r="M13" s="2836"/>
      <c r="N13" s="2663"/>
      <c r="O13" s="2674"/>
      <c r="P13" s="2663"/>
      <c r="Q13" s="2663"/>
      <c r="R13" s="2663"/>
    </row>
    <row r="14" spans="1:28">
      <c r="A14" s="1239"/>
      <c r="B14" s="2629"/>
      <c r="C14" s="2630" t="s">
        <v>2935</v>
      </c>
      <c r="D14" s="2631">
        <v>70</v>
      </c>
      <c r="E14" s="2631"/>
      <c r="F14" s="2631"/>
      <c r="G14" s="2631"/>
      <c r="H14" s="2631">
        <v>50</v>
      </c>
      <c r="I14" s="2631"/>
      <c r="J14" s="2663"/>
      <c r="K14" s="2840"/>
      <c r="L14" s="2836"/>
      <c r="M14" s="2836"/>
      <c r="N14" s="2663"/>
      <c r="O14" s="2674"/>
      <c r="P14" s="2663"/>
      <c r="Q14" s="2663"/>
      <c r="R14" s="2663"/>
    </row>
    <row r="15" spans="1:28">
      <c r="A15" s="324"/>
      <c r="B15" s="2632"/>
      <c r="C15" s="2633" t="s">
        <v>2936</v>
      </c>
      <c r="D15" s="2634">
        <f>IF(B12="出让",IF(D13="","",ROUNDDOWN(MIN((D13-$D$3)/365,D14),2)),D14)</f>
        <v>69.38</v>
      </c>
      <c r="E15" s="2634" t="str">
        <f>IF(B12="出让",IF(E13="","",ROUNDDOWN(MIN((E13-$D$3)/365,E14),2)),E14)</f>
        <v/>
      </c>
      <c r="F15" s="2634" t="str">
        <f>IF(B12="出让",IF(F13="","",ROUNDDOWN(MIN((F13-$D$3)/365,F14),2)),F14)</f>
        <v/>
      </c>
      <c r="G15" s="2634" t="str">
        <f>IF(B12="出让",IF(G13="","",ROUNDDOWN(MIN((G13-$D$3)/365,G14),2)),G14)</f>
        <v/>
      </c>
      <c r="H15" s="2634">
        <f>IF(B12="出让",IF(H13="","",ROUNDDOWN(MIN((H13-$D$3)/365,H14),2)),H14)</f>
        <v>49.37</v>
      </c>
      <c r="I15" s="2634" t="str">
        <f>IF(B12="出让",IF(I13="","",ROUNDDOWN(MIN((I13-$D$3)/365,I14),2)),I14)</f>
        <v/>
      </c>
      <c r="J15" s="2663"/>
      <c r="K15" s="2841"/>
      <c r="L15" s="2675"/>
      <c r="M15" s="2675"/>
      <c r="N15" s="2733"/>
      <c r="O15" s="2675"/>
      <c r="P15" s="2733"/>
      <c r="Q15" s="2663"/>
      <c r="R15" s="2663"/>
    </row>
    <row r="16" spans="1:28">
      <c r="A16" s="2622" t="s">
        <v>2937</v>
      </c>
      <c r="B16" s="3178"/>
      <c r="C16" s="3179"/>
      <c r="D16" s="3180"/>
      <c r="E16" s="2637" t="s">
        <v>2938</v>
      </c>
      <c r="F16" s="3181"/>
      <c r="G16" s="3182"/>
      <c r="H16" s="3182"/>
      <c r="I16" s="3183"/>
      <c r="J16" s="2663"/>
      <c r="K16" s="2841"/>
      <c r="L16" s="2675"/>
      <c r="M16" s="2675"/>
      <c r="N16" s="2733"/>
      <c r="O16" s="2675"/>
      <c r="P16" s="2733"/>
      <c r="Q16" s="2663"/>
      <c r="R16" s="2663"/>
    </row>
    <row r="17" spans="1:28">
      <c r="A17" s="317" t="s">
        <v>2939</v>
      </c>
      <c r="B17" s="306" t="s">
        <v>2940</v>
      </c>
      <c r="C17" s="11">
        <f>'数据-汇总表'!E3</f>
        <v>133675.47</v>
      </c>
      <c r="D17" s="2543" t="s">
        <v>2941</v>
      </c>
      <c r="E17" s="3184" t="s">
        <v>2942</v>
      </c>
      <c r="F17" s="3185"/>
      <c r="G17" s="3185"/>
      <c r="H17" s="3185"/>
      <c r="I17" s="3186"/>
      <c r="J17" s="2663"/>
      <c r="K17" s="2842"/>
      <c r="L17" s="2675"/>
      <c r="M17" s="2675"/>
      <c r="N17" s="2733"/>
      <c r="O17" s="2675"/>
      <c r="P17" s="2733"/>
      <c r="Q17" s="2663"/>
      <c r="R17" s="2663"/>
      <c r="S17" s="2663"/>
      <c r="T17" s="2663"/>
      <c r="U17" s="2663"/>
      <c r="V17" s="2663"/>
    </row>
    <row r="18" spans="1:28" ht="24.75" thickBot="1">
      <c r="A18" s="2638" t="s">
        <v>2943</v>
      </c>
      <c r="B18" s="1248" t="s">
        <v>2944</v>
      </c>
      <c r="C18" s="2639">
        <f>'数据-汇总表'!D3</f>
        <v>39947</v>
      </c>
      <c r="D18" s="1250" t="s">
        <v>2945</v>
      </c>
      <c r="E18" s="3187" t="s">
        <v>2946</v>
      </c>
      <c r="F18" s="3188"/>
      <c r="G18" s="3188"/>
      <c r="H18" s="3188"/>
      <c r="I18" s="3189"/>
      <c r="J18" s="2663"/>
      <c r="K18" s="2842"/>
      <c r="L18" s="2675"/>
      <c r="M18" s="2675"/>
      <c r="N18" s="2733"/>
      <c r="O18" s="2675"/>
      <c r="P18" s="2733"/>
      <c r="Q18" s="2663"/>
      <c r="R18" s="2663"/>
      <c r="S18" s="2663"/>
      <c r="T18" s="2663"/>
      <c r="U18" s="2663"/>
      <c r="V18" s="2663"/>
    </row>
    <row r="19" spans="1:28" ht="37.5" thickTop="1" thickBot="1">
      <c r="A19" s="331" t="s">
        <v>1741</v>
      </c>
      <c r="B19" s="311" t="s">
        <v>2947</v>
      </c>
      <c r="C19" s="1746"/>
      <c r="D19" s="1747" t="s">
        <v>2948</v>
      </c>
      <c r="E19" s="1748"/>
      <c r="F19" s="1749" t="str">
        <f>IF(AND(C19="是",E19="否"),"是否提供他项权证或相关说明","")</f>
        <v/>
      </c>
      <c r="G19" s="1750"/>
      <c r="H19" s="2888"/>
      <c r="I19" s="2888"/>
      <c r="J19" s="2663"/>
      <c r="K19" s="2839"/>
      <c r="L19" s="2836"/>
      <c r="M19" s="2836"/>
      <c r="N19" s="2733"/>
      <c r="O19" s="2675"/>
      <c r="P19" s="2733"/>
      <c r="Q19" s="2663"/>
      <c r="R19" s="2663"/>
      <c r="S19" s="2663"/>
      <c r="T19" s="2663"/>
      <c r="U19" s="2663"/>
      <c r="V19" s="2663"/>
    </row>
    <row r="20" spans="1:28">
      <c r="A20" s="2856" t="s">
        <v>2949</v>
      </c>
      <c r="B20" s="3174" t="s">
        <v>2950</v>
      </c>
      <c r="C20" s="3175"/>
      <c r="D20" s="3176" t="s">
        <v>2951</v>
      </c>
      <c r="E20" s="3177"/>
      <c r="F20" s="2871" t="s">
        <v>1742</v>
      </c>
      <c r="G20" s="2888"/>
      <c r="H20" s="2888"/>
      <c r="I20" s="2888"/>
      <c r="J20" s="2663"/>
      <c r="K20" s="3173" t="s">
        <v>2952</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6"/>
      <c r="B21" s="2857" t="s">
        <v>2953</v>
      </c>
      <c r="C21" s="2858" t="s">
        <v>1743</v>
      </c>
      <c r="D21" s="1751" t="s">
        <v>2954</v>
      </c>
      <c r="E21" s="2859" t="s">
        <v>1743</v>
      </c>
      <c r="F21" s="2872"/>
      <c r="G21" s="2888"/>
      <c r="H21" s="2888"/>
      <c r="I21" s="2888"/>
      <c r="J21" s="2663"/>
      <c r="K21" s="3173"/>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6"/>
      <c r="B22" s="2860" t="s">
        <v>2955</v>
      </c>
      <c r="C22" s="2858" t="s">
        <v>1744</v>
      </c>
      <c r="D22" s="2887"/>
      <c r="E22" s="2887"/>
      <c r="F22" s="2887"/>
      <c r="G22" s="2888"/>
      <c r="H22" s="2888"/>
      <c r="I22" s="2888"/>
      <c r="J22" s="2663"/>
      <c r="K22" s="3173"/>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1" t="s">
        <v>2956</v>
      </c>
      <c r="B23" s="2726" t="s">
        <v>2957</v>
      </c>
      <c r="C23" s="2862"/>
      <c r="D23" s="2863" t="s">
        <v>2957</v>
      </c>
      <c r="E23" s="2864"/>
      <c r="F23" s="2887"/>
      <c r="G23" s="2888"/>
      <c r="H23" s="2888"/>
      <c r="I23" s="2888"/>
      <c r="J23" s="2663"/>
      <c r="K23" s="2843"/>
      <c r="L23" s="2699"/>
      <c r="M23" s="2836"/>
      <c r="N23" s="2733"/>
      <c r="O23" s="2675"/>
      <c r="P23" s="2733"/>
      <c r="Q23" s="2663"/>
      <c r="R23" s="2663"/>
      <c r="S23" s="2663"/>
      <c r="T23" s="2663"/>
      <c r="U23" s="2663"/>
      <c r="V23" s="2663"/>
    </row>
    <row r="24" spans="1:28">
      <c r="A24" s="2861"/>
      <c r="B24" s="2726" t="s">
        <v>1745</v>
      </c>
      <c r="C24" s="2865"/>
      <c r="D24" s="2861" t="s">
        <v>1745</v>
      </c>
      <c r="E24" s="2866"/>
      <c r="F24" s="2887"/>
      <c r="G24" s="2888"/>
      <c r="H24" s="2888"/>
      <c r="I24" s="2888"/>
      <c r="J24" s="2663"/>
      <c r="K24" s="2843"/>
      <c r="L24" s="2699"/>
      <c r="M24" s="2836"/>
      <c r="N24" s="2733"/>
      <c r="O24" s="2675"/>
      <c r="P24" s="2733"/>
      <c r="Q24" s="2663"/>
      <c r="R24" s="2663"/>
      <c r="S24" s="2663"/>
      <c r="T24" s="2663"/>
      <c r="U24" s="2663"/>
      <c r="V24" s="2663"/>
    </row>
    <row r="25" spans="1:28">
      <c r="A25" s="2861"/>
      <c r="B25" s="2726" t="s">
        <v>1746</v>
      </c>
      <c r="C25" s="2865"/>
      <c r="D25" s="2861" t="s">
        <v>1746</v>
      </c>
      <c r="E25" s="2866"/>
      <c r="F25" s="2887"/>
      <c r="G25" s="2888"/>
      <c r="H25" s="2888"/>
      <c r="I25" s="2888"/>
      <c r="J25" s="2663"/>
      <c r="K25" s="2839"/>
      <c r="L25" s="2836"/>
      <c r="M25" s="2836"/>
      <c r="N25" s="2733"/>
      <c r="O25" s="2675"/>
      <c r="P25" s="2733"/>
      <c r="Q25" s="2663"/>
      <c r="R25" s="2663"/>
      <c r="S25" s="2663"/>
      <c r="T25" s="2663"/>
      <c r="U25" s="2663"/>
      <c r="V25" s="2663"/>
    </row>
    <row r="26" spans="1:28" ht="13.5" thickBot="1">
      <c r="A26" s="2867"/>
      <c r="B26" s="2868" t="s">
        <v>1747</v>
      </c>
      <c r="C26" s="2869"/>
      <c r="D26" s="2867" t="s">
        <v>1747</v>
      </c>
      <c r="E26" s="2870"/>
      <c r="F26" s="2889"/>
      <c r="G26" s="2889"/>
      <c r="H26" s="2889"/>
      <c r="I26" s="2889"/>
      <c r="J26" s="2663"/>
      <c r="K26" s="2839"/>
      <c r="L26" s="2836"/>
      <c r="M26" s="2836"/>
      <c r="N26" s="2733"/>
      <c r="O26" s="2675"/>
      <c r="P26" s="2733"/>
      <c r="Q26" s="2663"/>
      <c r="R26" s="2663"/>
      <c r="S26" s="2663"/>
      <c r="T26" s="2663"/>
      <c r="U26" s="2663"/>
      <c r="V26" s="2663"/>
    </row>
    <row r="27" spans="1:28" ht="13.5" thickTop="1">
      <c r="A27" s="3161" t="s">
        <v>2958</v>
      </c>
      <c r="B27" s="324" t="s">
        <v>2959</v>
      </c>
      <c r="C27" s="2640" t="s">
        <v>3108</v>
      </c>
      <c r="D27" s="2641"/>
      <c r="E27" s="2888"/>
      <c r="F27" s="2888"/>
      <c r="G27" s="2888"/>
      <c r="H27" s="2888"/>
      <c r="I27" s="2888"/>
      <c r="J27" s="2663"/>
      <c r="K27" s="2841"/>
      <c r="L27" s="2675"/>
      <c r="M27" s="2675"/>
      <c r="N27" s="2733"/>
      <c r="O27" s="2675"/>
      <c r="P27" s="2733"/>
      <c r="Q27" s="2663"/>
      <c r="R27" s="2663"/>
      <c r="S27" s="2663"/>
      <c r="T27" s="2663"/>
      <c r="U27" s="2663"/>
      <c r="V27" s="2663"/>
    </row>
    <row r="28" spans="1:28">
      <c r="A28" s="3161"/>
      <c r="B28" s="306" t="s">
        <v>2960</v>
      </c>
      <c r="C28" s="2642"/>
      <c r="D28" s="2643"/>
      <c r="E28" s="2888"/>
      <c r="F28" s="2888"/>
      <c r="G28" s="2888"/>
      <c r="H28" s="2888"/>
      <c r="I28" s="2888"/>
      <c r="J28" s="2663"/>
      <c r="K28" s="2839"/>
      <c r="L28" s="2836"/>
      <c r="M28" s="2836"/>
      <c r="N28" s="2663"/>
      <c r="O28" s="2674"/>
      <c r="P28" s="2663"/>
      <c r="Q28" s="2663"/>
      <c r="R28" s="2663"/>
      <c r="S28" s="2663"/>
      <c r="T28" s="2663"/>
      <c r="U28" s="2663"/>
      <c r="V28" s="2663"/>
    </row>
    <row r="29" spans="1:28">
      <c r="A29" s="3161"/>
      <c r="B29" s="306" t="s">
        <v>2961</v>
      </c>
      <c r="C29" s="2644"/>
      <c r="D29" s="2645"/>
      <c r="E29" s="2888"/>
      <c r="F29" s="2888"/>
      <c r="G29" s="2888"/>
      <c r="H29" s="2888"/>
      <c r="I29" s="2888"/>
      <c r="J29" s="2663"/>
      <c r="K29" s="2839"/>
      <c r="L29" s="2836"/>
      <c r="M29" s="2836"/>
      <c r="N29" s="2663"/>
      <c r="O29" s="2674"/>
      <c r="P29" s="2663"/>
      <c r="Q29" s="2663"/>
      <c r="R29" s="2663"/>
      <c r="S29" s="2663"/>
      <c r="T29" s="2663"/>
      <c r="U29" s="2663"/>
      <c r="V29" s="2663"/>
    </row>
    <row r="30" spans="1:28">
      <c r="A30" s="3162"/>
      <c r="B30" s="306" t="s">
        <v>2962</v>
      </c>
      <c r="C30" s="3163"/>
      <c r="D30" s="3164"/>
      <c r="E30" s="2888"/>
      <c r="F30" s="2888"/>
      <c r="G30" s="2888"/>
      <c r="H30" s="2888"/>
      <c r="I30" s="2888"/>
      <c r="J30" s="2663"/>
      <c r="K30" s="2839"/>
      <c r="L30" s="2836"/>
      <c r="M30" s="2836"/>
      <c r="N30" s="2663"/>
      <c r="O30" s="2674"/>
      <c r="P30" s="2663"/>
      <c r="Q30" s="2663"/>
      <c r="R30" s="2663"/>
      <c r="S30" s="2663"/>
      <c r="T30" s="2663"/>
      <c r="U30" s="2663"/>
      <c r="V30" s="2663"/>
    </row>
    <row r="31" spans="1:28">
      <c r="A31" s="3165" t="s">
        <v>2963</v>
      </c>
      <c r="B31" s="2646" t="s">
        <v>3065</v>
      </c>
      <c r="C31" s="2544" t="str">
        <f>IF(B31="现房","成新及维护状况正常否",IF(B31="在建","工程状态是否正常",IF(B31="土地","是否闲置","-")))</f>
        <v>工程状态是否正常</v>
      </c>
      <c r="D31" s="1555"/>
      <c r="E31" s="2647"/>
      <c r="F31" s="2888"/>
      <c r="G31" s="2888"/>
      <c r="H31" s="2888"/>
      <c r="I31" s="2888"/>
      <c r="J31" s="2663"/>
      <c r="K31" s="2838"/>
      <c r="L31" s="2836"/>
      <c r="M31" s="2836"/>
      <c r="N31" s="2663"/>
      <c r="O31" s="2674"/>
      <c r="P31" s="2663"/>
      <c r="Q31" s="2663"/>
      <c r="R31" s="2663"/>
      <c r="S31" s="2663"/>
      <c r="T31" s="2663"/>
      <c r="U31" s="2663"/>
      <c r="V31" s="2663"/>
    </row>
    <row r="32" spans="1:28">
      <c r="A32" s="3166"/>
      <c r="B32" s="2646"/>
      <c r="C32" s="2544" t="str">
        <f>IF(B32="现房","成新及维护状况是否正常",IF(B32="在建","工程状态是否正常",IF(B32="土地","是否闲置","-")))</f>
        <v>-</v>
      </c>
      <c r="D32" s="1555"/>
      <c r="E32" s="2647"/>
      <c r="F32" s="2888"/>
      <c r="G32" s="2888"/>
      <c r="H32" s="2888"/>
      <c r="I32" s="2888"/>
      <c r="J32" s="2663"/>
      <c r="K32" s="2839"/>
      <c r="L32" s="2836"/>
      <c r="M32" s="2836"/>
      <c r="N32" s="2663"/>
      <c r="O32" s="2674"/>
      <c r="P32" s="2663"/>
      <c r="Q32" s="2663"/>
      <c r="R32" s="2663"/>
      <c r="S32" s="2663"/>
      <c r="T32" s="2663"/>
      <c r="U32" s="2663"/>
      <c r="V32" s="2663"/>
    </row>
    <row r="33" spans="1:30">
      <c r="A33" s="3166"/>
      <c r="B33" s="2649"/>
      <c r="C33" s="1773" t="str">
        <f>IF(B33="现房","成新及维护状况是否正常",IF(B33="在建","工程状态是否正常",IF(B33="土地","是否闲置","-")))</f>
        <v>-</v>
      </c>
      <c r="D33" s="1547"/>
      <c r="E33" s="2650"/>
      <c r="F33" s="2888"/>
      <c r="G33" s="2888"/>
      <c r="H33" s="2888"/>
      <c r="I33" s="2888"/>
      <c r="J33" s="2663"/>
      <c r="K33" s="2839"/>
      <c r="L33" s="2836"/>
      <c r="M33" s="2836"/>
      <c r="N33" s="2663"/>
      <c r="O33" s="2674"/>
      <c r="P33" s="2663"/>
      <c r="Q33" s="2663"/>
      <c r="R33" s="2663"/>
      <c r="S33" s="2663"/>
      <c r="T33" s="2663"/>
      <c r="U33" s="2663"/>
      <c r="V33" s="2663"/>
    </row>
    <row r="34" spans="1:30">
      <c r="A34" s="306" t="s">
        <v>2964</v>
      </c>
      <c r="B34" s="2212"/>
      <c r="C34" s="2212"/>
      <c r="D34" s="2212"/>
      <c r="E34" s="2212"/>
      <c r="F34" s="2212"/>
      <c r="G34" s="2212"/>
      <c r="H34" s="2212"/>
      <c r="I34" s="2888"/>
      <c r="J34" s="2663"/>
      <c r="K34" s="2651">
        <f>COUNTIF(B34:H34,"——")</f>
        <v>0</v>
      </c>
      <c r="L34" s="327" t="s">
        <v>2965</v>
      </c>
      <c r="M34" s="327" t="s">
        <v>2966</v>
      </c>
      <c r="N34" s="327" t="s">
        <v>2967</v>
      </c>
      <c r="O34" s="327" t="s">
        <v>2968</v>
      </c>
      <c r="P34" s="327" t="s">
        <v>2969</v>
      </c>
      <c r="Q34" s="327" t="s">
        <v>2970</v>
      </c>
      <c r="R34" s="327" t="s">
        <v>2971</v>
      </c>
      <c r="S34" s="3160" t="s">
        <v>2972</v>
      </c>
      <c r="T34" s="2652" t="str">
        <f>NUMBERSTRING(7-K34,1)&amp;"通"</f>
        <v>七通</v>
      </c>
      <c r="U34" s="2663"/>
      <c r="V34" s="2663"/>
    </row>
    <row r="35" spans="1:30">
      <c r="A35" s="2653"/>
      <c r="B35" s="3167" t="s">
        <v>2973</v>
      </c>
      <c r="C35" s="3167"/>
      <c r="D35" s="3167"/>
      <c r="E35" s="3167"/>
      <c r="F35" s="671">
        <f>C10</f>
        <v>0</v>
      </c>
      <c r="G35" s="2888"/>
      <c r="H35" s="2888"/>
      <c r="I35" s="2888"/>
      <c r="J35" s="2663"/>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160"/>
      <c r="T35" s="333" t="str">
        <f>IF(T34="一通",L35,IF(T34="二通",M35,IF(T34="三通",N35,IF(T34="四通",O35,IF(T34="五通",P35,IF(T34="六通",Q35,R35))))))</f>
        <v>、、、、、、</v>
      </c>
      <c r="U35" s="2663"/>
      <c r="V35" s="2663"/>
    </row>
    <row r="36" spans="1:30">
      <c r="A36" s="2654"/>
      <c r="B36" s="671" t="s">
        <v>2929</v>
      </c>
      <c r="C36" s="671" t="s">
        <v>2930</v>
      </c>
      <c r="D36" s="671" t="s">
        <v>2928</v>
      </c>
      <c r="E36" s="671" t="s">
        <v>2933</v>
      </c>
      <c r="F36" s="2894"/>
      <c r="G36" s="2888"/>
      <c r="H36" s="2888"/>
      <c r="I36" s="2888"/>
      <c r="J36" s="2663"/>
      <c r="K36" s="2839"/>
      <c r="L36" s="2836"/>
      <c r="M36" s="2836"/>
      <c r="N36" s="2663"/>
      <c r="O36" s="2674"/>
      <c r="P36" s="2663"/>
      <c r="Q36" s="2663"/>
      <c r="R36" s="2663"/>
      <c r="S36" s="2663"/>
      <c r="T36" s="2663"/>
      <c r="U36" s="2663"/>
      <c r="V36" s="2663"/>
    </row>
    <row r="37" spans="1:30">
      <c r="A37" s="2854" t="s">
        <v>2974</v>
      </c>
      <c r="B37" s="2655"/>
      <c r="C37" s="2655"/>
      <c r="D37" s="2655"/>
      <c r="E37" s="2655"/>
      <c r="F37" s="2894"/>
      <c r="G37" s="2888"/>
      <c r="H37" s="2888"/>
      <c r="I37" s="2888"/>
      <c r="J37" s="2663"/>
      <c r="K37" s="2839"/>
      <c r="L37" s="2836"/>
      <c r="M37" s="2836"/>
      <c r="N37" s="2663"/>
      <c r="O37" s="2674"/>
      <c r="P37" s="2663"/>
      <c r="Q37" s="2663"/>
      <c r="R37" s="2663"/>
      <c r="S37" s="2663"/>
      <c r="T37" s="2663"/>
      <c r="U37" s="2663"/>
      <c r="V37" s="2663"/>
    </row>
    <row r="38" spans="1:30" ht="13.5" thickBot="1">
      <c r="A38" s="2855" t="s">
        <v>2975</v>
      </c>
      <c r="B38" s="2656"/>
      <c r="C38" s="2656"/>
      <c r="D38" s="2656"/>
      <c r="E38" s="2656"/>
      <c r="F38" s="2895"/>
      <c r="G38" s="2889"/>
      <c r="H38" s="2889"/>
      <c r="I38" s="2889"/>
      <c r="J38" s="2663"/>
      <c r="K38" s="2839"/>
      <c r="L38" s="2836"/>
      <c r="M38" s="2836"/>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2"/>
      <c r="B40" s="2592"/>
      <c r="C40" s="2592"/>
      <c r="D40" s="2592"/>
      <c r="E40" s="2592"/>
      <c r="F40" s="2592"/>
      <c r="G40" s="2592"/>
      <c r="H40" s="2592"/>
      <c r="I40" s="1761"/>
      <c r="J40" s="2733"/>
      <c r="K40" s="2838"/>
      <c r="L40" s="2675"/>
      <c r="M40" s="2675"/>
      <c r="N40" s="2733"/>
      <c r="O40" s="2675"/>
      <c r="P40" s="2663"/>
      <c r="Q40" s="2663"/>
      <c r="R40" s="2663"/>
      <c r="S40" s="2663"/>
      <c r="T40" s="2663"/>
      <c r="U40" s="2663"/>
      <c r="V40" s="2663"/>
    </row>
    <row r="41" spans="1:30">
      <c r="A41" s="2660" t="s">
        <v>2977</v>
      </c>
      <c r="B41" s="1941"/>
      <c r="C41" s="1555"/>
      <c r="D41" s="2592"/>
      <c r="E41" s="2592"/>
      <c r="F41" s="2592"/>
      <c r="G41" s="2592"/>
      <c r="H41" s="2592"/>
      <c r="I41" s="1759"/>
      <c r="J41" s="2663"/>
      <c r="K41" s="2839"/>
      <c r="L41" s="2836"/>
      <c r="M41" s="2836"/>
      <c r="N41" s="2663"/>
      <c r="O41" s="2674"/>
      <c r="P41" s="2663"/>
      <c r="Q41" s="2663"/>
      <c r="R41" s="2663"/>
      <c r="S41" s="2663"/>
      <c r="T41" s="2663"/>
      <c r="U41" s="2663"/>
      <c r="V41" s="2663"/>
    </row>
    <row r="42" spans="1:30" ht="25.5">
      <c r="A42" s="327" t="s">
        <v>2978</v>
      </c>
      <c r="B42" s="11" t="s">
        <v>2979</v>
      </c>
      <c r="C42" s="11" t="s">
        <v>2980</v>
      </c>
      <c r="D42" s="11" t="s">
        <v>2981</v>
      </c>
      <c r="E42" s="11" t="s">
        <v>2982</v>
      </c>
      <c r="F42" s="11" t="s">
        <v>2983</v>
      </c>
      <c r="G42" s="11" t="s">
        <v>2984</v>
      </c>
      <c r="H42" s="11" t="s">
        <v>2985</v>
      </c>
      <c r="I42" s="11" t="s">
        <v>2986</v>
      </c>
      <c r="J42" s="2850" t="s">
        <v>2987</v>
      </c>
      <c r="K42" s="2851" t="s">
        <v>2988</v>
      </c>
      <c r="L42" s="2851" t="s">
        <v>2989</v>
      </c>
      <c r="M42" s="2851" t="s">
        <v>2990</v>
      </c>
      <c r="N42" s="2844" t="s">
        <v>2991</v>
      </c>
      <c r="O42" s="2844" t="s">
        <v>2992</v>
      </c>
      <c r="P42" s="2844" t="s">
        <v>2993</v>
      </c>
      <c r="Q42" s="2845" t="s">
        <v>2994</v>
      </c>
      <c r="R42" s="2845" t="s">
        <v>2995</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F13" sqref="AF13"/>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hidden="1" customWidth="1"/>
    <col min="15" max="15" width="9.875" style="1756" hidden="1" customWidth="1"/>
    <col min="16" max="16" width="9.75" style="1756" hidden="1" customWidth="1"/>
    <col min="17" max="17" width="9.375" style="1756" hidden="1" customWidth="1"/>
    <col min="18" max="18" width="9.25" style="1756" hidden="1"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hidden="1" customWidth="1"/>
    <col min="31" max="31" width="9.75" style="1756" hidden="1" customWidth="1"/>
    <col min="32" max="32" width="9.5" style="1756" customWidth="1"/>
    <col min="33" max="39" width="9.5" style="1756" hidden="1" customWidth="1"/>
    <col min="40"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39947</v>
      </c>
      <c r="B3" s="14">
        <f>IF(C3="否",G5-AT5,G5)</f>
        <v>133675.47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133675.47</v>
      </c>
      <c r="H5" s="16">
        <f t="shared" ref="H5:AT5" si="0">SUM(H13:H656)</f>
        <v>133424.82</v>
      </c>
      <c r="I5" s="16">
        <f t="shared" si="0"/>
        <v>125054.78</v>
      </c>
      <c r="J5" s="16">
        <f t="shared" si="0"/>
        <v>0</v>
      </c>
      <c r="K5" s="16">
        <f t="shared" si="0"/>
        <v>8370.0399999999991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250.65</v>
      </c>
      <c r="AD5" s="16">
        <f t="shared" si="0"/>
        <v>0</v>
      </c>
      <c r="AE5" s="16">
        <f t="shared" si="0"/>
        <v>0</v>
      </c>
      <c r="AF5" s="16">
        <f t="shared" si="0"/>
        <v>250.65</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133675.47</v>
      </c>
      <c r="BA5" s="18">
        <f t="shared" si="1"/>
        <v>133424.82</v>
      </c>
      <c r="BB5" s="18">
        <f t="shared" si="1"/>
        <v>125054.78</v>
      </c>
      <c r="BC5" s="18">
        <f t="shared" si="1"/>
        <v>8370.0399999999991</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250.65</v>
      </c>
      <c r="BM5" s="18">
        <f t="shared" si="1"/>
        <v>0</v>
      </c>
      <c r="BN5" s="18">
        <f t="shared" si="1"/>
        <v>250.65</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39947</v>
      </c>
      <c r="F6" s="16" t="s">
        <v>1</v>
      </c>
      <c r="G6" s="16" t="s">
        <v>2</v>
      </c>
      <c r="H6" s="20">
        <f>SUMIF(I$12:AB$12,"总值",I6:AB6)</f>
        <v>39872.1</v>
      </c>
      <c r="I6" s="16">
        <f t="shared" ref="I6:AB6" si="2">ROUND($A$3*I5/$B$3,2)</f>
        <v>37370.83</v>
      </c>
      <c r="J6" s="16">
        <f t="shared" si="2"/>
        <v>0</v>
      </c>
      <c r="K6" s="16">
        <f t="shared" si="2"/>
        <v>2501.27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74.900000000000006</v>
      </c>
      <c r="AD6" s="16">
        <f t="shared" ref="AD6:AS6" si="3">ROUND($A$3*AD5/$B$3,2)</f>
        <v>0</v>
      </c>
      <c r="AE6" s="16">
        <f t="shared" si="3"/>
        <v>0</v>
      </c>
      <c r="AF6" s="16">
        <f t="shared" si="3"/>
        <v>74.900000000000006</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39947</v>
      </c>
      <c r="AZ6" s="16" t="s">
        <v>3</v>
      </c>
      <c r="BA6" s="16">
        <f>ROUND($AY$6*BA5/$AZ$5,2)</f>
        <v>39872.1</v>
      </c>
      <c r="BB6" s="16">
        <f>ROUND($AY$6*BB5/$AZ$5,2)</f>
        <v>37370.83</v>
      </c>
      <c r="BC6" s="16">
        <f t="shared" ref="BC6:BH6" si="4">ROUND($AY$6*BC5/$AZ$5,2)</f>
        <v>2501.27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74.900000000000006</v>
      </c>
      <c r="BM6" s="16">
        <f t="shared" si="5"/>
        <v>0</v>
      </c>
      <c r="BN6" s="16">
        <f t="shared" si="5"/>
        <v>74.900000000000006</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3066</v>
      </c>
      <c r="J9" s="916"/>
      <c r="K9" s="1786" t="s">
        <v>3067</v>
      </c>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3109</v>
      </c>
      <c r="J10" s="916"/>
      <c r="K10" s="1792" t="s">
        <v>3110</v>
      </c>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t="str">
        <f>K9</f>
        <v>地下</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住宅</v>
      </c>
      <c r="BC11" s="1782" t="str">
        <f>K10</f>
        <v>仓储</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1180"/>
      <c r="C13" s="1180"/>
      <c r="D13" s="1808" t="s">
        <v>3068</v>
      </c>
      <c r="E13" s="16">
        <f>IF($C$3="是",ROUND($A$3*G13/$B$3,2),ROUND($A$3*(G13-AT13)/$B$3,2))</f>
        <v>39947</v>
      </c>
      <c r="F13" s="32"/>
      <c r="G13" s="33">
        <f>H13+AC13+AT13</f>
        <v>133675.47</v>
      </c>
      <c r="H13" s="20">
        <f>SUMIF(I$12:AB$12,"总值",I13:AB13)</f>
        <v>133424.82</v>
      </c>
      <c r="I13" s="1809">
        <f>面积拆分!C8</f>
        <v>125054.78</v>
      </c>
      <c r="J13" s="1809"/>
      <c r="K13" s="1809">
        <f>面积拆分!D8</f>
        <v>8370.0399999999991</v>
      </c>
      <c r="L13" s="1809"/>
      <c r="M13" s="1809"/>
      <c r="N13" s="1809"/>
      <c r="O13" s="1809"/>
      <c r="P13" s="1809"/>
      <c r="Q13" s="1809"/>
      <c r="R13" s="1809"/>
      <c r="S13" s="1809"/>
      <c r="T13" s="1809"/>
      <c r="U13" s="1809"/>
      <c r="V13" s="1809"/>
      <c r="W13" s="1809"/>
      <c r="X13" s="1809"/>
      <c r="Y13" s="1809"/>
      <c r="Z13" s="1809"/>
      <c r="AA13" s="1809"/>
      <c r="AB13" s="1809"/>
      <c r="AC13" s="16">
        <f>SUMIF(AD$12:AS$12,"总值",AD13:AS13)</f>
        <v>250.65</v>
      </c>
      <c r="AD13" s="1810"/>
      <c r="AE13" s="1810"/>
      <c r="AF13" s="1810">
        <f>面积拆分!E8</f>
        <v>250.65</v>
      </c>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39947</v>
      </c>
      <c r="AZ13" s="16">
        <f>BA13+BL13</f>
        <v>133675.47</v>
      </c>
      <c r="BA13" s="16">
        <f>SUM(BB13:BK13)</f>
        <v>133424.82</v>
      </c>
      <c r="BB13" s="16">
        <f>IF($D13="是",I13-J13,0)</f>
        <v>125054.78</v>
      </c>
      <c r="BC13" s="16">
        <f>IF($D13="是",K13-L13,0)</f>
        <v>8370.0399999999991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250.65</v>
      </c>
      <c r="BM13" s="16">
        <f>IF($D13="是",AD13-AE13,0)</f>
        <v>0</v>
      </c>
      <c r="BN13" s="16">
        <f>IF($D13="是",AF13-AG13,0)</f>
        <v>250.65</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1180"/>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1180"/>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28.5">
      <c r="A3" s="3190"/>
      <c r="B3" s="3190"/>
      <c r="C3" s="3190"/>
      <c r="D3" s="3191"/>
      <c r="E3" s="31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6"/>
  <sheetViews>
    <sheetView view="pageBreakPreview" zoomScale="80" zoomScaleNormal="100" zoomScaleSheetLayoutView="80" workbookViewId="0">
      <selection activeCell="G29" sqref="G2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201" t="s">
        <v>1817</v>
      </c>
      <c r="B2" s="3201"/>
      <c r="C2" s="3201"/>
      <c r="D2" s="902" t="s">
        <v>1793</v>
      </c>
      <c r="E2" s="1822" t="s">
        <v>1794</v>
      </c>
      <c r="F2" s="2883"/>
      <c r="G2" s="2874"/>
      <c r="H2" s="2875"/>
      <c r="I2" s="2546" t="s">
        <v>1818</v>
      </c>
      <c r="J2" s="2883"/>
      <c r="K2" s="2883"/>
      <c r="L2" s="2883"/>
      <c r="M2" s="2883"/>
      <c r="N2" s="2885"/>
      <c r="O2" s="2883"/>
      <c r="P2" s="2883"/>
    </row>
    <row r="3" spans="1:16" ht="15.75" thickBot="1">
      <c r="A3" s="3202" t="s">
        <v>1791</v>
      </c>
      <c r="B3" s="3202"/>
      <c r="C3" s="3202"/>
      <c r="D3" s="46">
        <f>'数据-基础表'!AY6</f>
        <v>39947</v>
      </c>
      <c r="E3" s="46">
        <f>'数据-基础表'!AZ5</f>
        <v>133675.47</v>
      </c>
      <c r="F3" s="2883"/>
      <c r="G3" s="1305"/>
      <c r="H3" s="1155" t="s">
        <v>1792</v>
      </c>
      <c r="I3" s="962">
        <f>ROUND('数据-基础表'!B3/'数据-基础表'!A3,2)</f>
        <v>3.35</v>
      </c>
      <c r="J3" s="2883"/>
      <c r="K3" s="2883"/>
      <c r="L3" s="2883"/>
      <c r="M3" s="2883"/>
      <c r="N3" s="2885"/>
      <c r="O3" s="2883"/>
      <c r="P3" s="2883"/>
    </row>
    <row r="4" spans="1:16" ht="15">
      <c r="A4" s="3203"/>
      <c r="B4" s="3204"/>
      <c r="C4" s="3205"/>
      <c r="D4" s="1824" t="s">
        <v>1793</v>
      </c>
      <c r="E4" s="1825" t="s">
        <v>1794</v>
      </c>
      <c r="F4" s="2883"/>
      <c r="G4" s="2876" t="s">
        <v>1819</v>
      </c>
      <c r="H4" s="1155" t="s">
        <v>1799</v>
      </c>
      <c r="I4" s="962">
        <f>ROUND(SUMIF('数据-基础表'!I9:AS9,"地上",'数据-基础表'!I5:AS5)/'数据-基础表'!A3,2)</f>
        <v>3.13</v>
      </c>
      <c r="J4" s="2883"/>
      <c r="K4" s="2883"/>
      <c r="L4" s="2883"/>
      <c r="M4" s="2883"/>
      <c r="N4" s="2885"/>
      <c r="O4" s="2883"/>
      <c r="P4" s="2883"/>
    </row>
    <row r="5" spans="1:16">
      <c r="A5" s="47" t="s">
        <v>1795</v>
      </c>
      <c r="B5" s="3206" t="s">
        <v>1796</v>
      </c>
      <c r="C5" s="3206"/>
      <c r="D5" s="48">
        <f>ROUND($D$3*E5/$E$3,2)</f>
        <v>37370.83</v>
      </c>
      <c r="E5" s="49">
        <f>SUMIF('数据-基础表'!$11:$11,"住宅",'数据-基础表'!$5:$5)</f>
        <v>125054.78</v>
      </c>
      <c r="F5" s="2883"/>
      <c r="G5" s="1305"/>
      <c r="H5" s="1155" t="s">
        <v>1792</v>
      </c>
      <c r="I5" s="962">
        <f>ROUND(E31/D31,2)</f>
        <v>3.35</v>
      </c>
      <c r="J5" s="2883"/>
      <c r="K5" s="2883"/>
      <c r="L5" s="2883"/>
      <c r="M5" s="2883"/>
      <c r="N5" s="2883"/>
      <c r="O5" s="2883"/>
      <c r="P5" s="2883"/>
    </row>
    <row r="6" spans="1:16" ht="15" thickBot="1">
      <c r="A6" s="1827"/>
      <c r="B6" s="3206" t="s">
        <v>1797</v>
      </c>
      <c r="C6" s="3206"/>
      <c r="D6" s="48">
        <f>ROUND($D$3*E6/$E$3,2)</f>
        <v>2576.17</v>
      </c>
      <c r="E6" s="49">
        <f>E3-E5</f>
        <v>8620.6900000000023</v>
      </c>
      <c r="F6" s="2883"/>
      <c r="G6" s="2877" t="s">
        <v>1798</v>
      </c>
      <c r="H6" s="1306" t="s">
        <v>1799</v>
      </c>
      <c r="I6" s="2878">
        <f>ROUND(F31/D31,2)</f>
        <v>3.13</v>
      </c>
      <c r="J6" s="2883"/>
      <c r="K6" s="2883"/>
      <c r="L6" s="2883"/>
      <c r="M6" s="2883"/>
      <c r="N6" s="2883"/>
      <c r="O6" s="2883"/>
      <c r="P6" s="2883"/>
    </row>
    <row r="7" spans="1:16" ht="15.75" thickBot="1">
      <c r="A7" s="3198"/>
      <c r="B7" s="3199"/>
      <c r="C7" s="3200"/>
      <c r="D7" s="1824" t="s">
        <v>1793</v>
      </c>
      <c r="E7" s="1828" t="s">
        <v>1800</v>
      </c>
      <c r="F7" s="2883"/>
      <c r="G7" s="2879" t="s">
        <v>1801</v>
      </c>
      <c r="H7" s="2880"/>
      <c r="I7" s="2881">
        <v>2.8</v>
      </c>
      <c r="J7" s="2883"/>
      <c r="K7" s="2883"/>
      <c r="L7" s="2883"/>
      <c r="M7" s="2883"/>
      <c r="N7" s="2883"/>
      <c r="O7" s="2883"/>
      <c r="P7" s="2883"/>
    </row>
    <row r="8" spans="1:16">
      <c r="A8" s="47" t="s">
        <v>1802</v>
      </c>
      <c r="B8" s="50" t="s">
        <v>1803</v>
      </c>
      <c r="C8" s="48" t="s">
        <v>1804</v>
      </c>
      <c r="D8" s="48">
        <f t="shared" ref="D8:D15" si="0">ROUND($D$3*E8/$E$3,2)</f>
        <v>37370.83</v>
      </c>
      <c r="E8" s="51">
        <f>SUMIF('数据-基础表'!BB10:BK10,"地上",'数据-基础表'!BB5:BK5)</f>
        <v>125054.78</v>
      </c>
      <c r="F8" s="2883"/>
      <c r="G8" s="2884"/>
      <c r="H8" s="2884"/>
      <c r="I8" s="2883"/>
      <c r="J8" s="2883"/>
      <c r="K8" s="2883"/>
      <c r="L8" s="2883"/>
      <c r="M8" s="2883"/>
      <c r="N8" s="2883"/>
      <c r="O8" s="2883"/>
      <c r="P8" s="2883"/>
    </row>
    <row r="9" spans="1:16">
      <c r="A9" s="1829"/>
      <c r="B9" s="1830"/>
      <c r="C9" s="48" t="s">
        <v>1805</v>
      </c>
      <c r="D9" s="48">
        <f t="shared" si="0"/>
        <v>0</v>
      </c>
      <c r="E9" s="52">
        <v>0</v>
      </c>
      <c r="F9" s="2883"/>
      <c r="G9" s="2884"/>
      <c r="H9" s="2884"/>
      <c r="I9" s="2883"/>
      <c r="J9" s="2883"/>
      <c r="K9" s="2883"/>
      <c r="L9" s="2883"/>
      <c r="M9" s="2883"/>
      <c r="N9" s="2883"/>
      <c r="O9" s="2883"/>
      <c r="P9" s="2883"/>
    </row>
    <row r="10" spans="1:16">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1807</v>
      </c>
      <c r="D12" s="48">
        <f t="shared" si="0"/>
        <v>2501.27</v>
      </c>
      <c r="E12" s="51">
        <f>SUMPRODUCT(('数据-基础表'!BB10:BK10="地下")*('数据-基础表'!BB11:BK11="仓储")*('数据-基础表'!BB5:BK5))</f>
        <v>8370.0399999999991</v>
      </c>
      <c r="F12" s="2883"/>
      <c r="G12" s="2884"/>
      <c r="H12" s="2884"/>
      <c r="I12" s="2883"/>
      <c r="J12" s="2883"/>
      <c r="K12" s="2883"/>
      <c r="L12" s="2883"/>
      <c r="M12" s="2883"/>
      <c r="N12" s="2883"/>
      <c r="O12" s="2883"/>
      <c r="P12" s="2883"/>
    </row>
    <row r="13" spans="1:16">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1809</v>
      </c>
      <c r="D16" s="50">
        <f>SUM(D8:D15)</f>
        <v>39872.1</v>
      </c>
      <c r="E16" s="53">
        <f>SUM(E8:E15)</f>
        <v>133424.82</v>
      </c>
      <c r="F16" s="2883"/>
      <c r="G16" s="2884"/>
      <c r="H16" s="1831" t="s">
        <v>1821</v>
      </c>
      <c r="I16" s="1832"/>
      <c r="J16" s="1299"/>
      <c r="K16" s="3195" t="s">
        <v>1821</v>
      </c>
      <c r="L16" s="3196"/>
      <c r="M16" s="3196"/>
      <c r="N16" s="3196"/>
      <c r="O16" s="3196"/>
      <c r="P16" s="3197"/>
    </row>
    <row r="17" spans="1:19" ht="15">
      <c r="A17" s="1833" t="s">
        <v>1822</v>
      </c>
      <c r="B17" s="1834" t="s">
        <v>1823</v>
      </c>
      <c r="C17" s="1835" t="s">
        <v>1824</v>
      </c>
      <c r="D17" s="1836" t="s">
        <v>1812</v>
      </c>
      <c r="E17" s="1837" t="s">
        <v>1813</v>
      </c>
      <c r="F17" s="1838"/>
      <c r="G17" s="1839"/>
      <c r="H17" s="1840" t="s">
        <v>1825</v>
      </c>
      <c r="I17" s="1841" t="s">
        <v>1810</v>
      </c>
      <c r="J17" s="1299"/>
      <c r="K17" s="3192" t="s">
        <v>1826</v>
      </c>
      <c r="L17" s="3193"/>
      <c r="M17" s="3194"/>
      <c r="N17" s="3192" t="s">
        <v>1827</v>
      </c>
      <c r="O17" s="3193"/>
      <c r="P17" s="3194"/>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57" t="s">
        <v>3111</v>
      </c>
      <c r="D19" s="48">
        <f>ROUND($D$3*E19/$E$3,2)</f>
        <v>37370.83</v>
      </c>
      <c r="E19" s="56">
        <f t="shared" ref="E19:E26" si="1">SUM(F19:G19)</f>
        <v>125054.78</v>
      </c>
      <c r="F19" s="3023">
        <f>'数据-基础表'!I13</f>
        <v>125054.78</v>
      </c>
      <c r="G19" s="3024"/>
      <c r="H19" s="677">
        <f>ROUND($D$3*I19/$E$3,2)</f>
        <v>74.900000000000006</v>
      </c>
      <c r="I19" s="51">
        <f t="shared" ref="I19:I26" si="2">IF($I$17="自定义",P19,M19)</f>
        <v>250.65</v>
      </c>
      <c r="J19" s="1299"/>
      <c r="K19" s="1298">
        <f t="shared" ref="K19:K26" si="3">ROUND(E$28*E19/E$27,2)</f>
        <v>0</v>
      </c>
      <c r="L19" s="1155">
        <f t="shared" ref="L19:L26" si="4">ROUND(IF(COUNTIF(C19,"*住宅*")&gt;0,E$29*E19/E$32,0),2)</f>
        <v>250.65</v>
      </c>
      <c r="M19" s="1310">
        <f>K19+L19</f>
        <v>250.65</v>
      </c>
      <c r="N19" s="1852"/>
      <c r="O19" s="1853"/>
      <c r="P19" s="1310">
        <f>N19+O19</f>
        <v>0</v>
      </c>
      <c r="R19" s="1155">
        <f t="shared" ref="R19:S26" si="5">D19+H19</f>
        <v>37445.730000000003</v>
      </c>
      <c r="S19" s="1156">
        <f t="shared" si="5"/>
        <v>125305.43</v>
      </c>
    </row>
    <row r="20" spans="1:19">
      <c r="A20" s="1854"/>
      <c r="B20" s="50" t="s">
        <v>1839</v>
      </c>
      <c r="C20" s="3057" t="s">
        <v>3112</v>
      </c>
      <c r="D20" s="48">
        <f t="shared" ref="D20:D26" si="6">ROUND($D$3*E20/$E$3,2)</f>
        <v>2501.27</v>
      </c>
      <c r="E20" s="56">
        <f t="shared" si="1"/>
        <v>8370.0399999999991</v>
      </c>
      <c r="F20" s="3023"/>
      <c r="G20" s="3024">
        <f>'数据-基础表'!K13</f>
        <v>8370.0399999999991</v>
      </c>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2501.27</v>
      </c>
      <c r="S20" s="1156">
        <f t="shared" si="5"/>
        <v>8370.0399999999991</v>
      </c>
    </row>
    <row r="21" spans="1:19">
      <c r="A21" s="1854"/>
      <c r="B21" s="50" t="s">
        <v>1839</v>
      </c>
      <c r="C21" s="1851"/>
      <c r="D21" s="48">
        <f t="shared" si="6"/>
        <v>0</v>
      </c>
      <c r="E21" s="56">
        <f t="shared" si="1"/>
        <v>0</v>
      </c>
      <c r="F21" s="3023"/>
      <c r="G21" s="3024"/>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5"/>
      <c r="G22" s="3026"/>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5"/>
      <c r="G23" s="3026"/>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5"/>
      <c r="G24" s="3026"/>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5"/>
      <c r="G25" s="3026"/>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5"/>
      <c r="G26" s="3026"/>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39872.1</v>
      </c>
      <c r="E27" s="1301">
        <f>IF(SUM(E19:E26)='数据-基础表'!BA5,SUM(E19:E26),IF(F27="地上面积有误","面积有误","地下面积有误"))</f>
        <v>133424.82</v>
      </c>
      <c r="F27" s="1300">
        <f>IF(SUM(F19:F26)=E8,SUM(F19:F26),"地上面积有误")</f>
        <v>125054.78</v>
      </c>
      <c r="G27" s="1302">
        <f>SUM(G19:G26)</f>
        <v>8370.0399999999991</v>
      </c>
      <c r="H27" s="1303">
        <f>SUM(H19:H26)</f>
        <v>74.900000000000006</v>
      </c>
      <c r="I27" s="1304">
        <f>SUM(I19:I26)</f>
        <v>250.65</v>
      </c>
      <c r="J27" s="1299"/>
      <c r="K27" s="1307">
        <f>SUM(K19:K26)</f>
        <v>0</v>
      </c>
      <c r="L27" s="1308">
        <f>SUM(L19:L26)</f>
        <v>250.65</v>
      </c>
      <c r="M27" s="1311">
        <f>SUM(M19:M26)</f>
        <v>250.65</v>
      </c>
      <c r="N27" s="1307">
        <f t="shared" ref="N27:O27" si="10">SUM(N19:N26)</f>
        <v>0</v>
      </c>
      <c r="O27" s="1308">
        <f t="shared" si="10"/>
        <v>0</v>
      </c>
      <c r="P27" s="1309">
        <f>SUM(P19:P26)</f>
        <v>0</v>
      </c>
      <c r="R27" s="1157">
        <f>IF(SUM(R19:R26)=$D$3,SUM(R19:R26),SUM(R19:R26)&amp;"误差"&amp;ROUND(SUM(R19:R26)-$D$3,2))</f>
        <v>39947</v>
      </c>
      <c r="S27" s="1155">
        <f>IF(SUM(S19:S26)=$E$3,SUM(S19:S26),SUM(S19:S26)&amp;"误差"&amp;ROUND(SUM(S19:S26)-E3,2))</f>
        <v>133675.47</v>
      </c>
    </row>
    <row r="28" spans="1:19">
      <c r="A28" s="1854"/>
      <c r="B28" s="50" t="s">
        <v>1841</v>
      </c>
      <c r="C28" s="1167"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1841</v>
      </c>
      <c r="C29" s="1858" t="s">
        <v>1843</v>
      </c>
      <c r="D29" s="48">
        <f>ROUND($D$3*E29/$E$3,2)</f>
        <v>74.900000000000006</v>
      </c>
      <c r="E29" s="56">
        <f>SUM(F29:G29)</f>
        <v>250.65</v>
      </c>
      <c r="F29" s="62">
        <f>'数据-基础表'!BM5+'数据-基础表'!BO5</f>
        <v>0</v>
      </c>
      <c r="G29" s="63">
        <f>'数据-基础表'!BN5+'数据-基础表'!BP5</f>
        <v>250.65</v>
      </c>
      <c r="H29" s="2883"/>
      <c r="I29" s="2883"/>
      <c r="J29" s="2883"/>
      <c r="K29" s="2883"/>
      <c r="L29" s="2883"/>
      <c r="M29" s="2883"/>
      <c r="N29" s="2883"/>
      <c r="O29" s="2883"/>
      <c r="P29" s="2883"/>
    </row>
    <row r="30" spans="1:19" ht="15">
      <c r="A30" s="1854"/>
      <c r="B30" s="50"/>
      <c r="C30" s="1859" t="s">
        <v>1840</v>
      </c>
      <c r="D30" s="1300">
        <f>SUM(D28:D29)</f>
        <v>74.900000000000006</v>
      </c>
      <c r="E30" s="1300">
        <f>SUM(E28:E29)</f>
        <v>250.65</v>
      </c>
      <c r="F30" s="1300">
        <f>SUM(F28:F29)</f>
        <v>0</v>
      </c>
      <c r="G30" s="1302">
        <f>SUM(G28:G29)</f>
        <v>250.65</v>
      </c>
      <c r="H30" s="2883"/>
      <c r="I30" s="2883"/>
      <c r="J30" s="2883"/>
      <c r="K30" s="2883"/>
      <c r="L30" s="2883"/>
      <c r="M30" s="2883"/>
      <c r="N30" s="2883"/>
      <c r="O30" s="2883"/>
      <c r="P30" s="2883"/>
    </row>
    <row r="31" spans="1:19" ht="15.75" thickBot="1">
      <c r="A31" s="1860"/>
      <c r="B31" s="1861"/>
      <c r="C31" s="942" t="s">
        <v>1844</v>
      </c>
      <c r="D31" s="683">
        <f>D27+D30</f>
        <v>39947</v>
      </c>
      <c r="E31" s="683">
        <f>E27+E30</f>
        <v>133675.47</v>
      </c>
      <c r="F31" s="684">
        <f>F27+F30</f>
        <v>125054.78</v>
      </c>
      <c r="G31" s="685">
        <f>G27+G30</f>
        <v>8620.6899999999987</v>
      </c>
      <c r="H31" s="2883"/>
      <c r="I31" s="2883"/>
      <c r="J31" s="2883"/>
      <c r="K31" s="2883"/>
      <c r="L31" s="2883"/>
      <c r="M31" s="2883"/>
      <c r="N31" s="2883"/>
      <c r="O31" s="2883"/>
      <c r="P31" s="2883"/>
    </row>
    <row r="32" spans="1:19">
      <c r="A32" s="1826"/>
      <c r="B32" s="1826" t="s">
        <v>1845</v>
      </c>
      <c r="C32" s="1826"/>
      <c r="D32" s="1826"/>
      <c r="E32" s="1182">
        <f>SUMIF(C19:C26,"*住宅*",E19:E26)</f>
        <v>125054.78</v>
      </c>
      <c r="F32" s="1826"/>
      <c r="G32" s="1826"/>
      <c r="H32" s="2883"/>
      <c r="I32" s="2883"/>
      <c r="J32" s="2883"/>
      <c r="K32" s="2883"/>
      <c r="L32" s="2883"/>
      <c r="M32" s="2883"/>
      <c r="N32" s="2883"/>
      <c r="O32" s="2883"/>
      <c r="P32" s="2883"/>
    </row>
    <row r="33" spans="4:6">
      <c r="D33" s="1862"/>
    </row>
    <row r="36" spans="4:6">
      <c r="F36" s="1821">
        <f>(139815.2-F19)/9987</f>
        <v>1.4779633523580669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45" sqref="C45"/>
    </sheetView>
  </sheetViews>
  <sheetFormatPr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9" style="1865"/>
    <col min="68" max="16384" width="9" style="1866"/>
  </cols>
  <sheetData>
    <row r="1" spans="1:67" ht="19.5" thickBot="1">
      <c r="A1" s="1863" t="s">
        <v>1846</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7"/>
      <c r="AO1" s="2897"/>
      <c r="AP1" s="2897"/>
      <c r="AQ1" s="2897"/>
      <c r="AR1" s="2897"/>
    </row>
    <row r="2" spans="1:67" s="1742" customFormat="1" ht="15.75" thickBot="1">
      <c r="A2" s="1867" t="s">
        <v>1847</v>
      </c>
      <c r="B2" s="1174">
        <f>项目基本情况!D3</f>
        <v>44311</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1867</v>
      </c>
      <c r="O5" s="1886" t="s">
        <v>1868</v>
      </c>
      <c r="P5" s="1889" t="s">
        <v>1869</v>
      </c>
      <c r="Q5" s="65" t="s">
        <v>1870</v>
      </c>
      <c r="R5" s="1890" t="s">
        <v>1871</v>
      </c>
      <c r="S5" s="1891" t="s">
        <v>1872</v>
      </c>
      <c r="T5" s="1892" t="s">
        <v>1873</v>
      </c>
      <c r="U5" s="1175" t="s">
        <v>1874</v>
      </c>
      <c r="V5" s="1176" t="s">
        <v>1875</v>
      </c>
      <c r="W5" s="1176" t="s">
        <v>1876</v>
      </c>
      <c r="X5" s="67"/>
      <c r="Y5" s="66" t="s">
        <v>1877</v>
      </c>
      <c r="Z5" s="1893" t="s">
        <v>1874</v>
      </c>
      <c r="AA5" s="1176" t="s">
        <v>1875</v>
      </c>
      <c r="AB5" s="1176" t="s">
        <v>1876</v>
      </c>
      <c r="AC5" s="67"/>
      <c r="AD5" s="67" t="s">
        <v>1877</v>
      </c>
      <c r="AE5" s="1175" t="s">
        <v>1878</v>
      </c>
      <c r="AF5" s="1176" t="s">
        <v>1879</v>
      </c>
      <c r="AG5" s="66" t="s">
        <v>1880</v>
      </c>
      <c r="AH5" s="1175" t="s">
        <v>1881</v>
      </c>
      <c r="AI5" s="1893" t="s">
        <v>1882</v>
      </c>
      <c r="AJ5" s="1893" t="s">
        <v>1883</v>
      </c>
      <c r="AK5" s="1176" t="s">
        <v>1884</v>
      </c>
      <c r="AL5" s="1176" t="s">
        <v>1885</v>
      </c>
      <c r="AM5" s="66" t="s">
        <v>1886</v>
      </c>
      <c r="AN5" s="1894" t="s">
        <v>1887</v>
      </c>
      <c r="AO5" s="1745" t="s">
        <v>1888</v>
      </c>
      <c r="AP5" s="1157" t="s">
        <v>1889</v>
      </c>
      <c r="AQ5" s="1895" t="s">
        <v>1890</v>
      </c>
      <c r="AR5" s="1895" t="s">
        <v>1891</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住宅</v>
      </c>
      <c r="B6" s="1897" t="str">
        <f>IF(A6=0,"","经营性")</f>
        <v>经营性</v>
      </c>
      <c r="C6" s="1898" t="s">
        <v>3109</v>
      </c>
      <c r="D6" s="965">
        <f>SUMIF(项目基本情况!D$12:I$12,C6,项目基本情况!D$14:I$14)</f>
        <v>70</v>
      </c>
      <c r="E6" s="964">
        <f>IF(B6="","",SUMIF(项目基本情况!D$12:I$12,C6,项目基本情况!D$13:I$13))</f>
        <v>69637</v>
      </c>
      <c r="F6" s="68">
        <f>SUMIF(项目基本情况!D$12:I$12,C6,项目基本情况!D$15:I$15)</f>
        <v>69.38</v>
      </c>
      <c r="G6" s="69">
        <f>IF(ISERROR(ROUND(POWER(1+H6,D6-F6)*(POWER(1+H6,F6)-1)/(POWER(1+H6,D6)-1),3)),0,ROUND(POWER(1+H6,D6-F6)*(POWER(1+H6,F6)-1)/(POWER(1+H6,D6)-1),3))</f>
        <v>0.999</v>
      </c>
      <c r="H6" s="739">
        <v>0.05</v>
      </c>
      <c r="I6" s="739">
        <v>5.5E-2</v>
      </c>
      <c r="J6" s="70">
        <v>0.08</v>
      </c>
      <c r="K6" s="1159">
        <f>SUMIF('数据-汇总表'!C$19:C$33,A6,'数据-汇总表'!E$19:E$33)</f>
        <v>125054.78</v>
      </c>
      <c r="L6" s="740">
        <v>2600</v>
      </c>
      <c r="M6" s="71">
        <f t="shared" ref="M6:M14" si="0">ROUND(K6*L6/10000,0)</f>
        <v>32514</v>
      </c>
      <c r="N6" s="3108">
        <v>0.5</v>
      </c>
      <c r="O6" s="71">
        <f>IF($N$5="成新度","——",ROUND(M6*N6,0))</f>
        <v>16257</v>
      </c>
      <c r="P6" s="72">
        <f>IF($N$5="成新度","——",M6-O6)</f>
        <v>16257</v>
      </c>
      <c r="Q6" s="741">
        <v>0.15</v>
      </c>
      <c r="R6" s="73">
        <f ca="1">SUMIF('数据-汇总表'!C$19:C$33,A6,'数据-汇总表'!R$19:R$27)</f>
        <v>37445.730000000003</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0"/>
      <c r="AG6" s="141">
        <f>IF(AF6="",0,AE6-AF6)</f>
        <v>0</v>
      </c>
      <c r="AH6" s="79"/>
      <c r="AI6" s="81">
        <v>365</v>
      </c>
      <c r="AJ6" s="82"/>
      <c r="AK6" s="83"/>
      <c r="AL6" s="84"/>
      <c r="AM6" s="85"/>
      <c r="AN6" s="1899"/>
      <c r="AO6" s="55" t="e">
        <f ca="1">SUMIF(INDIRECT("'"&amp;AN6&amp;"'"&amp;"!A:A"),"总价",INDIRECT("'"&amp;AN6&amp;"'"&amp;"!B:B"))</f>
        <v>#REF!</v>
      </c>
      <c r="AP6" s="1900">
        <f>IF(C6="住宅",K6*L6,0)</f>
        <v>325142428</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t="str">
        <f>'数据-汇总表'!C20</f>
        <v>仓储</v>
      </c>
      <c r="B7" s="1897" t="str">
        <f t="shared" ref="B7:B13" si="1">IF(A7=0,"","经营性")</f>
        <v>经营性</v>
      </c>
      <c r="C7" s="1898" t="s">
        <v>3110</v>
      </c>
      <c r="D7" s="965">
        <f>SUMIF(项目基本情况!D$12:I$12,C7,项目基本情况!D$14:I$14)</f>
        <v>50</v>
      </c>
      <c r="E7" s="964">
        <f>IF(B7="","",SUMIF(项目基本情况!D$12:I$12,C7,项目基本情况!D$13:I$13))</f>
        <v>62332</v>
      </c>
      <c r="F7" s="68">
        <f>SUMIF(项目基本情况!D$12:I$12,C7,项目基本情况!D$15:I$15)</f>
        <v>49.37</v>
      </c>
      <c r="G7" s="69">
        <f t="shared" ref="G7:G11" si="2">IF(ISERROR(ROUND(POWER(1+H7,D7-F7)*(POWER(1+H7,F7)-1)/(POWER(1+H7,D7)-1),3)),0,ROUND(POWER(1+H7,D7-F7)*(POWER(1+H7,F7)-1)/(POWER(1+H7,D7)-1),3))</f>
        <v>0.996</v>
      </c>
      <c r="H7" s="739">
        <v>4.4999999999999998E-2</v>
      </c>
      <c r="I7" s="739">
        <v>0.05</v>
      </c>
      <c r="J7" s="70">
        <v>0.08</v>
      </c>
      <c r="K7" s="1159">
        <f>SUMIF('数据-汇总表'!C$19:C$33,A7,'数据-汇总表'!E$19:E$33)</f>
        <v>8370.0399999999991</v>
      </c>
      <c r="L7" s="740">
        <f>L6</f>
        <v>2600</v>
      </c>
      <c r="M7" s="71">
        <f t="shared" si="0"/>
        <v>2176</v>
      </c>
      <c r="N7" s="3108">
        <f>N6</f>
        <v>0.5</v>
      </c>
      <c r="O7" s="71">
        <f t="shared" ref="O7:O14" si="3">IF($N$5="成新度","——",ROUND(M7*N7,0))</f>
        <v>1088</v>
      </c>
      <c r="P7" s="72">
        <f t="shared" ref="P7:P14" si="4">IF($N$5="成新度","——",M7-O7)</f>
        <v>1088</v>
      </c>
      <c r="Q7" s="741">
        <v>0.05</v>
      </c>
      <c r="R7" s="73">
        <f ca="1">SUMIF('数据-汇总表'!C$19:C$33,A7,'数据-汇总表'!R$19:R$27)</f>
        <v>2501.27</v>
      </c>
      <c r="S7" s="54">
        <f>IF('数据-汇总表'!$I$17="按面积比例",SUMIF('数据-汇总表'!C$19:C$33,A7,'数据-汇总表'!K$19:K$33),SUMIF('数据-汇总表'!C$19:C$33,A7,'数据-汇总表'!N$19:N$33))</f>
        <v>0</v>
      </c>
      <c r="T7" s="1332">
        <f t="shared" ref="T7:T13" si="5">ROUND($L$14*S7/10000,0)</f>
        <v>0</v>
      </c>
      <c r="U7" s="74">
        <v>0.5</v>
      </c>
      <c r="V7" s="75">
        <v>0.01</v>
      </c>
      <c r="W7" s="3109">
        <v>0.1</v>
      </c>
      <c r="X7" s="1169"/>
      <c r="Y7" s="76">
        <v>1</v>
      </c>
      <c r="Z7" s="77"/>
      <c r="AA7" s="70"/>
      <c r="AB7" s="70"/>
      <c r="AC7" s="1169"/>
      <c r="AD7" s="78"/>
      <c r="AE7" s="1170">
        <f t="shared" ref="AE7:AE13" ca="1" si="6">IF(AN7="",0,SUMIF(INDIRECT("'"&amp;AN7&amp;"'"&amp;"!E:E"),$AE$5,INDIRECT("'"&amp;AN7&amp;"'"&amp;"!F:F")))</f>
        <v>48.37</v>
      </c>
      <c r="AF7" s="1530"/>
      <c r="AG7" s="141">
        <f t="shared" ref="AG7:AG13" si="7">IF(AF7="",0,AE7-AF7)</f>
        <v>0</v>
      </c>
      <c r="AH7" s="79"/>
      <c r="AI7" s="81">
        <v>365</v>
      </c>
      <c r="AJ7" s="82"/>
      <c r="AK7" s="3110">
        <v>5.0000000000000001E-3</v>
      </c>
      <c r="AL7" s="83">
        <v>1.5E-3</v>
      </c>
      <c r="AM7" s="83">
        <v>0.01</v>
      </c>
      <c r="AN7" s="1899" t="s">
        <v>3070</v>
      </c>
      <c r="AO7" s="55">
        <f t="shared" ref="AO7:AO13" ca="1" si="8">SUMIF(INDIRECT("'"&amp;AN7&amp;"'"&amp;"!A:A"),"总价",INDIRECT("'"&amp;AN7&amp;"'"&amp;"!B:B"))</f>
        <v>1927</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f t="shared" si="3"/>
        <v>0</v>
      </c>
      <c r="P8" s="72">
        <f t="shared" si="4"/>
        <v>0</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1892</v>
      </c>
      <c r="B14" s="1897" t="s">
        <v>1893</v>
      </c>
      <c r="C14" s="1902" t="s">
        <v>1892</v>
      </c>
      <c r="D14" s="965"/>
      <c r="E14" s="964"/>
      <c r="F14" s="68"/>
      <c r="G14" s="69"/>
      <c r="H14" s="1158"/>
      <c r="I14" s="1158"/>
      <c r="J14" s="1158"/>
      <c r="K14" s="1159">
        <f>SUMIF('数据-汇总表'!C$19:C$33,A14,'数据-汇总表'!E$19:E$33)</f>
        <v>0</v>
      </c>
      <c r="L14" s="87"/>
      <c r="M14" s="71">
        <f t="shared" si="0"/>
        <v>0</v>
      </c>
      <c r="N14" s="88"/>
      <c r="O14" s="71">
        <f t="shared" si="3"/>
        <v>0</v>
      </c>
      <c r="P14" s="72">
        <f t="shared" si="4"/>
        <v>0</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1894</v>
      </c>
      <c r="B15" s="1897" t="s">
        <v>1893</v>
      </c>
      <c r="C15" s="1902" t="s">
        <v>1895</v>
      </c>
      <c r="D15" s="965"/>
      <c r="E15" s="964"/>
      <c r="F15" s="68"/>
      <c r="G15" s="69"/>
      <c r="H15" s="1158"/>
      <c r="I15" s="1158"/>
      <c r="J15" s="1158"/>
      <c r="K15" s="1159">
        <f>SUMIF('数据-汇总表'!C$19:C$33,A15,'数据-汇总表'!E$19:E$33)</f>
        <v>250.65</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1896</v>
      </c>
      <c r="B16" s="93"/>
      <c r="C16" s="940"/>
      <c r="D16" s="1904"/>
      <c r="E16" s="93"/>
      <c r="F16" s="93"/>
      <c r="G16" s="94">
        <f>ROUND(SUMPRODUCT(G6:G13,K6:K13)/SUMPRODUCT((G6:G13&gt;0)*(K6:K13)),3)</f>
        <v>0.999</v>
      </c>
      <c r="H16" s="95">
        <f>ROUND(SUMPRODUCT(H6:H13,K6:K13)/SUMPRODUCT((H6:H13&gt;0)*(K6:K13)),3)</f>
        <v>0.05</v>
      </c>
      <c r="I16" s="96"/>
      <c r="J16" s="96"/>
      <c r="K16" s="97">
        <f>SUM(K6:K15)</f>
        <v>133675.47</v>
      </c>
      <c r="L16" s="98">
        <f>ROUND(M16*10000/SUM(K6:K14),0)</f>
        <v>2600</v>
      </c>
      <c r="M16" s="98">
        <f>SUM(M6:M14)</f>
        <v>34690</v>
      </c>
      <c r="N16" s="99">
        <f>ROUND(SUMPRODUCT(M6:M14,N6:N14)/M16,3)</f>
        <v>0.5</v>
      </c>
      <c r="O16" s="98">
        <f>SUM(O6:O14)</f>
        <v>17345</v>
      </c>
      <c r="P16" s="98">
        <f>SUM(P6:P14)</f>
        <v>17345</v>
      </c>
      <c r="Q16" s="100">
        <f>ROUND(SUMPRODUCT(Q6:Q13,K6:K13)/SUMPRODUCT((Q6:Q13&gt;0)*(K6:K13)),2)</f>
        <v>0.14000000000000001</v>
      </c>
      <c r="R16" s="1163">
        <f ca="1">SUM(R6:R13)</f>
        <v>39947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3059"/>
      <c r="O17" s="2897"/>
      <c r="P17" s="2897"/>
      <c r="Q17" s="2897"/>
      <c r="R17" s="2897"/>
      <c r="S17" s="2897"/>
      <c r="T17" s="2898"/>
      <c r="U17" s="3060"/>
      <c r="V17" s="3060"/>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1897</v>
      </c>
      <c r="B18" s="2911"/>
      <c r="C18" s="2899"/>
      <c r="D18" s="2902"/>
      <c r="E18" s="2899"/>
      <c r="F18" s="2899"/>
      <c r="G18" s="2899"/>
      <c r="H18" s="2899"/>
      <c r="I18" s="2899"/>
      <c r="J18" s="2899"/>
      <c r="K18" s="2898"/>
      <c r="L18" s="2898"/>
      <c r="M18" s="2898"/>
      <c r="N18" s="2898"/>
      <c r="O18" s="2898"/>
      <c r="P18" s="2898"/>
      <c r="Q18" s="2897"/>
      <c r="R18" s="2897"/>
      <c r="S18" s="2897"/>
      <c r="T18" s="3060"/>
      <c r="U18" s="2898"/>
      <c r="V18" s="2898"/>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1898</v>
      </c>
      <c r="B19" s="108">
        <v>0</v>
      </c>
      <c r="C19" s="3027" t="s">
        <v>3049</v>
      </c>
      <c r="D19" s="2902"/>
      <c r="E19" s="2899"/>
      <c r="F19" s="2899"/>
      <c r="G19" s="2899"/>
      <c r="H19" s="2899"/>
      <c r="I19" s="2899"/>
      <c r="J19" s="2899"/>
      <c r="K19" s="2898"/>
      <c r="L19" s="2898"/>
      <c r="M19" s="2898"/>
      <c r="N19" s="2898"/>
      <c r="O19" s="2898"/>
      <c r="P19" s="2898"/>
      <c r="Q19" s="2897"/>
      <c r="R19" s="2897"/>
      <c r="S19" s="2897"/>
      <c r="T19" s="3060"/>
      <c r="U19" s="2898"/>
      <c r="V19" s="2898"/>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1899</v>
      </c>
      <c r="B20" s="109">
        <v>2</v>
      </c>
      <c r="C20" s="3028" t="s">
        <v>3047</v>
      </c>
      <c r="D20" s="2902"/>
      <c r="E20" s="2899"/>
      <c r="F20" s="2899"/>
      <c r="G20" s="2899"/>
      <c r="H20" s="2899"/>
      <c r="I20" s="2899"/>
      <c r="J20" s="2899"/>
      <c r="K20" s="2898"/>
      <c r="L20" s="2898"/>
      <c r="M20" s="2898"/>
      <c r="N20" s="2898"/>
      <c r="O20" s="2898"/>
      <c r="P20" s="2898"/>
      <c r="Q20" s="2897"/>
      <c r="R20" s="2897"/>
      <c r="S20" s="2897"/>
      <c r="T20" s="3060"/>
      <c r="U20" s="2898"/>
      <c r="V20" s="2898"/>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8" t="s">
        <v>1900</v>
      </c>
      <c r="B21" s="109">
        <v>1</v>
      </c>
      <c r="C21" s="2899"/>
      <c r="D21" s="2902"/>
      <c r="E21" s="2899"/>
      <c r="F21" s="2899"/>
      <c r="G21" s="2899"/>
      <c r="H21" s="2899"/>
      <c r="I21" s="2899"/>
      <c r="J21" s="2899"/>
      <c r="K21" s="2898"/>
      <c r="L21" s="2898"/>
      <c r="M21" s="2898"/>
      <c r="N21" s="2898"/>
      <c r="O21" s="2898"/>
      <c r="P21" s="2898"/>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1901</v>
      </c>
      <c r="B22" s="110">
        <f>B19+B20</f>
        <v>2</v>
      </c>
      <c r="C22" s="2899"/>
      <c r="D22" s="2902"/>
      <c r="E22" s="2899"/>
      <c r="F22" s="2899"/>
      <c r="G22" s="2899"/>
      <c r="H22" s="2899"/>
      <c r="I22" s="2899"/>
      <c r="J22" s="2899"/>
      <c r="K22" s="2898"/>
      <c r="L22" s="2898"/>
      <c r="M22" s="2898"/>
      <c r="N22" s="2898"/>
      <c r="O22" s="2898"/>
      <c r="P22" s="2898"/>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1902</v>
      </c>
      <c r="B23" s="110">
        <f>B19+B21</f>
        <v>1</v>
      </c>
      <c r="C23" s="2899"/>
      <c r="D23" s="2902"/>
      <c r="E23" s="2899"/>
      <c r="F23" s="2899"/>
      <c r="G23" s="2899"/>
      <c r="H23" s="2899"/>
      <c r="I23" s="2899"/>
      <c r="J23" s="2899"/>
      <c r="K23" s="3062"/>
      <c r="L23" s="3063"/>
      <c r="M23" s="3062"/>
      <c r="N23" s="3061"/>
      <c r="O23" s="3061"/>
      <c r="P23" s="3061"/>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1903</v>
      </c>
      <c r="B24" s="111">
        <f>B20-B21</f>
        <v>1</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1904</v>
      </c>
      <c r="B26" s="1910" t="s">
        <v>1905</v>
      </c>
      <c r="C26" s="2903" t="s">
        <v>1906</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1907</v>
      </c>
      <c r="B27" s="3103">
        <v>160</v>
      </c>
      <c r="C27" s="3029" t="s">
        <v>3051</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1908</v>
      </c>
      <c r="B28" s="3104">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1909</v>
      </c>
      <c r="B29" s="116">
        <v>0</v>
      </c>
      <c r="C29" s="3030" t="s">
        <v>3038</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1910</v>
      </c>
      <c r="B30" s="678">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1911</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1912</v>
      </c>
      <c r="B32" s="679">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1913</v>
      </c>
      <c r="B33" s="680">
        <v>0.04</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1914</v>
      </c>
      <c r="B34" s="117">
        <v>0.05</v>
      </c>
      <c r="C34" s="3031" t="s">
        <v>3040</v>
      </c>
      <c r="D34" s="2910" t="s">
        <v>3048</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1915</v>
      </c>
      <c r="B35" s="114">
        <v>200</v>
      </c>
      <c r="C35" s="3031" t="s">
        <v>3041</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1916</v>
      </c>
      <c r="B36" s="118">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1917</v>
      </c>
      <c r="B37" s="119">
        <v>0.02</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1918</v>
      </c>
      <c r="B38" s="117">
        <v>0.02</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1919</v>
      </c>
      <c r="B39" s="321">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3071</v>
      </c>
      <c r="B40" s="1208">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1920</v>
      </c>
      <c r="B41" s="120">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1922</v>
      </c>
      <c r="B43" s="122">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1923</v>
      </c>
      <c r="B44" s="123">
        <v>0.05</v>
      </c>
      <c r="C44" s="3031" t="s">
        <v>3052</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1924</v>
      </c>
      <c r="B45" s="121">
        <v>0.03</v>
      </c>
      <c r="C45" s="3030" t="s">
        <v>3044</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1925</v>
      </c>
      <c r="B46" s="121">
        <v>0.02</v>
      </c>
      <c r="C46" s="3030" t="s">
        <v>3045</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1926</v>
      </c>
      <c r="B47" s="124"/>
      <c r="C47" s="3033" t="s">
        <v>3053</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1927</v>
      </c>
      <c r="B48" s="3111">
        <v>0.03</v>
      </c>
      <c r="C48" s="3030" t="s">
        <v>3044</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1928</v>
      </c>
      <c r="B49" s="121">
        <v>5.0000000000000001E-4</v>
      </c>
      <c r="C49" s="3030" t="s">
        <v>3046</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1929</v>
      </c>
      <c r="B50" s="125">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1930</v>
      </c>
      <c r="B51" s="126">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1931</v>
      </c>
      <c r="B52" s="127">
        <f>SUMIF(A54:A63,B53,B54:B63)</f>
        <v>8</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1932</v>
      </c>
      <c r="B53" s="1922" t="s">
        <v>212</v>
      </c>
      <c r="C53" s="2885" t="s">
        <v>1933</v>
      </c>
      <c r="D53" s="3032" t="s">
        <v>3050</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3" t="s">
        <v>1934</v>
      </c>
      <c r="B54" s="80">
        <v>8</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3" t="s">
        <v>1935</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3" t="s">
        <v>1936</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3" t="s">
        <v>1937</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3" t="s">
        <v>1938</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3" t="s">
        <v>1939</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3"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3"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3"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4" t="s">
        <v>1943</v>
      </c>
      <c r="B63" s="128"/>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9"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9"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9"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9"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9"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207" t="s">
        <v>3030</v>
      </c>
      <c r="B1" s="3208"/>
      <c r="C1" s="3208"/>
      <c r="D1" s="3208"/>
      <c r="E1" s="3208"/>
      <c r="F1" s="3208"/>
      <c r="G1" s="320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5"/>
      <c r="I2" s="905"/>
      <c r="J2" s="905"/>
      <c r="K2" s="905"/>
      <c r="L2" s="905"/>
      <c r="M2" s="905"/>
      <c r="N2" s="905"/>
      <c r="O2" s="905"/>
      <c r="P2" s="905"/>
      <c r="Q2" s="905"/>
      <c r="R2" s="905"/>
    </row>
    <row r="3" spans="1:29" ht="48">
      <c r="A3" s="2665" t="s">
        <v>3027</v>
      </c>
      <c r="B3" s="2687" t="s">
        <v>2996</v>
      </c>
      <c r="C3" s="2688" t="s">
        <v>3028</v>
      </c>
      <c r="D3" s="2689"/>
      <c r="E3" s="2666" t="s">
        <v>3027</v>
      </c>
      <c r="F3" s="2690" t="s">
        <v>2997</v>
      </c>
      <c r="G3" s="2691" t="s">
        <v>3029</v>
      </c>
      <c r="H3" s="905"/>
      <c r="I3" s="905"/>
      <c r="J3" s="905"/>
      <c r="K3" s="905"/>
      <c r="L3" s="905"/>
      <c r="M3" s="905"/>
      <c r="N3" s="905"/>
      <c r="O3" s="905"/>
      <c r="P3" s="905"/>
      <c r="Q3" s="905"/>
      <c r="R3" s="905"/>
    </row>
    <row r="4" spans="1:29" ht="36.75">
      <c r="A4" s="2666"/>
      <c r="B4" s="327" t="s">
        <v>2998</v>
      </c>
      <c r="C4" s="2692" t="s">
        <v>2999</v>
      </c>
      <c r="D4" s="2689"/>
      <c r="E4" s="2693"/>
      <c r="F4" s="1555" t="s">
        <v>3000</v>
      </c>
      <c r="G4" s="2694" t="s">
        <v>3001</v>
      </c>
      <c r="H4" s="905"/>
      <c r="I4" s="905"/>
      <c r="J4" s="905"/>
      <c r="K4" s="905"/>
      <c r="L4" s="905"/>
      <c r="M4" s="905"/>
      <c r="N4" s="905"/>
      <c r="O4" s="905"/>
      <c r="P4" s="905"/>
      <c r="Q4" s="905"/>
      <c r="R4" s="905"/>
    </row>
    <row r="5" spans="1:29" ht="36.75">
      <c r="A5" s="2666"/>
      <c r="B5" s="327" t="s">
        <v>3002</v>
      </c>
      <c r="C5" s="2692" t="s">
        <v>3003</v>
      </c>
      <c r="D5" s="2689"/>
      <c r="E5" s="2693"/>
      <c r="F5" s="327" t="s">
        <v>3004</v>
      </c>
      <c r="G5" s="2694" t="s">
        <v>3005</v>
      </c>
      <c r="H5" s="905"/>
      <c r="I5" s="905"/>
      <c r="J5" s="905"/>
      <c r="K5" s="905"/>
      <c r="L5" s="905"/>
      <c r="M5" s="905"/>
      <c r="N5" s="905"/>
      <c r="O5" s="905"/>
      <c r="P5" s="905"/>
      <c r="Q5" s="905"/>
      <c r="R5" s="905"/>
    </row>
    <row r="6" spans="1:29" ht="36">
      <c r="A6" s="2666"/>
      <c r="B6" s="327" t="s">
        <v>3006</v>
      </c>
      <c r="C6" s="2694" t="s">
        <v>3001</v>
      </c>
      <c r="D6" s="2689"/>
      <c r="E6" s="2693"/>
      <c r="F6" s="327" t="s">
        <v>3007</v>
      </c>
      <c r="G6" s="2694" t="s">
        <v>3008</v>
      </c>
      <c r="H6" s="905"/>
      <c r="I6" s="905"/>
      <c r="J6" s="905"/>
      <c r="K6" s="905"/>
      <c r="L6" s="905"/>
      <c r="M6" s="905"/>
      <c r="N6" s="905"/>
      <c r="O6" s="905"/>
      <c r="P6" s="905"/>
      <c r="Q6" s="905"/>
      <c r="R6" s="905"/>
    </row>
    <row r="7" spans="1:29" ht="24.75" thickBot="1">
      <c r="A7" s="2666"/>
      <c r="B7" s="327" t="s">
        <v>3004</v>
      </c>
      <c r="C7" s="2694" t="s">
        <v>3005</v>
      </c>
      <c r="D7" s="2695"/>
      <c r="E7" s="2696"/>
      <c r="F7" s="2697" t="s">
        <v>3009</v>
      </c>
      <c r="G7" s="2698" t="s">
        <v>3010</v>
      </c>
      <c r="H7" s="905"/>
      <c r="I7" s="905"/>
      <c r="J7" s="905"/>
      <c r="K7" s="905"/>
      <c r="L7" s="905"/>
      <c r="M7" s="905"/>
      <c r="N7" s="905"/>
      <c r="O7" s="905"/>
      <c r="P7" s="905"/>
      <c r="Q7" s="905"/>
      <c r="R7" s="905"/>
    </row>
    <row r="8" spans="1:29">
      <c r="A8" s="2666"/>
      <c r="B8" s="327" t="s">
        <v>3007</v>
      </c>
      <c r="C8" s="2694" t="s">
        <v>3008</v>
      </c>
      <c r="D8" s="2695"/>
      <c r="E8" s="2695"/>
      <c r="F8" s="2699"/>
      <c r="G8" s="2699"/>
      <c r="H8" s="905"/>
      <c r="I8" s="905"/>
      <c r="J8" s="905"/>
      <c r="K8" s="905"/>
      <c r="L8" s="905"/>
      <c r="M8" s="905"/>
      <c r="N8" s="905"/>
      <c r="O8" s="905"/>
      <c r="P8" s="905"/>
      <c r="Q8" s="905"/>
      <c r="R8" s="905"/>
    </row>
    <row r="9" spans="1:29" ht="24">
      <c r="A9" s="2666"/>
      <c r="B9" s="327" t="s">
        <v>3011</v>
      </c>
      <c r="C9" s="2692" t="s">
        <v>3012</v>
      </c>
      <c r="D9" s="2689"/>
      <c r="E9" s="2695"/>
      <c r="F9" s="2699"/>
      <c r="G9" s="2699"/>
      <c r="H9" s="905"/>
      <c r="I9" s="905"/>
      <c r="J9" s="905"/>
      <c r="K9" s="905"/>
      <c r="L9" s="905"/>
      <c r="M9" s="905"/>
      <c r="N9" s="905"/>
      <c r="O9" s="905"/>
      <c r="P9" s="905"/>
      <c r="Q9" s="905"/>
      <c r="R9" s="905"/>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7"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7" t="s">
        <v>3007</v>
      </c>
      <c r="G20" s="2727" t="str">
        <f>G6</f>
        <v>估价对象所在区域基础设施水平</v>
      </c>
    </row>
    <row r="21" spans="1:18" ht="25.5">
      <c r="A21" s="2670"/>
      <c r="B21" s="327" t="s">
        <v>3004</v>
      </c>
      <c r="C21" s="2727" t="str">
        <f>C7</f>
        <v>估价对象所在区域公共配套设施齐备情况</v>
      </c>
      <c r="D21" s="2689"/>
      <c r="E21" s="2671"/>
      <c r="F21" s="2726" t="s">
        <v>3022</v>
      </c>
      <c r="G21" s="2729"/>
    </row>
    <row r="22" spans="1:18" ht="13.5" customHeight="1">
      <c r="A22" s="2670"/>
      <c r="B22" s="327" t="s">
        <v>3007</v>
      </c>
      <c r="C22" s="2727" t="str">
        <f>C8</f>
        <v>估价对象所在区域基础设施水平</v>
      </c>
      <c r="D22" s="2689"/>
      <c r="E22" s="2671"/>
      <c r="F22" s="2726" t="s">
        <v>3013</v>
      </c>
      <c r="G22" s="2728"/>
    </row>
    <row r="23" spans="1:18" s="905"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5"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9" sqref="C19"/>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0</v>
      </c>
      <c r="C1" s="2912"/>
      <c r="D1" s="2912"/>
      <c r="E1" s="2912"/>
      <c r="F1" s="2912"/>
      <c r="G1" s="2913"/>
      <c r="H1" s="2914"/>
      <c r="I1" s="2914"/>
      <c r="J1" s="2914"/>
      <c r="K1" s="2914"/>
    </row>
    <row r="2" spans="1:11" ht="16.5">
      <c r="A2" s="2736" t="s">
        <v>1319</v>
      </c>
      <c r="B2" s="2736">
        <f>SUM(C14:C23)</f>
        <v>0</v>
      </c>
      <c r="C2" s="2912"/>
      <c r="D2" s="2912"/>
      <c r="E2" s="2912"/>
      <c r="F2" s="2912"/>
      <c r="G2" s="2913"/>
      <c r="H2" s="2914"/>
      <c r="I2" s="2914"/>
      <c r="J2" s="2914"/>
      <c r="K2" s="2914"/>
    </row>
    <row r="3" spans="1:11" ht="16.5">
      <c r="A3" s="2736" t="s">
        <v>1328</v>
      </c>
      <c r="B3" s="2738">
        <f>项目基本情况!D3</f>
        <v>44311</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70449</v>
      </c>
      <c r="C5" s="2736" t="e">
        <f ca="1">ROUND(B5*10000/$B$1,0)</f>
        <v>#DIV/0!</v>
      </c>
      <c r="D5" s="2736" t="e">
        <f ca="1">ROUND(B5*10000/$B$2,0)</f>
        <v>#DIV/0!</v>
      </c>
      <c r="E5" s="2912"/>
      <c r="F5" s="2913"/>
      <c r="G5" s="2913"/>
      <c r="H5" s="2914"/>
      <c r="I5" s="2914"/>
      <c r="J5" s="2914"/>
      <c r="K5" s="2914"/>
    </row>
    <row r="6" spans="1:11" ht="16.5">
      <c r="A6" s="2736" t="s">
        <v>1322</v>
      </c>
      <c r="B6" s="2736">
        <f ca="1">SUM(G14:G23)</f>
        <v>70449</v>
      </c>
      <c r="C6" s="2736" t="e">
        <f ca="1">ROUND(B6*10000/$B$1,0)</f>
        <v>#DIV/0!</v>
      </c>
      <c r="D6" s="2736" t="e">
        <f ca="1">ROUND(B6*10000/$B$2,0)</f>
        <v>#DIV/0!</v>
      </c>
      <c r="E6" s="2912"/>
      <c r="F6" s="2913"/>
      <c r="G6" s="2913"/>
      <c r="H6" s="2914"/>
      <c r="I6" s="2914"/>
      <c r="J6" s="2914"/>
      <c r="K6" s="2914"/>
    </row>
    <row r="7" spans="1:11" ht="16.5">
      <c r="A7" s="2736" t="s">
        <v>1330</v>
      </c>
      <c r="B7" s="2736">
        <f>SUM(H14:H23)</f>
        <v>0</v>
      </c>
      <c r="C7" s="2736" t="e">
        <f>ROUND(B7*10000/$B$1,0)</f>
        <v>#DIV/0!</v>
      </c>
      <c r="D7" s="2736" t="e">
        <f>ROUND(B7*10000/$B$2,0)</f>
        <v>#DIV/0!</v>
      </c>
      <c r="E7" s="2912"/>
      <c r="F7" s="2913"/>
      <c r="G7" s="2913"/>
      <c r="H7" s="2914"/>
      <c r="I7" s="2914"/>
      <c r="J7" s="2914"/>
      <c r="K7" s="2914"/>
    </row>
    <row r="8" spans="1:11" ht="16.5">
      <c r="A8" s="2736" t="s">
        <v>1252</v>
      </c>
      <c r="B8" s="2736">
        <f>SUM(I14:I23)</f>
        <v>0</v>
      </c>
      <c r="C8" s="2736" t="e">
        <f>ROUND(B8*10000/$B$1,0)</f>
        <v>#DIV/0!</v>
      </c>
      <c r="D8" s="2736" t="e">
        <f>ROUND(B8*10000/$B$2,0)</f>
        <v>#DIV/0!</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0</v>
      </c>
      <c r="C14" s="2742">
        <f>结果表!C118</f>
        <v>0</v>
      </c>
      <c r="D14" s="2742">
        <f ca="1">结果表!G19</f>
        <v>70449</v>
      </c>
      <c r="E14" s="2742" t="e">
        <f ca="1">ROUND(D14*10000/B14,0)</f>
        <v>#DIV/0!</v>
      </c>
      <c r="F14" s="2742" t="e">
        <f ca="1">ROUND(D14*10000/C14,0)</f>
        <v>#DIV/0!</v>
      </c>
      <c r="G14" s="2742">
        <f ca="1">结果表!G19</f>
        <v>70449</v>
      </c>
      <c r="H14" s="2742" t="str">
        <f>结果表!D124</f>
        <v>——</v>
      </c>
      <c r="I14" s="2742" t="str">
        <f>结果表!D126</f>
        <v>——</v>
      </c>
      <c r="J14" s="2913"/>
      <c r="K14" s="2914"/>
    </row>
    <row r="15" spans="1:11" ht="16.5">
      <c r="A15" s="2741" t="s">
        <v>1315</v>
      </c>
      <c r="B15" s="2743"/>
      <c r="C15" s="2743"/>
      <c r="D15" s="2743"/>
      <c r="E15" s="2742" t="e">
        <f t="shared" ref="E15:E23" si="0">ROUND(D15*10000/B15,0)</f>
        <v>#DIV/0!</v>
      </c>
      <c r="F15" s="2742" t="e">
        <f t="shared" ref="F15:F23" si="1">ROUND(D15*10000/C15,0)</f>
        <v>#DIV/0!</v>
      </c>
      <c r="G15" s="1498"/>
      <c r="H15" s="1498"/>
      <c r="I15" s="2743"/>
      <c r="J15" s="2913"/>
      <c r="K15" s="2914"/>
    </row>
    <row r="16" spans="1:11" ht="16.5">
      <c r="A16" s="2741" t="s">
        <v>1314</v>
      </c>
      <c r="B16" s="2743"/>
      <c r="C16" s="2743"/>
      <c r="D16" s="2743"/>
      <c r="E16" s="2742" t="e">
        <f t="shared" si="0"/>
        <v>#DIV/0!</v>
      </c>
      <c r="F16" s="2742" t="e">
        <f t="shared" si="1"/>
        <v>#DIV/0!</v>
      </c>
      <c r="G16" s="1498"/>
      <c r="H16" s="1498"/>
      <c r="I16" s="2743"/>
      <c r="J16" s="2914"/>
      <c r="K16" s="2914"/>
    </row>
    <row r="17" spans="1:11" ht="16.5">
      <c r="A17" s="2741" t="s">
        <v>1313</v>
      </c>
      <c r="B17" s="2743"/>
      <c r="C17" s="2743"/>
      <c r="D17" s="2743"/>
      <c r="E17" s="2742" t="e">
        <f t="shared" si="0"/>
        <v>#DIV/0!</v>
      </c>
      <c r="F17" s="2742" t="e">
        <f t="shared" si="1"/>
        <v>#DIV/0!</v>
      </c>
      <c r="G17" s="1498"/>
      <c r="H17" s="1498"/>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2" zoomScaleNormal="100" zoomScaleSheetLayoutView="100" zoomScalePageLayoutView="80" workbookViewId="0">
      <selection activeCell="C94" sqref="C94"/>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1949</v>
      </c>
      <c r="B1" s="1931"/>
      <c r="C1" s="1932" t="s">
        <v>3069</v>
      </c>
      <c r="D1" s="1931"/>
      <c r="E1" s="1931"/>
      <c r="F1" s="1933" t="s">
        <v>1950</v>
      </c>
      <c r="G1" s="1744" t="s">
        <v>3065</v>
      </c>
      <c r="H1" s="1934" t="str">
        <f>IF(G1="现房","——","估价对象范围")</f>
        <v>估价对象范围</v>
      </c>
      <c r="I1" s="1935"/>
    </row>
    <row r="2" spans="1:12" ht="21.75" customHeight="1" thickBot="1">
      <c r="A2" s="3243" t="str">
        <f>项目基本情况!S2</f>
        <v>出让国有建设用地使用权及在建建筑物房地产</v>
      </c>
      <c r="B2" s="3244"/>
      <c r="C2" s="3244"/>
      <c r="D2" s="3244"/>
      <c r="E2" s="3244"/>
      <c r="F2" s="3244"/>
      <c r="G2" s="3244"/>
      <c r="H2" s="3244"/>
      <c r="I2" s="3245"/>
    </row>
    <row r="3" spans="1:12" ht="12.75">
      <c r="A3" s="3247" t="s">
        <v>1951</v>
      </c>
      <c r="B3" s="3248"/>
      <c r="C3" s="3248"/>
      <c r="D3" s="3248"/>
      <c r="E3" s="3248"/>
      <c r="F3" s="3248"/>
      <c r="G3" s="3248"/>
      <c r="H3" s="3248"/>
      <c r="I3" s="3248"/>
    </row>
    <row r="4" spans="1:12" ht="14.25">
      <c r="A4" s="1938" t="s">
        <v>1952</v>
      </c>
      <c r="B4" s="1939" t="s">
        <v>1953</v>
      </c>
      <c r="C4" s="1940" t="s">
        <v>3102</v>
      </c>
      <c r="D4" s="1940" t="s">
        <v>3103</v>
      </c>
      <c r="E4" s="3249" t="s">
        <v>1954</v>
      </c>
      <c r="F4" s="3250"/>
      <c r="G4" s="3250"/>
      <c r="H4" s="3250"/>
      <c r="I4" s="3251"/>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假设开发法</v>
      </c>
    </row>
    <row r="5" spans="1:12" ht="12.75">
      <c r="A5" s="3223" t="s">
        <v>1955</v>
      </c>
      <c r="B5" s="3210">
        <v>25</v>
      </c>
      <c r="C5" s="3226"/>
      <c r="D5" s="3246"/>
      <c r="E5" s="134" t="s">
        <v>1956</v>
      </c>
      <c r="F5" s="1941"/>
      <c r="G5" s="1941"/>
      <c r="H5" s="1941"/>
      <c r="I5" s="1555"/>
    </row>
    <row r="6" spans="1:12" ht="12.75">
      <c r="A6" s="3223"/>
      <c r="B6" s="3210"/>
      <c r="C6" s="3227"/>
      <c r="D6" s="3246"/>
      <c r="E6" s="134" t="s">
        <v>1957</v>
      </c>
      <c r="F6" s="1941"/>
      <c r="G6" s="1941"/>
      <c r="H6" s="1941"/>
      <c r="I6" s="1555"/>
    </row>
    <row r="7" spans="1:12" ht="12.75">
      <c r="A7" s="3223"/>
      <c r="B7" s="3210"/>
      <c r="C7" s="3228"/>
      <c r="D7" s="3246"/>
      <c r="E7" s="134" t="s">
        <v>1958</v>
      </c>
      <c r="F7" s="1941"/>
      <c r="G7" s="1941"/>
      <c r="H7" s="1941"/>
      <c r="I7" s="1555"/>
    </row>
    <row r="8" spans="1:12" ht="12.75">
      <c r="A8" s="3223" t="s">
        <v>1959</v>
      </c>
      <c r="B8" s="3210">
        <v>15</v>
      </c>
      <c r="C8" s="3226"/>
      <c r="D8" s="3246"/>
      <c r="E8" s="134" t="s">
        <v>1960</v>
      </c>
      <c r="F8" s="1941"/>
      <c r="G8" s="1941"/>
      <c r="H8" s="1941"/>
      <c r="I8" s="1555"/>
    </row>
    <row r="9" spans="1:12" ht="12.75">
      <c r="A9" s="3223"/>
      <c r="B9" s="3210"/>
      <c r="C9" s="3228"/>
      <c r="D9" s="3246"/>
      <c r="E9" s="134" t="s">
        <v>1961</v>
      </c>
      <c r="F9" s="1941"/>
      <c r="G9" s="1941"/>
      <c r="H9" s="1941"/>
      <c r="I9" s="1555"/>
    </row>
    <row r="10" spans="1:12" ht="12.75">
      <c r="A10" s="3223" t="s">
        <v>1962</v>
      </c>
      <c r="B10" s="3210">
        <v>15</v>
      </c>
      <c r="C10" s="3226"/>
      <c r="D10" s="3246"/>
      <c r="E10" s="134" t="s">
        <v>1963</v>
      </c>
      <c r="F10" s="1941"/>
      <c r="G10" s="1941"/>
      <c r="H10" s="1941"/>
      <c r="I10" s="1555"/>
    </row>
    <row r="11" spans="1:12" ht="12.75">
      <c r="A11" s="3223"/>
      <c r="B11" s="3210"/>
      <c r="C11" s="3228"/>
      <c r="D11" s="3246"/>
      <c r="E11" s="134" t="s">
        <v>1964</v>
      </c>
      <c r="F11" s="1941"/>
      <c r="G11" s="1941"/>
      <c r="H11" s="1941"/>
      <c r="I11" s="1555"/>
    </row>
    <row r="12" spans="1:12" ht="12.75">
      <c r="A12" s="3223" t="s">
        <v>1965</v>
      </c>
      <c r="B12" s="3210">
        <v>15</v>
      </c>
      <c r="C12" s="3226"/>
      <c r="D12" s="3246"/>
      <c r="E12" s="134" t="s">
        <v>1966</v>
      </c>
      <c r="F12" s="1941"/>
      <c r="G12" s="1941"/>
      <c r="H12" s="1941"/>
      <c r="I12" s="1555"/>
    </row>
    <row r="13" spans="1:12" ht="12.75">
      <c r="A13" s="3223"/>
      <c r="B13" s="3210"/>
      <c r="C13" s="3228"/>
      <c r="D13" s="3246"/>
      <c r="E13" s="134" t="s">
        <v>1967</v>
      </c>
      <c r="F13" s="1941"/>
      <c r="G13" s="1941"/>
      <c r="H13" s="1941"/>
      <c r="I13" s="1555"/>
    </row>
    <row r="14" spans="1:12" ht="12.75">
      <c r="A14" s="3223" t="s">
        <v>1968</v>
      </c>
      <c r="B14" s="3210">
        <v>30</v>
      </c>
      <c r="C14" s="3226">
        <v>5</v>
      </c>
      <c r="D14" s="3246">
        <v>5</v>
      </c>
      <c r="E14" s="134" t="s">
        <v>1969</v>
      </c>
      <c r="F14" s="1941"/>
      <c r="G14" s="1941"/>
      <c r="H14" s="1941"/>
      <c r="I14" s="1555"/>
    </row>
    <row r="15" spans="1:12" ht="12.75">
      <c r="A15" s="3223"/>
      <c r="B15" s="3210"/>
      <c r="C15" s="3227"/>
      <c r="D15" s="3246"/>
      <c r="E15" s="134" t="s">
        <v>1970</v>
      </c>
      <c r="F15" s="1941"/>
      <c r="G15" s="1941"/>
      <c r="H15" s="1941"/>
      <c r="I15" s="1555"/>
    </row>
    <row r="16" spans="1:12" ht="12.75">
      <c r="A16" s="3223"/>
      <c r="B16" s="3210"/>
      <c r="C16" s="3228"/>
      <c r="D16" s="3246"/>
      <c r="E16" s="134" t="s">
        <v>1971</v>
      </c>
      <c r="F16" s="1941"/>
      <c r="G16" s="1941"/>
      <c r="H16" s="1941"/>
      <c r="I16" s="1555"/>
    </row>
    <row r="17" spans="1:36" ht="15">
      <c r="A17" s="1942" t="s">
        <v>1972</v>
      </c>
      <c r="B17" s="60"/>
      <c r="C17" s="135">
        <f>SUM(C5:C16)</f>
        <v>5</v>
      </c>
      <c r="D17" s="135">
        <f>SUM(D5:D16)</f>
        <v>5</v>
      </c>
      <c r="E17" s="132"/>
      <c r="F17" s="132"/>
      <c r="G17" s="132"/>
      <c r="H17" s="132"/>
      <c r="I17" s="132"/>
      <c r="K17" s="306"/>
      <c r="L17" s="306" t="s">
        <v>1973</v>
      </c>
      <c r="M17" s="306" t="s">
        <v>1974</v>
      </c>
    </row>
    <row r="18" spans="1:36" ht="31.9" customHeight="1" thickBot="1">
      <c r="A18" s="1943" t="s">
        <v>1975</v>
      </c>
      <c r="B18" s="1944"/>
      <c r="C18" s="136">
        <f>ROUND(C17/SUM(C17:D17),2)</f>
        <v>0.5</v>
      </c>
      <c r="D18" s="136">
        <f>1-C18</f>
        <v>0.5</v>
      </c>
      <c r="E18" s="3233" t="s">
        <v>2871</v>
      </c>
      <c r="F18" s="3234"/>
      <c r="G18" s="3234"/>
      <c r="H18" s="3234"/>
      <c r="I18" s="3234"/>
      <c r="K18" s="306" t="s">
        <v>1976</v>
      </c>
      <c r="L18" s="306">
        <f>IF(C1="",'数据-汇总表'!E3,SUMIF(项目类型,C1,'数据-汇总表'!E17:E26)+SUMIF(项目类型,C1,'数据-汇总表'!I17:I26))</f>
        <v>0</v>
      </c>
      <c r="M18" s="306">
        <f>IF(C1="",'数据-汇总表'!E3,SUMIF(项目类型,C1,'数据-汇总表'!E17:E26))</f>
        <v>0</v>
      </c>
    </row>
    <row r="19" spans="1:36" ht="15">
      <c r="A19" s="1945" t="s">
        <v>1977</v>
      </c>
      <c r="B19" s="1946" t="s">
        <v>1978</v>
      </c>
      <c r="C19" s="137">
        <f ca="1">SUMIF(INDIRECT("'"&amp;C4&amp;"'"&amp;"!A:A"),结果表!B19,INDIRECT("'"&amp;C4&amp;"'"&amp;"!B:B"))</f>
        <v>79529</v>
      </c>
      <c r="D19" s="138">
        <f ca="1">SUMIF(INDIRECT("'"&amp;D4&amp;"'"&amp;"!A:A"),结果表!B19,INDIRECT("'"&amp;D4&amp;"'"&amp;"!B:B"))</f>
        <v>61369</v>
      </c>
      <c r="E19" s="1945" t="s">
        <v>1979</v>
      </c>
      <c r="F19" s="1946" t="s">
        <v>1978</v>
      </c>
      <c r="G19" s="139">
        <f ca="1">ROUND(C19*$C$18+D19*$D$18,0)</f>
        <v>70449</v>
      </c>
      <c r="H19" s="1947" t="s">
        <v>1980</v>
      </c>
      <c r="I19" s="132"/>
      <c r="K19" s="306" t="s">
        <v>1981</v>
      </c>
      <c r="L19" s="306">
        <f>IF(C1="",'数据-汇总表'!D3,SUMIF(项目类型,C1,'数据-汇总表'!D17:D26)+SUMIF(项目类型,C1,'数据-汇总表'!H17:H27))</f>
        <v>0</v>
      </c>
      <c r="M19" s="306">
        <f>IF(C1="",'数据-汇总表'!D3,SUMIF(项目类型,C1,'数据-汇总表'!D17:D26))</f>
        <v>0</v>
      </c>
    </row>
    <row r="20" spans="1:36" ht="15">
      <c r="A20" s="1948"/>
      <c r="B20" s="1155" t="s">
        <v>1982</v>
      </c>
      <c r="C20" s="140">
        <f ca="1">SUMIF(INDIRECT("'"&amp;C4&amp;"'"&amp;"!A:A"),结果表!B20,INDIRECT("'"&amp;C4&amp;"'"&amp;"!B:B"))</f>
        <v>5949</v>
      </c>
      <c r="D20" s="141">
        <f ca="1">SUMIF(INDIRECT("'"&amp;D4&amp;"'"&amp;"!A:A"),结果表!B20,INDIRECT("'"&amp;D4&amp;"'"&amp;"!B:B"))</f>
        <v>4591</v>
      </c>
      <c r="E20" s="1948"/>
      <c r="F20" s="1155" t="s">
        <v>1982</v>
      </c>
      <c r="G20" s="142">
        <f ca="1">ROUND(C20*$C$18+D20*$D$18,0)</f>
        <v>5270</v>
      </c>
      <c r="H20" s="915" t="s">
        <v>1983</v>
      </c>
      <c r="I20" s="132"/>
    </row>
    <row r="21" spans="1:36" ht="15" customHeight="1" thickBot="1">
      <c r="A21" s="935"/>
      <c r="B21" s="1949" t="s">
        <v>1984</v>
      </c>
      <c r="C21" s="726" t="e">
        <f ca="1">ROUND(C19*10000/L19,0)</f>
        <v>#DIV/0!</v>
      </c>
      <c r="D21" s="727" t="e">
        <f ca="1">ROUND(D19*10000/L19,0)</f>
        <v>#DIV/0!</v>
      </c>
      <c r="E21" s="935"/>
      <c r="F21" s="1949" t="s">
        <v>1984</v>
      </c>
      <c r="G21" s="143" t="e">
        <f ca="1">ROUND(G19*10000/L19,0)</f>
        <v>#DIV/0!</v>
      </c>
      <c r="H21" s="1950" t="s">
        <v>1983</v>
      </c>
      <c r="I21" s="132"/>
    </row>
    <row r="22" spans="1:36" ht="15" thickBot="1">
      <c r="A22" s="1872" t="s">
        <v>1985</v>
      </c>
      <c r="B22" s="1951"/>
      <c r="C22" s="1952"/>
      <c r="D22" s="728">
        <f ca="1">IF(C19&lt;D19,D19/C19-1,C19/D19-1)</f>
        <v>0.29591487558865226</v>
      </c>
      <c r="E22" s="132"/>
      <c r="F22" s="132"/>
      <c r="G22" s="132"/>
      <c r="H22" s="132"/>
      <c r="I22" s="132"/>
    </row>
    <row r="23" spans="1:36" ht="13.5" thickBot="1">
      <c r="A23" s="1931"/>
      <c r="B23" s="1931"/>
      <c r="C23" s="1931"/>
      <c r="D23" s="1931"/>
      <c r="E23" s="132"/>
      <c r="F23" s="132"/>
      <c r="G23" s="132"/>
      <c r="H23" s="132"/>
      <c r="I23" s="132"/>
    </row>
    <row r="24" spans="1:36" ht="14.25">
      <c r="A24" s="3217" t="s">
        <v>1986</v>
      </c>
      <c r="B24" s="1946" t="s">
        <v>1978</v>
      </c>
      <c r="C24" s="139">
        <f>IF(B30=0,0,D30)</f>
        <v>0</v>
      </c>
      <c r="D24" s="1953"/>
      <c r="E24" s="132"/>
      <c r="F24" s="132"/>
      <c r="G24" s="132"/>
      <c r="H24" s="132"/>
      <c r="I24" s="132"/>
    </row>
    <row r="25" spans="1:36" ht="14.25">
      <c r="A25" s="3218"/>
      <c r="B25" s="1155" t="s">
        <v>1982</v>
      </c>
      <c r="C25" s="144">
        <f>IF(B30=0,0,C30)</f>
        <v>0</v>
      </c>
      <c r="D25" s="1954"/>
      <c r="E25" s="132"/>
      <c r="F25" s="132"/>
      <c r="G25" s="132"/>
      <c r="H25" s="132"/>
      <c r="I25" s="132"/>
    </row>
    <row r="26" spans="1:36" ht="13.5" customHeight="1">
      <c r="A26" s="1955" t="s">
        <v>1987</v>
      </c>
      <c r="B26" s="145" t="s">
        <v>1988</v>
      </c>
      <c r="C26" s="145" t="s">
        <v>1989</v>
      </c>
      <c r="D26" s="146" t="s">
        <v>1990</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1991</v>
      </c>
      <c r="B30" s="145"/>
      <c r="C30" s="145"/>
      <c r="D30" s="145"/>
      <c r="E30" s="2519" t="s">
        <v>2872</v>
      </c>
      <c r="F30" s="132"/>
      <c r="G30" s="132"/>
      <c r="H30" s="132"/>
      <c r="I30" s="132"/>
    </row>
    <row r="31" spans="1:36" s="2525" customFormat="1" ht="26.45" customHeight="1" thickTop="1" thickBot="1">
      <c r="A31" s="2520"/>
      <c r="B31" s="2521"/>
      <c r="C31" s="2521"/>
      <c r="D31" s="2521"/>
      <c r="E31" s="2521"/>
      <c r="F31" s="2521"/>
      <c r="G31" s="2521"/>
      <c r="H31" s="2521"/>
      <c r="I31" s="2522" t="s">
        <v>2873</v>
      </c>
      <c r="J31" s="2915"/>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7">
        <f ca="1">IF(D32="总价",G19-C24,G20-C25)</f>
        <v>70449</v>
      </c>
      <c r="D32" s="1959" t="s">
        <v>3917</v>
      </c>
      <c r="E32" s="132"/>
      <c r="F32" s="132"/>
      <c r="G32" s="132"/>
      <c r="H32" s="132"/>
      <c r="I32" s="132"/>
    </row>
    <row r="33" spans="1:15" ht="15">
      <c r="A33" s="892" t="s">
        <v>1993</v>
      </c>
      <c r="B33" s="1960"/>
      <c r="C33" s="1961" t="s">
        <v>3918</v>
      </c>
      <c r="D33" s="1962" t="s">
        <v>3102</v>
      </c>
      <c r="E33" s="1963" t="s">
        <v>1994</v>
      </c>
      <c r="F33" s="1964" t="str">
        <f>IF(D32="楼面单价","取值（单价）","取值（总价）")</f>
        <v>取值（总价）</v>
      </c>
      <c r="G33" s="132"/>
      <c r="H33" s="132"/>
      <c r="I33" s="132"/>
    </row>
    <row r="34" spans="1:15" ht="15">
      <c r="A34" s="1965"/>
      <c r="B34" s="1966" t="s">
        <v>1995</v>
      </c>
      <c r="C34" s="151">
        <f ca="1">IF(C33="自定义",F34,C32-C35)</f>
        <v>47201</v>
      </c>
      <c r="D34" s="968">
        <f ca="1">IF(C33="自定义",ROUND(C34/C32,3),IF(C33="收益比率",SUMIF(INDIRECT("'"&amp;D33&amp;"'"&amp;"!b:b"),"土地收益比率",INDIRECT("'"&amp;D33&amp;"'"&amp;"!c:c")),SUMIF(INDIRECT("'"&amp;D33&amp;"'"&amp;"!b:b"),"土地成本比率",INDIRECT("'"&amp;D33&amp;"'"&amp;"!c:c"))))</f>
        <v>0.66999999999999993</v>
      </c>
      <c r="E34" s="1967" t="s">
        <v>1996</v>
      </c>
      <c r="F34" s="1496"/>
      <c r="G34" s="132"/>
      <c r="H34" s="132"/>
      <c r="I34" s="132"/>
    </row>
    <row r="35" spans="1:15" ht="15.75" thickBot="1">
      <c r="A35" s="1968"/>
      <c r="B35" s="1969" t="s">
        <v>1997</v>
      </c>
      <c r="C35" s="1330">
        <f ca="1">IF(C33="自定义",F35,ROUND(C32*D35,0))</f>
        <v>23248</v>
      </c>
      <c r="D35" s="1331">
        <f ca="1">IF(C33="自定义",ROUND(C35/C32,3),IF(C33="收益比率",SUMIF(INDIRECT("'"&amp;D33&amp;"'"&amp;"!b:b"),"建筑物收益比率",INDIRECT("'"&amp;D33&amp;"'"&amp;"!c:c")),SUMIF(INDIRECT("'"&amp;D33&amp;"'"&amp;"!b:b"),"建筑物成本比率",INDIRECT("'"&amp;D33&amp;"'"&amp;"!c:c"))))</f>
        <v>0.33</v>
      </c>
      <c r="E35" s="1970" t="s">
        <v>1998</v>
      </c>
      <c r="F35" s="157"/>
      <c r="G35" s="132"/>
      <c r="H35" s="132"/>
      <c r="I35" s="132"/>
    </row>
    <row r="36" spans="1:15" ht="15.75" thickBot="1">
      <c r="A36" s="3237" t="s">
        <v>1999</v>
      </c>
      <c r="B36" s="1971" t="s">
        <v>2000</v>
      </c>
      <c r="C36" s="148"/>
      <c r="D36" s="1972"/>
      <c r="E36" s="1973"/>
      <c r="F36" s="1974"/>
      <c r="G36" s="132"/>
      <c r="H36" s="132"/>
      <c r="I36" s="132"/>
    </row>
    <row r="37" spans="1:15" ht="15.75" thickBot="1">
      <c r="A37" s="3238"/>
      <c r="B37" s="1858" t="s">
        <v>2001</v>
      </c>
      <c r="C37" s="150"/>
      <c r="D37" s="1299"/>
      <c r="E37" s="1299"/>
      <c r="F37" s="1974"/>
      <c r="G37" s="132"/>
      <c r="H37" s="132"/>
      <c r="I37" s="132"/>
    </row>
    <row r="38" spans="1:15" ht="15.75" thickBot="1">
      <c r="A38" s="3239"/>
      <c r="B38" s="1975" t="s">
        <v>2002</v>
      </c>
      <c r="C38" s="681"/>
      <c r="D38" s="1976" t="s">
        <v>2003</v>
      </c>
      <c r="E38" s="1299"/>
      <c r="F38" s="1974"/>
      <c r="G38" s="132"/>
      <c r="H38" s="132"/>
      <c r="I38" s="132"/>
    </row>
    <row r="39" spans="1:15" ht="15">
      <c r="A39" s="1948" t="s">
        <v>2004</v>
      </c>
      <c r="B39" s="1977" t="s">
        <v>2005</v>
      </c>
      <c r="C39" s="1978" t="s">
        <v>2006</v>
      </c>
      <c r="D39" s="1978" t="s">
        <v>2007</v>
      </c>
      <c r="E39" s="1979" t="s">
        <v>2008</v>
      </c>
      <c r="F39" s="1974"/>
      <c r="G39" s="132"/>
      <c r="H39" s="132"/>
      <c r="I39" s="132"/>
    </row>
    <row r="40" spans="1:15" ht="14.25">
      <c r="A40" s="1980" t="s">
        <v>2009</v>
      </c>
      <c r="B40" s="152"/>
      <c r="C40" s="153"/>
      <c r="D40" s="153"/>
      <c r="E40" s="154"/>
      <c r="F40" s="1974"/>
      <c r="G40" s="132"/>
      <c r="H40" s="132"/>
      <c r="I40" s="132"/>
    </row>
    <row r="41" spans="1:15" ht="14.25">
      <c r="A41" s="1980" t="s">
        <v>2010</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214" t="s">
        <v>2013</v>
      </c>
      <c r="B45" s="3215"/>
      <c r="C45" s="3216"/>
      <c r="D45" s="158">
        <f ca="1">ROUND(H101*F45,0)</f>
        <v>70449</v>
      </c>
      <c r="E45" s="159" t="s">
        <v>2014</v>
      </c>
      <c r="F45" s="160">
        <v>1</v>
      </c>
      <c r="G45" s="161" t="s">
        <v>2015</v>
      </c>
      <c r="H45" s="132"/>
      <c r="I45" s="132"/>
      <c r="J45" s="3295" t="s">
        <v>2016</v>
      </c>
      <c r="K45" s="3295"/>
      <c r="L45" s="3295"/>
      <c r="M45" s="3295"/>
      <c r="N45" s="3295"/>
      <c r="O45" s="3295"/>
    </row>
    <row r="46" spans="1:15" ht="14.25" customHeight="1">
      <c r="A46" s="3211" t="s">
        <v>2017</v>
      </c>
      <c r="B46" s="3212"/>
      <c r="C46" s="3212"/>
      <c r="D46" s="3212"/>
      <c r="E46" s="3212"/>
      <c r="F46" s="3212"/>
      <c r="G46" s="3213"/>
      <c r="H46" s="1990"/>
      <c r="I46" s="162"/>
      <c r="J46" s="2747">
        <v>1</v>
      </c>
      <c r="K46" s="3276" t="s">
        <v>2018</v>
      </c>
      <c r="L46" s="3276"/>
      <c r="M46" s="3296"/>
      <c r="N46" s="3296"/>
      <c r="O46" s="3296"/>
    </row>
    <row r="47" spans="1:15" ht="12" customHeight="1">
      <c r="A47" s="163" t="s">
        <v>2019</v>
      </c>
      <c r="B47" s="164"/>
      <c r="C47" s="165"/>
      <c r="D47" s="1245" t="s">
        <v>2020</v>
      </c>
      <c r="E47" s="306" t="s">
        <v>2021</v>
      </c>
      <c r="F47" s="166" t="s">
        <v>2022</v>
      </c>
      <c r="G47" s="2770" t="s">
        <v>2023</v>
      </c>
      <c r="H47" s="2771"/>
      <c r="I47" s="162"/>
      <c r="J47" s="2747">
        <v>2</v>
      </c>
      <c r="K47" s="3276" t="s">
        <v>2024</v>
      </c>
      <c r="L47" s="3276"/>
      <c r="M47" s="3297">
        <f>'数据-取费表'!B2</f>
        <v>44311</v>
      </c>
      <c r="N47" s="3297"/>
      <c r="O47" s="3297"/>
    </row>
    <row r="48" spans="1:15" ht="25.5">
      <c r="A48" s="3242" t="s">
        <v>2025</v>
      </c>
      <c r="B48" s="3225"/>
      <c r="C48" s="3225"/>
      <c r="D48" s="2545">
        <f ca="1">IF(H48="情况1",0,IF(H48="情况2",D52,IF(H48="情况3",D53,IF(H48="情况4",D54))))</f>
        <v>3690</v>
      </c>
      <c r="E48" s="2555" t="str">
        <f>IF(H48="情况4","(销售额-原购置价)×税（费）率","销售额×税（费）率")</f>
        <v>销售额×税（费）率</v>
      </c>
      <c r="F48" s="2772">
        <f>IF(H48="情况1","免征",'数据-取费表'!B41)</f>
        <v>5.5000000000000007E-2</v>
      </c>
      <c r="G48" s="2773" t="s">
        <v>2026</v>
      </c>
      <c r="H48" s="2774" t="s">
        <v>3919</v>
      </c>
      <c r="I48" s="1990"/>
      <c r="J48" s="2747">
        <v>3</v>
      </c>
      <c r="K48" s="3276" t="s">
        <v>2027</v>
      </c>
      <c r="L48" s="3276"/>
      <c r="M48" s="3298">
        <f ca="1">H101</f>
        <v>70449</v>
      </c>
      <c r="N48" s="3298"/>
      <c r="O48" s="3298"/>
    </row>
    <row r="49" spans="1:35" ht="25.5" customHeight="1">
      <c r="A49" s="2554" t="s">
        <v>2028</v>
      </c>
      <c r="B49" s="3209" t="s">
        <v>2029</v>
      </c>
      <c r="C49" s="3209"/>
      <c r="D49" s="1773">
        <v>0</v>
      </c>
      <c r="E49" s="328" t="s">
        <v>2030</v>
      </c>
      <c r="F49" s="2648" t="s">
        <v>34</v>
      </c>
      <c r="G49" s="3282"/>
      <c r="H49" s="2526" t="s">
        <v>2874</v>
      </c>
      <c r="I49" s="2527"/>
      <c r="J49" s="2747">
        <v>4</v>
      </c>
      <c r="K49" s="3276" t="str">
        <f>IF(项目基本情况!E8="房地产抵押价值","房地产抵押价值","抵押担保权已注销时的房地产抵押价值")</f>
        <v>房地产抵押价值</v>
      </c>
      <c r="L49" s="3276"/>
      <c r="M49" s="3298">
        <f ca="1">IF(项目基本情况!E8="房地产抵押价值",H107,H109)</f>
        <v>70449</v>
      </c>
      <c r="N49" s="3298"/>
      <c r="O49" s="3298"/>
    </row>
    <row r="50" spans="1:35" ht="25.5" customHeight="1">
      <c r="A50" s="2775"/>
      <c r="B50" s="3209" t="s">
        <v>2031</v>
      </c>
      <c r="C50" s="3209"/>
      <c r="D50" s="2776"/>
      <c r="E50" s="336"/>
      <c r="F50" s="2648"/>
      <c r="G50" s="3283"/>
      <c r="H50" s="2528" t="s">
        <v>2875</v>
      </c>
      <c r="I50" s="2527"/>
      <c r="J50" s="3295" t="s">
        <v>2032</v>
      </c>
      <c r="K50" s="3295"/>
      <c r="L50" s="3295"/>
      <c r="M50" s="3295"/>
      <c r="N50" s="3295"/>
      <c r="O50" s="3295"/>
    </row>
    <row r="51" spans="1:35" ht="20.45" customHeight="1">
      <c r="A51" s="2777"/>
      <c r="B51" s="3209" t="s">
        <v>2033</v>
      </c>
      <c r="C51" s="3209"/>
      <c r="D51" s="1245"/>
      <c r="E51" s="331"/>
      <c r="F51" s="2648"/>
      <c r="G51" s="3284"/>
      <c r="H51" s="2528" t="s">
        <v>2876</v>
      </c>
      <c r="I51" s="2527"/>
      <c r="J51" s="2748" t="s">
        <v>2034</v>
      </c>
      <c r="K51" s="3276" t="s">
        <v>2035</v>
      </c>
      <c r="L51" s="3276"/>
      <c r="M51" s="2748" t="s">
        <v>2036</v>
      </c>
      <c r="N51" s="2748" t="s">
        <v>2037</v>
      </c>
      <c r="O51" s="2748" t="s">
        <v>2038</v>
      </c>
    </row>
    <row r="52" spans="1:35" ht="24" customHeight="1">
      <c r="A52" s="2556" t="s">
        <v>2039</v>
      </c>
      <c r="B52" s="3209" t="s">
        <v>2040</v>
      </c>
      <c r="C52" s="3209"/>
      <c r="D52" s="1245">
        <f ca="1">ROUND(D45*'数据-取费表'!B41/(1+'数据-取费表'!C42),0)</f>
        <v>3690</v>
      </c>
      <c r="E52" s="2555" t="s">
        <v>2041</v>
      </c>
      <c r="F52" s="2778">
        <f>'数据-取费表'!B41</f>
        <v>5.5000000000000007E-2</v>
      </c>
      <c r="G52" s="2779"/>
      <c r="H52" s="2768"/>
      <c r="I52" s="1991"/>
      <c r="J52" s="2747">
        <v>1</v>
      </c>
      <c r="K52" s="3277" t="s">
        <v>2042</v>
      </c>
      <c r="L52" s="3277"/>
      <c r="M52" s="2749">
        <f ca="1">D48</f>
        <v>3690</v>
      </c>
      <c r="N52" s="2747" t="str">
        <f>E48</f>
        <v>销售额×税（费）率</v>
      </c>
      <c r="O52" s="2750">
        <f>F48</f>
        <v>5.5000000000000007E-2</v>
      </c>
    </row>
    <row r="53" spans="1:35" ht="12" customHeight="1">
      <c r="A53" s="2556" t="s">
        <v>2043</v>
      </c>
      <c r="B53" s="3235" t="s">
        <v>3035</v>
      </c>
      <c r="C53" s="3236"/>
      <c r="D53" s="1245">
        <f ca="1">ROUND(D45*'数据-取费表'!B41/(1+'数据-取费表'!C42),0)</f>
        <v>3690</v>
      </c>
      <c r="E53" s="2555" t="s">
        <v>2041</v>
      </c>
      <c r="F53" s="2778">
        <f>'数据-取费表'!B41</f>
        <v>5.5000000000000007E-2</v>
      </c>
      <c r="G53" s="2779"/>
      <c r="H53" s="2768"/>
      <c r="I53" s="1991"/>
      <c r="J53" s="2747">
        <v>2</v>
      </c>
      <c r="K53" s="3277" t="s">
        <v>2044</v>
      </c>
      <c r="L53" s="3277"/>
      <c r="M53" s="2749">
        <f t="shared" ref="M53:O54" ca="1" si="0">D55</f>
        <v>35</v>
      </c>
      <c r="N53" s="2747" t="str">
        <f t="shared" si="0"/>
        <v>销售额×税（费）率</v>
      </c>
      <c r="O53" s="2750">
        <f t="shared" si="0"/>
        <v>5.0000000000000001E-4</v>
      </c>
    </row>
    <row r="54" spans="1:35" ht="12" customHeight="1">
      <c r="A54" s="2556" t="s">
        <v>2045</v>
      </c>
      <c r="B54" s="3235" t="s">
        <v>3036</v>
      </c>
      <c r="C54" s="3236"/>
      <c r="D54" s="1245">
        <f ca="1">C68</f>
        <v>3690</v>
      </c>
      <c r="E54" s="331" t="s">
        <v>2046</v>
      </c>
      <c r="F54" s="2778">
        <f>'数据-取费表'!B41</f>
        <v>5.5000000000000007E-2</v>
      </c>
      <c r="G54" s="2779"/>
      <c r="H54" s="2780"/>
      <c r="I54" s="1991"/>
      <c r="J54" s="2747">
        <v>3</v>
      </c>
      <c r="K54" s="3277" t="s">
        <v>2047</v>
      </c>
      <c r="L54" s="3277"/>
      <c r="M54" s="2749">
        <f t="shared" ca="1" si="0"/>
        <v>1094</v>
      </c>
      <c r="N54" s="2747" t="str">
        <f t="shared" si="0"/>
        <v>增值额×税（费）率</v>
      </c>
      <c r="O54" s="2751" t="str">
        <f t="shared" si="0"/>
        <v>——</v>
      </c>
    </row>
    <row r="55" spans="1:35" ht="24" customHeight="1">
      <c r="A55" s="3224" t="s">
        <v>2048</v>
      </c>
      <c r="B55" s="3225"/>
      <c r="C55" s="3225"/>
      <c r="D55" s="2545">
        <f ca="1">IF(H55="个人住宅",0,ROUND(D45*I55,0))</f>
        <v>35</v>
      </c>
      <c r="E55" s="2555" t="s">
        <v>2049</v>
      </c>
      <c r="F55" s="2778">
        <f>IF(H55="正常",I55,"免征")</f>
        <v>5.0000000000000001E-4</v>
      </c>
      <c r="G55" s="2779"/>
      <c r="H55" s="2774" t="s">
        <v>3215</v>
      </c>
      <c r="I55" s="168">
        <f>'数据-取费表'!B49</f>
        <v>5.0000000000000001E-4</v>
      </c>
      <c r="J55" s="2747" t="str">
        <f>IF(H59="非个人房产","",4)</f>
        <v/>
      </c>
      <c r="K55" s="3277" t="str">
        <f>IF(H59="非个人房产","——","个人所得税")</f>
        <v>——</v>
      </c>
      <c r="L55" s="3277"/>
      <c r="M55" s="2752" t="str">
        <f>D59</f>
        <v>——</v>
      </c>
      <c r="N55" s="2226" t="str">
        <f>E59</f>
        <v>——</v>
      </c>
      <c r="O55" s="2753" t="str">
        <f>F59</f>
        <v>——</v>
      </c>
    </row>
    <row r="56" spans="1:35" ht="24.75">
      <c r="A56" s="3224" t="s">
        <v>2050</v>
      </c>
      <c r="B56" s="3225"/>
      <c r="C56" s="3225"/>
      <c r="D56" s="2545">
        <f ca="1">IF(H56="个人住宅",D57,D58)</f>
        <v>1094</v>
      </c>
      <c r="E56" s="2555" t="s">
        <v>2051</v>
      </c>
      <c r="F56" s="2778" t="str">
        <f>IF(H56="正常",F58,"免征")</f>
        <v>——</v>
      </c>
      <c r="G56" s="2781" t="s">
        <v>2052</v>
      </c>
      <c r="H56" s="2782" t="s">
        <v>3215</v>
      </c>
      <c r="I56" s="1992"/>
      <c r="J56" s="2747" t="str">
        <f>IF(项目基本情况!K6="上海银行",IF(J55="",4,J55+1),"")</f>
        <v/>
      </c>
      <c r="K56" s="3300" t="str">
        <f>IF(项目基本情况!K6="上海银行","其他处置费用","")</f>
        <v/>
      </c>
      <c r="L56" s="3301"/>
      <c r="M56" s="2749" t="str">
        <f>IF(项目基本情况!K6="上海银行",M69,"")</f>
        <v/>
      </c>
      <c r="N56" s="3300" t="str">
        <f>IF(项目基本情况!K6="上海银行","包含处置中涉及的律师、诉讼、拍卖、评估等费用","")</f>
        <v/>
      </c>
      <c r="O56" s="3303"/>
    </row>
    <row r="57" spans="1:35" ht="12.75">
      <c r="A57" s="2556" t="s">
        <v>2028</v>
      </c>
      <c r="B57" s="3235" t="s">
        <v>2053</v>
      </c>
      <c r="C57" s="3236"/>
      <c r="D57" s="1773">
        <v>0</v>
      </c>
      <c r="E57" s="328" t="s">
        <v>2030</v>
      </c>
      <c r="F57" s="306"/>
      <c r="G57" s="2779"/>
      <c r="H57" s="2783"/>
      <c r="I57" s="1992"/>
      <c r="J57" s="3277">
        <f>IF(AND(J55="",J56=""),4,IF(项目基本情况!K6="上海银行",结果表!J56+1,结果表!J55+1))</f>
        <v>4</v>
      </c>
      <c r="K57" s="3277" t="s">
        <v>2054</v>
      </c>
      <c r="L57" s="2754" t="s">
        <v>2055</v>
      </c>
      <c r="M57" s="2755"/>
      <c r="N57" s="2756">
        <f ca="1">SUMIF(M52:M56,"&lt;9e307")</f>
        <v>4819</v>
      </c>
      <c r="O57" s="2757"/>
      <c r="P57" s="2916">
        <f ca="1">N57/M49</f>
        <v>6.8404093741571914E-2</v>
      </c>
    </row>
    <row r="58" spans="1:35" ht="24.75">
      <c r="A58" s="2556" t="s">
        <v>2039</v>
      </c>
      <c r="B58" s="3235" t="s">
        <v>2056</v>
      </c>
      <c r="C58" s="3209"/>
      <c r="D58" s="2545">
        <f ca="1">IF(H58="转让取得",C81,C97)</f>
        <v>1094</v>
      </c>
      <c r="E58" s="2555" t="s">
        <v>2051</v>
      </c>
      <c r="F58" s="306" t="s">
        <v>34</v>
      </c>
      <c r="G58" s="2779"/>
      <c r="H58" s="2782" t="s">
        <v>3920</v>
      </c>
      <c r="I58" s="1992"/>
      <c r="J58" s="3277"/>
      <c r="K58" s="3277"/>
      <c r="L58" s="2754" t="s">
        <v>2057</v>
      </c>
      <c r="M58" s="2758"/>
      <c r="N58" s="2759" t="str">
        <f ca="1">NUMBERSTRING(INT(N57*10000),2)&amp;"元整"</f>
        <v>肆仟捌佰壹拾玖万元整</v>
      </c>
      <c r="O58" s="2760"/>
    </row>
    <row r="59" spans="1:35" ht="24.75" thickBot="1">
      <c r="A59" s="3280" t="s">
        <v>2058</v>
      </c>
      <c r="B59" s="3281"/>
      <c r="C59" s="328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2052</v>
      </c>
      <c r="H59" s="2530" t="s">
        <v>3921</v>
      </c>
      <c r="I59" s="2529" t="s">
        <v>2877</v>
      </c>
      <c r="J59" s="3278">
        <f>J57+1</f>
        <v>5</v>
      </c>
      <c r="K59" s="3277" t="s">
        <v>2059</v>
      </c>
      <c r="L59" s="2747" t="s">
        <v>2055</v>
      </c>
      <c r="M59" s="2761"/>
      <c r="N59" s="2762">
        <f ca="1">M49-N57</f>
        <v>65630</v>
      </c>
      <c r="O59" s="2763"/>
    </row>
    <row r="60" spans="1:35" ht="12" customHeight="1">
      <c r="A60" s="1993"/>
      <c r="B60" s="1931"/>
      <c r="C60" s="1931"/>
      <c r="D60" s="1931"/>
      <c r="E60" s="1761"/>
      <c r="F60" s="1992"/>
      <c r="G60" s="1992"/>
      <c r="H60" s="1994"/>
      <c r="I60" s="132"/>
      <c r="J60" s="3279"/>
      <c r="K60" s="3277"/>
      <c r="L60" s="2754" t="s">
        <v>2057</v>
      </c>
      <c r="M60" s="2758"/>
      <c r="N60" s="2759" t="str">
        <f ca="1">NUMBERSTRING(INT(N59*10000),2)&amp;"元整"</f>
        <v>陆亿伍仟陆佰叁拾万元整</v>
      </c>
      <c r="O60" s="2760"/>
    </row>
    <row r="61" spans="1:35" ht="13.5" thickBot="1">
      <c r="A61" s="3222" t="s">
        <v>2060</v>
      </c>
      <c r="B61" s="3222"/>
      <c r="C61" s="3222"/>
      <c r="D61" s="3222"/>
      <c r="E61" s="3222"/>
      <c r="F61" s="1992"/>
      <c r="G61" s="1992"/>
      <c r="H61" s="1994"/>
      <c r="I61" s="132"/>
      <c r="J61" s="2747">
        <f>J59+1</f>
        <v>6</v>
      </c>
      <c r="K61" s="3277" t="s">
        <v>2061</v>
      </c>
      <c r="L61" s="3277"/>
      <c r="M61" s="2764"/>
      <c r="N61" s="2765">
        <f ca="1">ROUND(N59*10000/'数据-汇总表'!E3,0)</f>
        <v>4910</v>
      </c>
      <c r="O61" s="2766"/>
    </row>
    <row r="62" spans="1:35" ht="12.75">
      <c r="A62" s="3240" t="s">
        <v>2062</v>
      </c>
      <c r="B62" s="3241"/>
      <c r="C62" s="2207"/>
      <c r="D62" s="2207" t="s">
        <v>2063</v>
      </c>
      <c r="E62" s="169" t="s">
        <v>2064</v>
      </c>
      <c r="F62" s="1992"/>
      <c r="G62" s="1992"/>
      <c r="H62" s="1994"/>
      <c r="I62" s="132"/>
    </row>
    <row r="63" spans="1:35" ht="12.75">
      <c r="A63" s="176" t="s">
        <v>775</v>
      </c>
      <c r="B63" s="170" t="s">
        <v>2065</v>
      </c>
      <c r="C63" s="2788">
        <f ca="1">ROUND((C64+C65)/(1+'数据-取费表'!C42),0)</f>
        <v>67094</v>
      </c>
      <c r="D63" s="170"/>
      <c r="E63" s="171"/>
      <c r="F63" s="1992"/>
      <c r="G63" s="1992"/>
      <c r="H63" s="1994"/>
      <c r="I63" s="132"/>
      <c r="J63" s="3302" t="s">
        <v>2066</v>
      </c>
      <c r="K63" s="1499" t="s">
        <v>2067</v>
      </c>
      <c r="L63" s="1499">
        <f ca="1">IF(M49&gt;10000,M49*0.5%,IF(AND(M49&gt;1000,M49&lt;=10000),M49*1%,IF(AND(M49&gt;100,M49&lt;=1000),M49*3%,IF(AND(M49&gt;10,M49&lt;=100),M49*5%,M49*8%))))</f>
        <v>352.245</v>
      </c>
      <c r="M63" s="306">
        <f ca="1">ROUND(L63,1)</f>
        <v>352.2</v>
      </c>
      <c r="N63" s="2767"/>
      <c r="Z63" s="1936"/>
      <c r="AI63" s="1937"/>
    </row>
    <row r="64" spans="1:35" ht="14.25" customHeight="1">
      <c r="A64" s="172" t="s">
        <v>770</v>
      </c>
      <c r="B64" s="173" t="s">
        <v>2068</v>
      </c>
      <c r="C64" s="2789">
        <f ca="1">D45</f>
        <v>70449</v>
      </c>
      <c r="D64" s="173" t="s">
        <v>32</v>
      </c>
      <c r="E64" s="175"/>
      <c r="F64" s="1992"/>
      <c r="G64" s="1992"/>
      <c r="H64" s="1994"/>
      <c r="I64" s="132"/>
      <c r="J64" s="3302"/>
      <c r="K64" s="1499" t="s">
        <v>2069</v>
      </c>
      <c r="L64" s="1499">
        <f ca="1">IF(M49&gt;2000,M49*0.5%,IF(AND(M49&gt;1000,M49&lt;=2000),M49*0.6%,IF(AND(M49&gt;500,M49&lt;=1000),M49*0.7%,IF(AND(M49&gt;200,M49&lt;=500),M49*0.8%,IF(AND(M49&gt;100,M49&lt;=200),M49*0.9%,IF(AND(M49&gt;50,M49&lt;=100),M49*1%,IF(AND(M49&gt;20,M49&lt;=50),M49*1.5%,IF(AND(M49&gt;10,M49&lt;=20),M49*2%,IF(AND(M49&gt;1,M49&lt;=10),M49*2.5%)))))))))</f>
        <v>352.245</v>
      </c>
      <c r="M64" s="306">
        <f t="shared" ref="M64:M65" ca="1" si="1">ROUND(L64,1)</f>
        <v>352.2</v>
      </c>
      <c r="N64" s="2768" t="s">
        <v>2070</v>
      </c>
      <c r="Z64" s="1936"/>
      <c r="AI64" s="1937"/>
    </row>
    <row r="65" spans="1:35" ht="14.25" customHeight="1">
      <c r="A65" s="172" t="s">
        <v>771</v>
      </c>
      <c r="B65" s="173" t="s">
        <v>2071</v>
      </c>
      <c r="C65" s="2790"/>
      <c r="D65" s="173"/>
      <c r="E65" s="175"/>
      <c r="F65" s="1992"/>
      <c r="G65" s="1992"/>
      <c r="H65" s="1994"/>
      <c r="I65" s="132"/>
      <c r="J65" s="3302"/>
      <c r="K65" s="1499" t="s">
        <v>2072</v>
      </c>
      <c r="L65" s="1499">
        <f ca="1">IF(M49&gt;1000,M49*0.1%,IF(AND(M49&gt;500,M49&lt;=1000),M49*0.5%,IF(AND(M49&gt;50,M49&lt;=500),M49*1%,IF(AND(M49&gt;1,M49&lt;=50),M49*1.5%))))</f>
        <v>70.448999999999998</v>
      </c>
      <c r="M65" s="306">
        <f t="shared" ca="1" si="1"/>
        <v>70.400000000000006</v>
      </c>
      <c r="N65" s="2768" t="s">
        <v>2070</v>
      </c>
      <c r="Z65" s="1936"/>
      <c r="AI65" s="1937"/>
    </row>
    <row r="66" spans="1:35" ht="14.25" customHeight="1">
      <c r="A66" s="176" t="s">
        <v>772</v>
      </c>
      <c r="B66" s="177" t="s">
        <v>2073</v>
      </c>
      <c r="C66" s="2791"/>
      <c r="D66" s="177" t="s">
        <v>32</v>
      </c>
      <c r="E66" s="1507" t="s">
        <v>1337</v>
      </c>
      <c r="F66" s="1992"/>
      <c r="G66" s="1992"/>
      <c r="H66" s="1994"/>
      <c r="I66" s="132"/>
      <c r="J66" s="3302"/>
      <c r="K66" s="1499" t="s">
        <v>2074</v>
      </c>
      <c r="L66" s="1499">
        <f ca="1">M49*0.5%</f>
        <v>352.245</v>
      </c>
      <c r="M66" s="306">
        <f ca="1">IF(L66&gt;0.5,0.5,ROUND(L66,0))</f>
        <v>0.5</v>
      </c>
      <c r="N66" s="2768" t="s">
        <v>2075</v>
      </c>
      <c r="Z66" s="1936"/>
      <c r="AI66" s="1937"/>
    </row>
    <row r="67" spans="1:35" ht="14.25" customHeight="1">
      <c r="A67" s="176" t="s">
        <v>773</v>
      </c>
      <c r="B67" s="177" t="s">
        <v>2076</v>
      </c>
      <c r="C67" s="2792">
        <f ca="1">C63-C66</f>
        <v>67094</v>
      </c>
      <c r="D67" s="173" t="s">
        <v>32</v>
      </c>
      <c r="E67" s="175"/>
      <c r="F67" s="1992"/>
      <c r="G67" s="1992"/>
      <c r="H67" s="1994"/>
      <c r="I67" s="132"/>
      <c r="J67" s="3302"/>
      <c r="K67" s="1499" t="s">
        <v>2077</v>
      </c>
      <c r="L67" s="1499">
        <f ca="1">IF(M49&gt;=10000,(8.25+(M49-10000)*0.01%),IF(AND(M49&gt;=8000,M49&lt;10000),(7.85+(M49-8000)*0.02%),IF(AND(M49&gt;=5000,M49&lt;8000),(6.65+(M49-5000)*0.04%),IF(AND(M49&gt;=2000,M49&lt;5000),(4.25+(PM49-2000)*0.08%),IF(AND(M49&gt;=1000,M49&lt;2000),(2.75+(M49-1000)*0.15%),IF(AND(M49&gt;=100,M49&lt;1000),(0.5+(M49-100)*0.25%),IF(AND(M49&gt;0,M49&lt;100),M49*0.5%)))))))</f>
        <v>14.2949</v>
      </c>
      <c r="M67" s="306">
        <f ca="1">ROUND(L67*0.9,1)</f>
        <v>12.9</v>
      </c>
      <c r="N67" s="2767"/>
      <c r="Z67" s="1936"/>
      <c r="AI67" s="1937"/>
    </row>
    <row r="68" spans="1:35" ht="14.25" customHeight="1" thickBot="1">
      <c r="A68" s="179" t="s">
        <v>774</v>
      </c>
      <c r="B68" s="180" t="s">
        <v>2078</v>
      </c>
      <c r="C68" s="2793">
        <f ca="1">IF(C67&lt;=0,0,ROUND(C67*D68,0))</f>
        <v>3690</v>
      </c>
      <c r="D68" s="2794">
        <f>'数据-取费表'!B41</f>
        <v>5.5000000000000007E-2</v>
      </c>
      <c r="E68" s="182"/>
      <c r="F68" s="1992"/>
      <c r="G68" s="1992"/>
      <c r="H68" s="1994"/>
      <c r="I68" s="132"/>
      <c r="J68" s="3302"/>
      <c r="K68" s="1499" t="s">
        <v>2079</v>
      </c>
      <c r="L68" s="1499">
        <f ca="1">IF(M49&gt;10000,M49*0.5%,IF(AND(M49&gt;5000,M49&lt;=10000),M49*1%,IF(AND(M49&gt;1000,M49&lt;=5000),M49*2%,IF(AND(M49&gt;200,M49&lt;=1000),M49*3%,M49*5%))))</f>
        <v>352.245</v>
      </c>
      <c r="M68" s="306">
        <f ca="1">ROUND(L68,1)</f>
        <v>352.2</v>
      </c>
      <c r="N68" s="2767"/>
      <c r="Z68" s="1936"/>
      <c r="AI68" s="1937"/>
    </row>
    <row r="69" spans="1:35" s="1956" customFormat="1" ht="16.5" customHeight="1">
      <c r="A69" s="1995"/>
      <c r="B69" s="1996"/>
      <c r="C69" s="1997"/>
      <c r="D69" s="1998"/>
      <c r="E69" s="1999"/>
      <c r="F69" s="1761"/>
      <c r="G69" s="1761"/>
      <c r="H69" s="1760"/>
      <c r="I69" s="1931"/>
      <c r="J69" s="3302"/>
      <c r="K69" s="1499" t="s">
        <v>2080</v>
      </c>
      <c r="L69" s="1499"/>
      <c r="M69" s="306">
        <f ca="1">ROUND(SUM(M63:M68),0)</f>
        <v>1140</v>
      </c>
      <c r="N69" s="2769">
        <f ca="1">M69/M49</f>
        <v>1.6181918834901846E-2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61" t="s">
        <v>2081</v>
      </c>
      <c r="B70" s="3262"/>
      <c r="C70" s="3262"/>
      <c r="D70" s="3262"/>
      <c r="E70" s="3262"/>
      <c r="F70" s="3262"/>
      <c r="G70" s="3262"/>
      <c r="H70" s="3262"/>
      <c r="I70" s="2000"/>
      <c r="J70" s="2917"/>
      <c r="K70" s="2917"/>
      <c r="L70" s="2917"/>
      <c r="M70" s="2917"/>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0" t="s">
        <v>2062</v>
      </c>
      <c r="B71" s="3241"/>
      <c r="C71" s="2207"/>
      <c r="D71" s="2207" t="s">
        <v>2063</v>
      </c>
      <c r="E71" s="183" t="s">
        <v>2064</v>
      </c>
      <c r="F71" s="184"/>
      <c r="G71" s="184"/>
      <c r="H71" s="185"/>
      <c r="I71" s="2004"/>
      <c r="J71" s="2917"/>
      <c r="K71" s="2917"/>
      <c r="L71" s="2917"/>
      <c r="M71" s="291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2082</v>
      </c>
      <c r="C72" s="2792">
        <f ca="1">ROUND(D45/(1+'数据-取费表'!C42),0)</f>
        <v>67094</v>
      </c>
      <c r="D72" s="173" t="s">
        <v>32</v>
      </c>
      <c r="E72" s="2552"/>
      <c r="F72" s="2551"/>
      <c r="G72" s="2551"/>
      <c r="H72" s="186"/>
      <c r="I72" s="2004"/>
      <c r="J72" s="2917"/>
      <c r="K72" s="2917"/>
      <c r="L72" s="2917"/>
      <c r="M72" s="291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2083</v>
      </c>
      <c r="C73" s="2792">
        <f ca="1">C74+C78</f>
        <v>335</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2084</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2085</v>
      </c>
      <c r="C75" s="2795"/>
      <c r="D75" s="173" t="s">
        <v>32</v>
      </c>
      <c r="E75" s="188" t="s">
        <v>2086</v>
      </c>
      <c r="F75" s="2796"/>
      <c r="G75" s="188" t="s">
        <v>2087</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2088</v>
      </c>
      <c r="C76" s="173">
        <f>IF(F75="购房发票",ROUND(C75*H75*D76,0),0)</f>
        <v>0</v>
      </c>
      <c r="D76" s="2798">
        <v>0.05</v>
      </c>
      <c r="E76" s="3235" t="s">
        <v>2089</v>
      </c>
      <c r="F76" s="3209"/>
      <c r="G76" s="3209"/>
      <c r="H76" s="326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2090</v>
      </c>
      <c r="C77" s="173">
        <f>ROUND(IF(G77="个人住宅",0,IF(G77="2016年5月1日前购买",C75*D77,C75*D77/(1+'数据-取费表'!C42))),0)</f>
        <v>0</v>
      </c>
      <c r="D77" s="2799">
        <f>'数据-取费表'!B48+'数据-取费表'!B49</f>
        <v>3.0499999999999999E-2</v>
      </c>
      <c r="E77" s="2545" t="s">
        <v>2091</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2092</v>
      </c>
      <c r="C78" s="2800">
        <f ca="1">ROUND(D45*D78/(1+'数据-取费表'!C42),0)</f>
        <v>335</v>
      </c>
      <c r="D78" s="2801">
        <f>'数据-取费表'!B43</f>
        <v>5.000000000000001E-3</v>
      </c>
      <c r="E78" s="3219" t="s">
        <v>2093</v>
      </c>
      <c r="F78" s="3220"/>
      <c r="G78" s="3220"/>
      <c r="H78" s="3229"/>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2094</v>
      </c>
      <c r="C79" s="2792">
        <f ca="1">C72-C73</f>
        <v>66759</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2095</v>
      </c>
      <c r="C80" s="2802">
        <f ca="1">IF(C79&lt;=0,0,C79/C73)</f>
        <v>199.28059701492538</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2096</v>
      </c>
      <c r="C81" s="2803">
        <f ca="1">ROUND(IF(C79&lt;=0,0,IF(C80&gt;=200%,C79*60%-C73*35%,IF(C80&gt;=100%,C79*50%-C73*15%,IF(C80&gt;=50%,C79*40%-C73*5%,IF(C80&lt;50%,C79*30%,0))))),0)</f>
        <v>39938</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61" t="s">
        <v>2097</v>
      </c>
      <c r="B83" s="3262"/>
      <c r="C83" s="3262"/>
      <c r="D83" s="3262"/>
      <c r="E83" s="3262"/>
      <c r="F83" s="3262"/>
      <c r="G83" s="3262"/>
      <c r="H83" s="326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0" t="s">
        <v>2062</v>
      </c>
      <c r="B84" s="3241"/>
      <c r="C84" s="2207"/>
      <c r="D84" s="2207" t="s">
        <v>2063</v>
      </c>
      <c r="E84" s="183" t="s">
        <v>2064</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2082</v>
      </c>
      <c r="C85" s="2792">
        <f ca="1">ROUND(D45/(1+'数据-取费表'!C42),0)</f>
        <v>67094</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2083</v>
      </c>
      <c r="C86" s="2792">
        <f ca="1">IF(H88="仅含出让金",C87+C90+C91+C92+C93+C94,C87+C91+C92+C93+C94)</f>
        <v>63448.863479793326</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2098</v>
      </c>
      <c r="C87" s="2800">
        <f>C88+C89</f>
        <v>28099.863479793326</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2099</v>
      </c>
      <c r="C88" s="2806">
        <f>39947/土地案例!F26*34085</f>
        <v>27267.863479793326</v>
      </c>
      <c r="D88" s="2801"/>
      <c r="E88" s="197" t="s">
        <v>2100</v>
      </c>
      <c r="F88" s="2548"/>
      <c r="G88" s="198" t="s">
        <v>2101</v>
      </c>
      <c r="H88" s="2008" t="s">
        <v>3922</v>
      </c>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2090</v>
      </c>
      <c r="C89" s="2800">
        <f>ROUND(C88*D89,0)</f>
        <v>832</v>
      </c>
      <c r="D89" s="2801">
        <f>'数据-取费表'!B48+'数据-取费表'!B49</f>
        <v>3.0499999999999999E-2</v>
      </c>
      <c r="E89" s="197"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2103</v>
      </c>
      <c r="C90" s="2806"/>
      <c r="D90" s="2801"/>
      <c r="E90" s="197" t="str">
        <f>IF(H88="-","土地取得成本中已包含该笔费用"," ")</f>
        <v xml:space="preserve"> </v>
      </c>
      <c r="F90" s="2548"/>
      <c r="G90" s="3304" t="s">
        <v>2869</v>
      </c>
      <c r="H90" s="3305"/>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2104</v>
      </c>
      <c r="B91" s="173" t="s">
        <v>2105</v>
      </c>
      <c r="C91" s="2800">
        <f ca="1">IF(H91="——",成本法!C33,I91)</f>
        <v>20449</v>
      </c>
      <c r="D91" s="2801"/>
      <c r="E91" s="3219" t="s">
        <v>2106</v>
      </c>
      <c r="F91" s="3220"/>
      <c r="G91" s="3220"/>
      <c r="H91" s="2009" t="s">
        <v>70</v>
      </c>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2107</v>
      </c>
      <c r="B92" s="173" t="s">
        <v>2108</v>
      </c>
      <c r="C92" s="2800">
        <f ca="1">ROUND((C87+C90+C91)*D92,0)</f>
        <v>4855</v>
      </c>
      <c r="D92" s="3474">
        <v>0.1</v>
      </c>
      <c r="E92" s="3219" t="s">
        <v>2109</v>
      </c>
      <c r="F92" s="3220"/>
      <c r="G92" s="3220"/>
      <c r="H92" s="3229"/>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2110</v>
      </c>
      <c r="B93" s="173" t="s">
        <v>2092</v>
      </c>
      <c r="C93" s="2800">
        <f ca="1">ROUND(D45*D93/(1+'数据-取费表'!C42),0)</f>
        <v>335</v>
      </c>
      <c r="D93" s="2801">
        <f>'数据-取费表'!B43</f>
        <v>5.000000000000001E-3</v>
      </c>
      <c r="E93" s="3219" t="s">
        <v>2093</v>
      </c>
      <c r="F93" s="3220"/>
      <c r="G93" s="3220"/>
      <c r="H93" s="3229"/>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2111</v>
      </c>
      <c r="B94" s="173" t="s">
        <v>2112</v>
      </c>
      <c r="C94" s="2806">
        <f ca="1">ROUND((C87+C90+C91)*D94,0)</f>
        <v>9710</v>
      </c>
      <c r="D94" s="2801">
        <v>0.2</v>
      </c>
      <c r="E94" s="3230" t="s">
        <v>2113</v>
      </c>
      <c r="F94" s="3231"/>
      <c r="G94" s="3231"/>
      <c r="H94" s="323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2094</v>
      </c>
      <c r="C95" s="2792">
        <f ca="1">ROUND(C85-C86,0)</f>
        <v>3645</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2095</v>
      </c>
      <c r="C96" s="2802">
        <f ca="1">IF(C95&lt;=0,0,C95/C86)</f>
        <v>5.7447837519750529E-2</v>
      </c>
      <c r="D96" s="173" t="s">
        <v>32</v>
      </c>
      <c r="E96" s="2545" t="str">
        <f ca="1">IF(C96&gt;=200%,"增值额超过扣除项目金额200%",IF(C96&gt;=100%,"增值额超过扣除项目金额100%，未超过200%",IF(C96&gt;=50%,"增值额超过扣除项目金额50%，未超过100%",IF(C96&lt;50%,"增值额未超过扣除项目金额50%"))))</f>
        <v>增值额未超过扣除项目金额50%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2096</v>
      </c>
      <c r="C97" s="2803">
        <f ca="1">ROUND(IF(C95&lt;=0,0,IF(C96&gt;=200%,C95*60%-C86*35%,IF(C96&gt;=100%,C95*50%-C86*15%,IF(C96&gt;=50%,C95*40%-C86*5%,IF(C96&lt;50%,C95*30%,0))))),0)</f>
        <v>1094</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2114</v>
      </c>
      <c r="B99" s="1931"/>
      <c r="C99" s="1931"/>
      <c r="D99" s="1931"/>
      <c r="E99" s="1761"/>
      <c r="F99" s="1761"/>
      <c r="G99" s="1761"/>
      <c r="H99" s="1760"/>
      <c r="I99" s="132"/>
    </row>
    <row r="100" spans="1:35" ht="18.75" customHeight="1">
      <c r="A100" s="3203" t="s">
        <v>2115</v>
      </c>
      <c r="B100" s="3204"/>
      <c r="C100" s="3204"/>
      <c r="D100" s="3221"/>
      <c r="E100" s="3204" t="s">
        <v>2116</v>
      </c>
      <c r="F100" s="3204"/>
      <c r="G100" s="3204"/>
      <c r="H100" s="3221"/>
      <c r="I100" s="132"/>
    </row>
    <row r="101" spans="1:35" ht="18.75" customHeight="1">
      <c r="A101" s="3285" t="s">
        <v>2117</v>
      </c>
      <c r="B101" s="3286"/>
      <c r="C101" s="2808" t="str">
        <f>C4</f>
        <v>成本法</v>
      </c>
      <c r="D101" s="2809" t="str">
        <f>D4</f>
        <v>假设开发法</v>
      </c>
      <c r="E101" s="3299" t="s">
        <v>2118</v>
      </c>
      <c r="F101" s="3253"/>
      <c r="G101" s="2011" t="s">
        <v>2119</v>
      </c>
      <c r="H101" s="2818">
        <f ca="1">H118</f>
        <v>70449</v>
      </c>
      <c r="I101" s="132"/>
    </row>
    <row r="102" spans="1:35" ht="18.75" customHeight="1">
      <c r="A102" s="3255" t="s">
        <v>2120</v>
      </c>
      <c r="B102" s="2807" t="s">
        <v>2119</v>
      </c>
      <c r="C102" s="2808">
        <f ca="1">C19</f>
        <v>79529</v>
      </c>
      <c r="D102" s="2809">
        <f ca="1">D19</f>
        <v>61369</v>
      </c>
      <c r="E102" s="3299"/>
      <c r="F102" s="3253"/>
      <c r="G102" s="2011" t="s">
        <v>2121</v>
      </c>
      <c r="H102" s="2779" t="e">
        <f ca="1">I118</f>
        <v>#DIV/0!</v>
      </c>
      <c r="I102" s="132"/>
    </row>
    <row r="103" spans="1:35" ht="42.75" customHeight="1">
      <c r="A103" s="3255"/>
      <c r="B103" s="2807" t="s">
        <v>2121</v>
      </c>
      <c r="C103" s="2810">
        <f ca="1">C20</f>
        <v>5949</v>
      </c>
      <c r="D103" s="2811">
        <f ca="1">D20</f>
        <v>4591</v>
      </c>
      <c r="E103" s="3293" t="s">
        <v>2122</v>
      </c>
      <c r="F103" s="3294"/>
      <c r="G103" s="2012" t="s">
        <v>2123</v>
      </c>
      <c r="H103" s="2818">
        <f>IF(D36="正常操作",H104+H105+H106,H105+H106)</f>
        <v>0</v>
      </c>
      <c r="I103" s="132"/>
    </row>
    <row r="104" spans="1:35" ht="18.75" customHeight="1">
      <c r="A104" s="3255" t="s">
        <v>2124</v>
      </c>
      <c r="B104" s="2812" t="s">
        <v>2119</v>
      </c>
      <c r="C104" s="2813">
        <f ca="1">H118</f>
        <v>70449</v>
      </c>
      <c r="D104" s="2814"/>
      <c r="E104" s="1858" t="s">
        <v>2125</v>
      </c>
      <c r="F104" s="1849"/>
      <c r="G104" s="2012" t="s">
        <v>2123</v>
      </c>
      <c r="H104" s="2819">
        <f>IF(D36="同一抵押权人同一抵押物续贷",C36&amp;"（续贷，未扣减，详见特别提示）",C36)</f>
        <v>0</v>
      </c>
      <c r="I104" s="132"/>
    </row>
    <row r="105" spans="1:35" ht="18.75" customHeight="1" thickBot="1">
      <c r="A105" s="3256"/>
      <c r="B105" s="2815" t="s">
        <v>2121</v>
      </c>
      <c r="C105" s="2816" t="e">
        <f ca="1">I118</f>
        <v>#DIV/0!</v>
      </c>
      <c r="D105" s="2817"/>
      <c r="E105" s="1858" t="s">
        <v>2126</v>
      </c>
      <c r="F105" s="1849"/>
      <c r="G105" s="2012" t="s">
        <v>2123</v>
      </c>
      <c r="H105" s="2820">
        <f>C37</f>
        <v>0</v>
      </c>
      <c r="I105" s="132"/>
    </row>
    <row r="106" spans="1:35" ht="18.75" customHeight="1">
      <c r="A106" s="1931" t="s">
        <v>2127</v>
      </c>
      <c r="B106" s="1931"/>
      <c r="C106" s="1931"/>
      <c r="D106" s="1931"/>
      <c r="E106" s="2013" t="s">
        <v>2128</v>
      </c>
      <c r="F106" s="1849"/>
      <c r="G106" s="2012" t="s">
        <v>2123</v>
      </c>
      <c r="H106" s="2820">
        <f>C38</f>
        <v>0</v>
      </c>
      <c r="I106" s="132"/>
    </row>
    <row r="107" spans="1:35" ht="18.75" customHeight="1">
      <c r="A107" s="132"/>
      <c r="B107" s="132"/>
      <c r="C107" s="132"/>
      <c r="D107" s="132"/>
      <c r="E107" s="3252" t="str">
        <f>IF(项目基本情况!E8="已注销","——","3.房地产抵押价值")</f>
        <v>3.房地产抵押价值</v>
      </c>
      <c r="F107" s="3253"/>
      <c r="G107" s="2011" t="s">
        <v>2119</v>
      </c>
      <c r="H107" s="2818">
        <f ca="1">IF(E107="——","——",H101-H103)</f>
        <v>70449</v>
      </c>
      <c r="I107" s="132"/>
    </row>
    <row r="108" spans="1:35" ht="18.75" customHeight="1">
      <c r="A108" s="132"/>
      <c r="B108" s="132"/>
      <c r="C108" s="132"/>
      <c r="D108" s="132"/>
      <c r="E108" s="3252"/>
      <c r="F108" s="3253"/>
      <c r="G108" s="2011" t="s">
        <v>2121</v>
      </c>
      <c r="H108" s="2779">
        <f ca="1">ROUND(H107*10000/'数据-汇总表'!E3,0)</f>
        <v>5270</v>
      </c>
      <c r="I108" s="132"/>
    </row>
    <row r="109" spans="1:35" ht="18.75" customHeight="1">
      <c r="A109" s="132"/>
      <c r="B109" s="132"/>
      <c r="C109" s="132"/>
      <c r="D109" s="132"/>
      <c r="E109" s="3252" t="str">
        <f>IF(项目基本情况!E8="已注销及未注销","4.抵押担保权已注销时的房地产抵押价值",IF(项目基本情况!E8="已注销","3.抵押担保权已注销时的房地产抵押价值","——"))</f>
        <v>——</v>
      </c>
      <c r="F109" s="3253"/>
      <c r="G109" s="2011" t="s">
        <v>2119</v>
      </c>
      <c r="H109" s="2821" t="str">
        <f>IF(E109="——","——",H101-H105-H106)</f>
        <v>——</v>
      </c>
      <c r="I109" s="132"/>
    </row>
    <row r="110" spans="1:35" ht="18.75" customHeight="1">
      <c r="A110" s="132"/>
      <c r="B110" s="132"/>
      <c r="C110" s="132"/>
      <c r="D110" s="132"/>
      <c r="E110" s="3252"/>
      <c r="F110" s="3253"/>
      <c r="G110" s="2011" t="s">
        <v>2121</v>
      </c>
      <c r="H110" s="2779" t="str">
        <f>IF(H109="——","——",ROUND(H109*10000/'数据-汇总表'!E3,0))</f>
        <v>——</v>
      </c>
      <c r="I110" s="132"/>
    </row>
    <row r="111" spans="1:35" ht="18.75" customHeight="1">
      <c r="A111" s="132"/>
      <c r="B111" s="132"/>
      <c r="C111" s="132"/>
      <c r="D111" s="132"/>
      <c r="E111" s="3287" t="str">
        <f>IF(项目基本情况!E9="抵押净值",IF(OR(项目基本情况!E8="已注销",项目基本情况!E8="房地产抵押价值"),"4.抵押净值","5.抵押净值"),"——")</f>
        <v>——</v>
      </c>
      <c r="F111" s="3254"/>
      <c r="G111" s="2011" t="s">
        <v>2119</v>
      </c>
      <c r="H111" s="2818" t="str">
        <f>IF(E111="——","——",N59)</f>
        <v>——</v>
      </c>
      <c r="I111" s="132"/>
    </row>
    <row r="112" spans="1:35" ht="18.75" customHeight="1" thickBot="1">
      <c r="A112" s="132"/>
      <c r="B112" s="132"/>
      <c r="C112" s="132"/>
      <c r="D112" s="132"/>
      <c r="E112" s="3288"/>
      <c r="F112" s="3289"/>
      <c r="G112" s="2014" t="s">
        <v>2121</v>
      </c>
      <c r="H112" s="2822" t="str">
        <f>IF(E111="——","——",N61)</f>
        <v>——</v>
      </c>
      <c r="I112" s="132"/>
    </row>
    <row r="113" spans="1:27" ht="18.75" customHeight="1">
      <c r="A113" s="132"/>
      <c r="B113" s="132"/>
      <c r="C113" s="132"/>
      <c r="D113" s="132"/>
      <c r="E113" s="3257" t="s">
        <v>2127</v>
      </c>
      <c r="F113" s="3257"/>
      <c r="G113" s="3257"/>
      <c r="H113" s="3257"/>
      <c r="I113" s="132"/>
    </row>
    <row r="114" spans="1:27" ht="3.75" customHeight="1">
      <c r="A114" s="1931"/>
      <c r="B114" s="1931"/>
      <c r="C114" s="1931"/>
      <c r="D114" s="1931"/>
      <c r="E114" s="1993"/>
      <c r="F114" s="1993"/>
      <c r="G114" s="1993"/>
      <c r="H114" s="1993"/>
      <c r="I114" s="1931"/>
    </row>
    <row r="115" spans="1:27" ht="18.75" customHeight="1">
      <c r="A115" s="3270" t="s">
        <v>2129</v>
      </c>
      <c r="B115" s="3271"/>
      <c r="C115" s="3271"/>
      <c r="D115" s="3271"/>
      <c r="E115" s="3271"/>
      <c r="F115" s="3271"/>
      <c r="G115" s="3271"/>
      <c r="H115" s="3271"/>
      <c r="I115" s="3272"/>
    </row>
    <row r="116" spans="1:27" ht="27" customHeight="1">
      <c r="A116" s="3223" t="s">
        <v>2130</v>
      </c>
      <c r="B116" s="3258" t="s">
        <v>2131</v>
      </c>
      <c r="C116" s="3258" t="s">
        <v>2132</v>
      </c>
      <c r="D116" s="3274" t="s">
        <v>2133</v>
      </c>
      <c r="E116" s="3275"/>
      <c r="F116" s="3266" t="s">
        <v>2134</v>
      </c>
      <c r="G116" s="3266"/>
      <c r="H116" s="3223" t="s">
        <v>2135</v>
      </c>
      <c r="I116" s="3223"/>
    </row>
    <row r="117" spans="1:27" ht="18.75" customHeight="1">
      <c r="A117" s="3223"/>
      <c r="B117" s="3259"/>
      <c r="C117" s="3259"/>
      <c r="D117" s="2550" t="s">
        <v>2136</v>
      </c>
      <c r="E117" s="2550" t="s">
        <v>2137</v>
      </c>
      <c r="F117" s="2550" t="s">
        <v>2136</v>
      </c>
      <c r="G117" s="2550" t="s">
        <v>2138</v>
      </c>
      <c r="H117" s="2550" t="s">
        <v>2136</v>
      </c>
      <c r="I117" s="2550" t="s">
        <v>2138</v>
      </c>
    </row>
    <row r="118" spans="1:27" ht="24.75" customHeight="1">
      <c r="A118" s="2823" t="str">
        <f>项目基本情况!S2</f>
        <v>出让国有建设用地使用权及在建建筑物房地产</v>
      </c>
      <c r="B118" s="2550">
        <f>M18</f>
        <v>0</v>
      </c>
      <c r="C118" s="2550">
        <f>M19</f>
        <v>0</v>
      </c>
      <c r="D118" s="2550">
        <f ca="1">ROUND(IF(D32="总价",C34,E118*B118/10000),0)</f>
        <v>47201</v>
      </c>
      <c r="E118" s="2550" t="e">
        <f ca="1">ROUND(IF(C33="自定义",IF(D32="楼面单价",C34,D118*10000/B118),I118-G118),0)</f>
        <v>#DIV/0!</v>
      </c>
      <c r="F118" s="2550">
        <f ca="1">ROUND(IF(D32="总价",C35,G118*B118/10000),0)</f>
        <v>23248</v>
      </c>
      <c r="G118" s="2550" t="e">
        <f ca="1">ROUND(IF(D32="楼面单价",C35,F118*10000/B118),0)</f>
        <v>#DIV/0!</v>
      </c>
      <c r="H118" s="2550">
        <f ca="1">ROUND(IF(D32="总价",C32,I118*B118/10000),0)</f>
        <v>70449</v>
      </c>
      <c r="I118" s="2550" t="e">
        <f ca="1">ROUND(IF(D32="楼面单价",C32,H118*10000/B118),0)</f>
        <v>#DIV/0!</v>
      </c>
    </row>
    <row r="119" spans="1:27" ht="18.75" customHeight="1">
      <c r="A119" s="3223" t="s">
        <v>2139</v>
      </c>
      <c r="B119" s="3223"/>
      <c r="C119" s="3223"/>
      <c r="D119" s="3263" t="str">
        <f ca="1">NUMBERSTRING(INT(D118*10000),2)&amp;"元整"</f>
        <v>肆亿柒仟贰佰零壹万元整</v>
      </c>
      <c r="E119" s="3265"/>
      <c r="F119" s="3263" t="str">
        <f ca="1">NUMBERSTRING(INT(F118*10000),2)&amp;"元整"</f>
        <v>贰亿叁仟贰佰肆拾捌万元整</v>
      </c>
      <c r="G119" s="3265"/>
      <c r="H119" s="3263" t="str">
        <f ca="1">NUMBERSTRING(INT(H118*10000),2)&amp;"元整"</f>
        <v>柒亿零肆佰肆拾玖万元整</v>
      </c>
      <c r="I119" s="3265"/>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67" t="s">
        <v>2139</v>
      </c>
      <c r="B121" s="3268"/>
      <c r="C121" s="3269"/>
      <c r="D121" s="3263" t="str">
        <f>IF(D120=0,"零元整",NUMBERSTRING(INT(D120*10000),2)&amp;"元整")</f>
        <v>零元整</v>
      </c>
      <c r="E121" s="3264"/>
      <c r="F121" s="3264"/>
      <c r="G121" s="3264"/>
      <c r="H121" s="3264"/>
      <c r="I121" s="3265"/>
      <c r="AA121" s="732"/>
    </row>
    <row r="122" spans="1:27" ht="18.75" customHeight="1">
      <c r="A122" s="3254" t="str">
        <f>IF(项目基本情况!B9="房地产市场价值","",MID(E107,3,LEN(E107)-2))</f>
        <v>房地产抵押价值</v>
      </c>
      <c r="B122" s="3254"/>
      <c r="C122" s="3254"/>
      <c r="D122" s="3290">
        <f ca="1">H107</f>
        <v>70449</v>
      </c>
      <c r="E122" s="3291"/>
      <c r="F122" s="3291"/>
      <c r="G122" s="3291"/>
      <c r="H122" s="3291"/>
      <c r="I122" s="3292"/>
      <c r="AA122" s="732"/>
    </row>
    <row r="123" spans="1:27" ht="18.75" customHeight="1">
      <c r="A123" s="3223" t="s">
        <v>2139</v>
      </c>
      <c r="B123" s="3223"/>
      <c r="C123" s="3223"/>
      <c r="D123" s="3263" t="str">
        <f ca="1">NUMBERSTRING(INT(D122*10000),2)&amp;"元整"</f>
        <v>柒亿零肆佰肆拾玖万元整</v>
      </c>
      <c r="E123" s="3264"/>
      <c r="F123" s="3264"/>
      <c r="G123" s="3264"/>
      <c r="H123" s="3264"/>
      <c r="I123" s="3265"/>
      <c r="AA123" s="732"/>
    </row>
    <row r="124" spans="1:27" ht="18.75" customHeight="1">
      <c r="A124" s="3254" t="str">
        <f>IF(项目基本情况!B9="房地产市场价值","",MID(E109,3,LEN(E109)-2))</f>
        <v/>
      </c>
      <c r="B124" s="3254"/>
      <c r="C124" s="3254"/>
      <c r="D124" s="3290" t="str">
        <f>H109</f>
        <v>——</v>
      </c>
      <c r="E124" s="3291"/>
      <c r="F124" s="3291"/>
      <c r="G124" s="3291"/>
      <c r="H124" s="3291"/>
      <c r="I124" s="3292"/>
      <c r="AA124" s="732"/>
    </row>
    <row r="125" spans="1:27" ht="18.75" customHeight="1">
      <c r="A125" s="3223" t="s">
        <v>2139</v>
      </c>
      <c r="B125" s="3223"/>
      <c r="C125" s="3223"/>
      <c r="D125" s="3263" t="e">
        <f>NUMBERSTRING(INT(D124*10000),2)&amp;"元整"</f>
        <v>#VALUE!</v>
      </c>
      <c r="E125" s="3264"/>
      <c r="F125" s="3264"/>
      <c r="G125" s="3264"/>
      <c r="H125" s="3264"/>
      <c r="I125" s="3265"/>
      <c r="AA125" s="732"/>
    </row>
    <row r="126" spans="1:27" ht="18.75" customHeight="1">
      <c r="A126" s="3254" t="str">
        <f>IF(项目基本情况!B9="房地产市场价值","",MID(E111,3,LEN(E111)-2))</f>
        <v/>
      </c>
      <c r="B126" s="3254"/>
      <c r="C126" s="3254"/>
      <c r="D126" s="3290" t="str">
        <f>H111</f>
        <v>——</v>
      </c>
      <c r="E126" s="3291"/>
      <c r="F126" s="3291"/>
      <c r="G126" s="3291"/>
      <c r="H126" s="3291"/>
      <c r="I126" s="3292"/>
      <c r="AA126" s="732"/>
    </row>
    <row r="127" spans="1:27" ht="18.75" customHeight="1">
      <c r="A127" s="3223" t="s">
        <v>2139</v>
      </c>
      <c r="B127" s="3223"/>
      <c r="C127" s="3223"/>
      <c r="D127" s="3263" t="e">
        <f>NUMBERSTRING(INT(D126*10000),2)&amp;"元整"</f>
        <v>#VALUE!</v>
      </c>
      <c r="E127" s="3264"/>
      <c r="F127" s="3264"/>
      <c r="G127" s="3264"/>
      <c r="H127" s="3264"/>
      <c r="I127" s="3265"/>
      <c r="AA127" s="732"/>
    </row>
    <row r="128" spans="1:27" ht="21.75" customHeight="1">
      <c r="A128" s="3273" t="s">
        <v>2140</v>
      </c>
      <c r="B128" s="3273"/>
      <c r="C128" s="3273"/>
      <c r="D128" s="3273"/>
      <c r="E128" s="3273"/>
      <c r="F128" s="3273"/>
      <c r="G128" s="3273"/>
      <c r="H128" s="3273"/>
      <c r="I128" s="3273"/>
      <c r="AA128" s="732"/>
    </row>
    <row r="129" spans="1:35" ht="21.75" customHeight="1">
      <c r="A129" s="2015" t="s">
        <v>2141</v>
      </c>
      <c r="B129" s="2016"/>
      <c r="C129" s="2017" t="s">
        <v>2142</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2143</v>
      </c>
      <c r="G135" s="2032"/>
      <c r="H135" s="2032"/>
      <c r="I135" s="2033" t="s">
        <v>2144</v>
      </c>
    </row>
    <row r="136" spans="1:35" ht="21.75" customHeight="1">
      <c r="A136" s="732"/>
      <c r="B136" s="2034" t="s">
        <v>2145</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2146</v>
      </c>
    </row>
    <row r="139" spans="1:35" ht="21.75" customHeight="1">
      <c r="A139" s="732"/>
      <c r="B139" s="2034" t="s">
        <v>2147</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2146</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50"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2148</v>
      </c>
      <c r="B1" s="1652"/>
      <c r="C1" s="202"/>
      <c r="D1" s="202"/>
      <c r="E1" s="202"/>
      <c r="F1" s="202"/>
      <c r="G1" s="1286">
        <f>MATCH(B1,'数据-取费表'!A6:A16,0)+5</f>
        <v>8</v>
      </c>
    </row>
    <row r="2" spans="1:9" s="204" customFormat="1" ht="18" customHeight="1">
      <c r="A2" s="205" t="s">
        <v>2149</v>
      </c>
      <c r="B2" s="206">
        <f ca="1">IF(D2="——",C52,C52-E2)</f>
        <v>79529</v>
      </c>
      <c r="C2" s="203" t="s">
        <v>2150</v>
      </c>
      <c r="D2" s="2037" t="s">
        <v>70</v>
      </c>
      <c r="E2" s="1329" t="e">
        <f ca="1">SUMIF(INDIRECT("'"&amp;G2&amp;"'"&amp;"!A:A"),"承租人权益价值",INDIRECT("'"&amp;G2&amp;"'"&amp;"!c:c"))</f>
        <v>#REF!</v>
      </c>
      <c r="F2" s="2038" t="s">
        <v>2150</v>
      </c>
      <c r="G2" s="2039"/>
    </row>
    <row r="3" spans="1:9" s="204" customFormat="1" ht="18" customHeight="1" thickBot="1">
      <c r="A3" s="207" t="s">
        <v>2151</v>
      </c>
      <c r="B3" s="208">
        <f ca="1">ROUND(B2*10000/(IF(B1="",'数据-汇总表'!E3,INDIRECT("'数据-取费表'!k"&amp;$G$1))),0)</f>
        <v>5949</v>
      </c>
      <c r="C3" s="203" t="s">
        <v>2152</v>
      </c>
      <c r="D3" s="203"/>
      <c r="E3" s="203"/>
      <c r="F3" s="203"/>
      <c r="G3" s="203"/>
    </row>
    <row r="4" spans="1:9" s="212" customFormat="1" ht="15.75">
      <c r="A4" s="209" t="s">
        <v>2153</v>
      </c>
      <c r="B4" s="210"/>
      <c r="C4" s="210"/>
      <c r="D4" s="210"/>
      <c r="E4" s="210"/>
      <c r="F4" s="210"/>
      <c r="G4" s="211"/>
    </row>
    <row r="5" spans="1:9" s="218" customFormat="1" ht="13.5" customHeight="1">
      <c r="A5" s="259" t="s">
        <v>2154</v>
      </c>
      <c r="B5" s="214" t="s">
        <v>2155</v>
      </c>
      <c r="C5" s="215">
        <f>C6+C7+C8</f>
        <v>43480</v>
      </c>
      <c r="D5" s="215" t="s">
        <v>2156</v>
      </c>
      <c r="E5" s="216" t="s">
        <v>2157</v>
      </c>
      <c r="F5" s="216" t="s">
        <v>2158</v>
      </c>
      <c r="G5" s="217"/>
    </row>
    <row r="6" spans="1:9" s="218" customFormat="1" ht="13.5" customHeight="1">
      <c r="A6" s="884" t="s">
        <v>2159</v>
      </c>
      <c r="B6" s="219" t="s">
        <v>2160</v>
      </c>
      <c r="C6" s="220">
        <f>'土地比较法-住宅、综合'!F56</f>
        <v>42193</v>
      </c>
      <c r="D6" s="221"/>
      <c r="E6" s="222"/>
      <c r="F6" s="222"/>
      <c r="G6" s="223"/>
    </row>
    <row r="7" spans="1:9" s="218" customFormat="1" ht="13.5" customHeight="1">
      <c r="A7" s="884" t="s">
        <v>2161</v>
      </c>
      <c r="B7" s="219" t="s">
        <v>2162</v>
      </c>
      <c r="C7" s="224">
        <f>ROUND(C6*F7,0)</f>
        <v>1287</v>
      </c>
      <c r="D7" s="224"/>
      <c r="E7" s="222"/>
      <c r="F7" s="225">
        <f>IF(项目基本情况!B8="出让",0,'数据-取费表'!B48+'数据-取费表'!B49)</f>
        <v>3.0499999999999999E-2</v>
      </c>
      <c r="G7" s="223"/>
    </row>
    <row r="8" spans="1:9" s="227" customFormat="1">
      <c r="A8" s="884" t="s">
        <v>2163</v>
      </c>
      <c r="B8" s="219" t="s">
        <v>2164</v>
      </c>
      <c r="C8" s="224">
        <f>IF(G8="已包含在土地购买价格中","0",IF(B1="",'数据-取费表'!B29,IF(G9="全部缴纳",C9+C10,H9)))</f>
        <v>0</v>
      </c>
      <c r="D8" s="226"/>
      <c r="E8" s="224"/>
      <c r="F8" s="225"/>
      <c r="G8" s="2040" t="s">
        <v>3076</v>
      </c>
    </row>
    <row r="9" spans="1:9" s="218" customFormat="1" ht="13.5" customHeight="1">
      <c r="A9" s="885" t="s">
        <v>800</v>
      </c>
      <c r="B9" s="228" t="s">
        <v>2165</v>
      </c>
      <c r="C9" s="229">
        <f ca="1">ROUND(D9*E9/10000,0)</f>
        <v>2001</v>
      </c>
      <c r="D9" s="952">
        <f ca="1">IF(B1="",'数据-汇总表'!E5,IF(INDIRECT("'数据-取费表'!c"&amp;$G$1)="住宅",INDIRECT("'数据-取费表'!k"&amp;$G$1),0))</f>
        <v>125054.78</v>
      </c>
      <c r="E9" s="229">
        <f>'数据-取费表'!B27</f>
        <v>160</v>
      </c>
      <c r="F9" s="225"/>
      <c r="G9" s="2041" t="s">
        <v>3077</v>
      </c>
      <c r="H9" s="1297"/>
      <c r="I9" s="2042" t="s">
        <v>2166</v>
      </c>
    </row>
    <row r="10" spans="1:9" s="218" customFormat="1" ht="13.5" customHeight="1">
      <c r="A10" s="885" t="s">
        <v>801</v>
      </c>
      <c r="B10" s="228" t="s">
        <v>2167</v>
      </c>
      <c r="C10" s="229">
        <f ca="1">ROUND(D10*E10/10000,0)</f>
        <v>172</v>
      </c>
      <c r="D10" s="952">
        <f ca="1">IF(B1="",'数据-汇总表'!E6,IF(INDIRECT("'数据-取费表'!c"&amp;$G$1)="住宅",INDIRECT("'数据-取费表'!s"&amp;$G$1),INDIRECT("'数据-取费表'!k"&amp;$G$1)+INDIRECT("'数据-取费表'!s"&amp;$G$1)))</f>
        <v>8620.6900000000023</v>
      </c>
      <c r="E10" s="229">
        <f>'数据-取费表'!B28</f>
        <v>200</v>
      </c>
      <c r="F10" s="225"/>
      <c r="G10" s="230"/>
    </row>
    <row r="11" spans="1:9" s="218" customFormat="1" ht="13.5" hidden="1" customHeight="1">
      <c r="A11" s="231" t="s">
        <v>7</v>
      </c>
      <c r="B11" s="219" t="s">
        <v>2168</v>
      </c>
      <c r="C11" s="215"/>
      <c r="D11" s="954"/>
      <c r="E11" s="222"/>
      <c r="F11" s="222"/>
      <c r="G11" s="223"/>
    </row>
    <row r="12" spans="1:9" s="218" customFormat="1" ht="13.5" hidden="1" customHeight="1">
      <c r="A12" s="231" t="s">
        <v>8</v>
      </c>
      <c r="B12" s="219" t="s">
        <v>2169</v>
      </c>
      <c r="C12" s="215">
        <v>0</v>
      </c>
      <c r="D12" s="954"/>
      <c r="E12" s="232"/>
      <c r="F12" s="225">
        <v>3.0499999999999999E-2</v>
      </c>
      <c r="G12" s="223"/>
    </row>
    <row r="13" spans="1:9" s="218" customFormat="1" ht="13.5" hidden="1" customHeight="1">
      <c r="A13" s="231" t="s">
        <v>9</v>
      </c>
      <c r="B13" s="219" t="s">
        <v>2170</v>
      </c>
      <c r="C13" s="215"/>
      <c r="D13" s="954"/>
      <c r="E13" s="222"/>
      <c r="F13" s="222"/>
      <c r="G13" s="223"/>
    </row>
    <row r="14" spans="1:9" s="218" customFormat="1" ht="13.5" hidden="1" customHeight="1">
      <c r="A14" s="231" t="s">
        <v>10</v>
      </c>
      <c r="B14" s="219" t="s">
        <v>2171</v>
      </c>
      <c r="C14" s="215"/>
      <c r="D14" s="954"/>
      <c r="E14" s="222"/>
      <c r="F14" s="222"/>
      <c r="G14" s="223" t="s">
        <v>2172</v>
      </c>
    </row>
    <row r="15" spans="1:9" s="218" customFormat="1" ht="13.5" hidden="1" customHeight="1">
      <c r="A15" s="231" t="s">
        <v>11</v>
      </c>
      <c r="B15" s="219" t="s">
        <v>2173</v>
      </c>
      <c r="C15" s="224"/>
      <c r="D15" s="954"/>
      <c r="E15" s="222"/>
      <c r="F15" s="222"/>
      <c r="G15" s="223" t="s">
        <v>2174</v>
      </c>
    </row>
    <row r="16" spans="1:9" s="218" customFormat="1" ht="13.5" hidden="1" customHeight="1">
      <c r="A16" s="231" t="s">
        <v>12</v>
      </c>
      <c r="B16" s="219" t="s">
        <v>2171</v>
      </c>
      <c r="C16" s="224"/>
      <c r="D16" s="954"/>
      <c r="E16" s="222"/>
      <c r="F16" s="222"/>
      <c r="G16" s="223"/>
    </row>
    <row r="17" spans="1:7" s="218" customFormat="1" ht="13.5" hidden="1" customHeight="1">
      <c r="A17" s="231" t="s">
        <v>13</v>
      </c>
      <c r="B17" s="219" t="s">
        <v>2175</v>
      </c>
      <c r="C17" s="233"/>
      <c r="D17" s="955"/>
      <c r="E17" s="233"/>
      <c r="F17" s="233"/>
      <c r="G17" s="223" t="s">
        <v>2174</v>
      </c>
    </row>
    <row r="18" spans="1:7" s="218" customFormat="1" ht="13.5" hidden="1" customHeight="1">
      <c r="A18" s="231" t="s">
        <v>14</v>
      </c>
      <c r="B18" s="219" t="s">
        <v>2176</v>
      </c>
      <c r="C18" s="224">
        <v>0</v>
      </c>
      <c r="D18" s="954"/>
      <c r="E18" s="222"/>
      <c r="F18" s="225">
        <v>3.0499999999999999E-2</v>
      </c>
      <c r="G18" s="223" t="s">
        <v>2177</v>
      </c>
    </row>
    <row r="19" spans="1:7" s="227" customFormat="1" ht="13.5" customHeight="1">
      <c r="A19" s="259" t="s">
        <v>2178</v>
      </c>
      <c r="B19" s="214" t="s">
        <v>2179</v>
      </c>
      <c r="C19" s="215" t="str">
        <f>IF(G19="已包含在土地取得成本中","0",ROUND(D19*E19/10000,0))</f>
        <v>0</v>
      </c>
      <c r="D19" s="956">
        <f ca="1">D9+D10</f>
        <v>133675.47</v>
      </c>
      <c r="E19" s="215">
        <f>'数据-取费表'!B31</f>
        <v>200</v>
      </c>
      <c r="F19" s="235"/>
      <c r="G19" s="2040" t="s">
        <v>3078</v>
      </c>
    </row>
    <row r="20" spans="1:7" s="218" customFormat="1" ht="13.5" customHeight="1">
      <c r="A20" s="259" t="s">
        <v>2180</v>
      </c>
      <c r="B20" s="214" t="s">
        <v>2181</v>
      </c>
      <c r="C20" s="236">
        <f>ROUND((C5+C19)*F20,0)</f>
        <v>870</v>
      </c>
      <c r="D20" s="236"/>
      <c r="E20" s="236"/>
      <c r="F20" s="237">
        <f>'数据-取费表'!B37</f>
        <v>0.02</v>
      </c>
      <c r="G20" s="238" t="s">
        <v>2182</v>
      </c>
    </row>
    <row r="21" spans="1:7" s="218" customFormat="1" ht="13.5" customHeight="1">
      <c r="A21" s="259" t="s">
        <v>2183</v>
      </c>
      <c r="B21" s="214" t="s">
        <v>2184</v>
      </c>
      <c r="C21" s="239">
        <f>F21</f>
        <v>0.02</v>
      </c>
      <c r="D21" s="240" t="s">
        <v>2185</v>
      </c>
      <c r="E21" s="236"/>
      <c r="F21" s="237">
        <f>'数据-取费表'!B38</f>
        <v>0.02</v>
      </c>
      <c r="G21" s="238" t="s">
        <v>2186</v>
      </c>
    </row>
    <row r="22" spans="1:7" s="218" customFormat="1" ht="13.5" customHeight="1">
      <c r="A22" s="259" t="s">
        <v>2187</v>
      </c>
      <c r="B22" s="214" t="s">
        <v>2188</v>
      </c>
      <c r="C22" s="1262">
        <f ca="1">ROUND(SUM(C23:C25),0)</f>
        <v>1910</v>
      </c>
      <c r="D22" s="239">
        <f ca="1">C26</f>
        <v>4.0000000000000002E-4</v>
      </c>
      <c r="E22" s="240" t="s">
        <v>2185</v>
      </c>
      <c r="F22" s="241">
        <f ca="1">'数据-取费表'!B40</f>
        <v>4.3499999999999997E-2</v>
      </c>
      <c r="G22" s="238" t="str">
        <f>IF('数据-取费表'!B22&lt;=1,"单利计息","复利计息")</f>
        <v>复利计息</v>
      </c>
    </row>
    <row r="23" spans="1:7" s="218" customFormat="1" ht="13.5" customHeight="1">
      <c r="A23" s="886" t="s">
        <v>2189</v>
      </c>
      <c r="B23" s="219" t="s">
        <v>2190</v>
      </c>
      <c r="C23" s="1263">
        <f ca="1">ROUND(IF('数据-取费表'!B22&lt;=1,C5*F22*'数据-取费表'!B23,C5*(POWER((1+F22),'数据-取费表'!B23)-1)),0)</f>
        <v>1891</v>
      </c>
      <c r="D23" s="242"/>
      <c r="E23" s="242"/>
      <c r="F23" s="243"/>
      <c r="G23" s="244" t="s">
        <v>2191</v>
      </c>
    </row>
    <row r="24" spans="1:7" s="218" customFormat="1" ht="13.5" customHeight="1">
      <c r="A24" s="886" t="s">
        <v>2192</v>
      </c>
      <c r="B24" s="219" t="s">
        <v>2193</v>
      </c>
      <c r="C24" s="1263">
        <f ca="1">ROUND(IF('数据-取费表'!B22&lt;=1,C19*F22*('数据-取费表'!B19/2+'数据-取费表'!B21),C19*(POWER((1+F22),('数据-取费表'!B19/2+'数据-取费表'!B21))-1)),0)</f>
        <v>0</v>
      </c>
      <c r="D24" s="242"/>
      <c r="E24" s="242"/>
      <c r="F24" s="243"/>
      <c r="G24" s="244" t="s">
        <v>2194</v>
      </c>
    </row>
    <row r="25" spans="1:7" s="218" customFormat="1" ht="24">
      <c r="A25" s="886" t="s">
        <v>2195</v>
      </c>
      <c r="B25" s="219" t="s">
        <v>2196</v>
      </c>
      <c r="C25" s="1263">
        <f ca="1">ROUND(IF('数据-取费表'!B22&lt;=1,C20*F22*'数据-取费表'!B23/2,C20*(POWER((1+F22),'数据-取费表'!B23/2)-1)),0)</f>
        <v>19</v>
      </c>
      <c r="D25" s="242"/>
      <c r="E25" s="245"/>
      <c r="F25" s="243"/>
      <c r="G25" s="246" t="s">
        <v>2197</v>
      </c>
    </row>
    <row r="26" spans="1:7" s="218" customFormat="1">
      <c r="A26" s="886" t="s">
        <v>795</v>
      </c>
      <c r="B26" s="219" t="s">
        <v>2198</v>
      </c>
      <c r="C26" s="242">
        <f ca="1">ROUND(IF('数据-取费表'!B22&lt;=1,F21*F22*'数据-取费表'!B23/2,F21*(POWER((1+F22),'数据-取费表'!B23/2)-1)),4)</f>
        <v>4.0000000000000002E-4</v>
      </c>
      <c r="D26" s="242"/>
      <c r="E26" s="245"/>
      <c r="F26" s="243"/>
      <c r="G26" s="247"/>
    </row>
    <row r="27" spans="1:7" s="218" customFormat="1" ht="24.75">
      <c r="A27" s="259" t="s">
        <v>2199</v>
      </c>
      <c r="B27" s="248" t="s">
        <v>2200</v>
      </c>
      <c r="C27" s="249">
        <f ca="1">C28</f>
        <v>3105</v>
      </c>
      <c r="D27" s="239">
        <f ca="1">C29</f>
        <v>1.4E-3</v>
      </c>
      <c r="E27" s="240" t="s">
        <v>2201</v>
      </c>
      <c r="F27" s="250">
        <f ca="1">IF(B1="",'数据-取费表'!Q16,INDIRECT("'数据-取费表'!q"&amp;$G$1))</f>
        <v>0.14000000000000001</v>
      </c>
      <c r="G27" s="251" t="s">
        <v>2202</v>
      </c>
    </row>
    <row r="28" spans="1:7" s="218" customFormat="1" ht="13.5" customHeight="1">
      <c r="A28" s="886" t="s">
        <v>791</v>
      </c>
      <c r="B28" s="252" t="s">
        <v>2203</v>
      </c>
      <c r="C28" s="253">
        <f ca="1">ROUND((C5+C19+C20)*F27*'数据-取费表'!B21/'数据-取费表'!B20,0)</f>
        <v>3105</v>
      </c>
      <c r="D28" s="239"/>
      <c r="E28" s="240"/>
      <c r="F28" s="250"/>
      <c r="G28" s="251"/>
    </row>
    <row r="29" spans="1:7" s="218" customFormat="1" ht="13.5" customHeight="1">
      <c r="A29" s="886" t="s">
        <v>792</v>
      </c>
      <c r="B29" s="252" t="s">
        <v>2204</v>
      </c>
      <c r="C29" s="242">
        <f ca="1">ROUND(C21*F27*'数据-取费表'!B21/'数据-取费表'!B20,4)</f>
        <v>1.4E-3</v>
      </c>
      <c r="D29" s="239"/>
      <c r="E29" s="240"/>
      <c r="F29" s="250"/>
      <c r="G29" s="251"/>
    </row>
    <row r="30" spans="1:7" s="218" customFormat="1" ht="13.5" customHeight="1">
      <c r="A30" s="259" t="s">
        <v>2205</v>
      </c>
      <c r="B30" s="214" t="s">
        <v>2206</v>
      </c>
      <c r="C30" s="239">
        <f>ROUND(F30/(1+'数据-取费表'!C42),4)</f>
        <v>5.2400000000000002E-2</v>
      </c>
      <c r="D30" s="240" t="s">
        <v>2201</v>
      </c>
      <c r="E30" s="245"/>
      <c r="F30" s="241">
        <f>'数据-取费表'!B41</f>
        <v>5.5000000000000007E-2</v>
      </c>
      <c r="G30" s="238" t="s">
        <v>2207</v>
      </c>
    </row>
    <row r="31" spans="1:7" ht="16.5" customHeight="1">
      <c r="A31" s="213">
        <v>1</v>
      </c>
      <c r="B31" s="214" t="s">
        <v>2208</v>
      </c>
      <c r="C31" s="215">
        <f ca="1">ROUND((C5+C19+C20+C22+C27)/(1-C21-D22-D27-C30),0)</f>
        <v>53321</v>
      </c>
      <c r="D31" s="234"/>
      <c r="E31" s="215"/>
      <c r="F31" s="254"/>
      <c r="G31" s="238" t="s">
        <v>2209</v>
      </c>
    </row>
    <row r="32" spans="1:7" s="212" customFormat="1" ht="15.75">
      <c r="A32" s="256" t="s">
        <v>2210</v>
      </c>
      <c r="B32" s="257"/>
      <c r="C32" s="257"/>
      <c r="D32" s="257"/>
      <c r="E32" s="257"/>
      <c r="F32" s="257"/>
      <c r="G32" s="258"/>
    </row>
    <row r="33" spans="1:7" s="218" customFormat="1" ht="13.5" customHeight="1">
      <c r="A33" s="259" t="s">
        <v>782</v>
      </c>
      <c r="B33" s="214" t="s">
        <v>2211</v>
      </c>
      <c r="C33" s="260">
        <f ca="1">SUM(C34:C38)</f>
        <v>20449</v>
      </c>
      <c r="D33" s="236"/>
      <c r="E33" s="216"/>
      <c r="F33" s="245"/>
      <c r="G33" s="238"/>
    </row>
    <row r="34" spans="1:7" s="262" customFormat="1" ht="13.5" customHeight="1">
      <c r="A34" s="886" t="s">
        <v>791</v>
      </c>
      <c r="B34" s="219" t="s">
        <v>2212</v>
      </c>
      <c r="C34" s="224">
        <f ca="1">IF(B1="",IF(F34=100%,'数据-取费表'!M16,'数据-取费表'!O16),IF(F34=100%,INDIRECT("'数据-取费表'!m"&amp;$G$1)+INDIRECT("'数据-取费表'!t"&amp;$G$1),INDIRECT("'数据-取费表'!o"&amp;$G$1)+INDIRECT("'数据-取费表'!aq"&amp;$G$1)))</f>
        <v>17345</v>
      </c>
      <c r="D34" s="221"/>
      <c r="E34" s="224"/>
      <c r="F34" s="261">
        <f ca="1">IF('数据-取费表'!B24=0,1,IF(B1="",'数据-取费表'!N16,INDIRECT("'数据-取费表'!n"&amp;$G$1)))</f>
        <v>0.5</v>
      </c>
      <c r="G34" s="223" t="s">
        <v>2213</v>
      </c>
    </row>
    <row r="35" spans="1:7" ht="13.5" customHeight="1">
      <c r="A35" s="886" t="s">
        <v>796</v>
      </c>
      <c r="B35" s="219" t="s">
        <v>2214</v>
      </c>
      <c r="C35" s="224">
        <f ca="1">ROUND(C34*F35,0)</f>
        <v>694</v>
      </c>
      <c r="D35" s="224"/>
      <c r="E35" s="224"/>
      <c r="F35" s="263">
        <f>'数据-取费表'!B33</f>
        <v>0.04</v>
      </c>
      <c r="G35" s="223" t="s">
        <v>2215</v>
      </c>
    </row>
    <row r="36" spans="1:7" ht="24">
      <c r="A36" s="886" t="s">
        <v>797</v>
      </c>
      <c r="B36" s="219" t="s">
        <v>2216</v>
      </c>
      <c r="C36" s="224">
        <f ca="1">ROUND(IF(B1="",SUMIF('数据-取费表'!C:C,"住宅",IF(F34=100%,'数据-取费表'!M:M,'数据-取费表'!O:O))*F36,IF(INDIRECT("'数据-取费表'!c"&amp;$G$1)="住宅",IF(F34=100%,INDIRECT("'数据-取费表'!m"&amp;$G$1)*F36,INDIRECT("'数据-取费表'!o"&amp;$G$1)*F36),0)),0)</f>
        <v>813</v>
      </c>
      <c r="D36" s="224"/>
      <c r="E36" s="224"/>
      <c r="F36" s="263">
        <f>'数据-取费表'!B34</f>
        <v>0.05</v>
      </c>
      <c r="G36" s="264" t="s">
        <v>2217</v>
      </c>
    </row>
    <row r="37" spans="1:7" s="262" customFormat="1" ht="13.5" customHeight="1">
      <c r="A37" s="886" t="s">
        <v>798</v>
      </c>
      <c r="B37" s="219" t="s">
        <v>2218</v>
      </c>
      <c r="C37" s="253">
        <f ca="1">ROUND(E37*D37*F34/10000,0)</f>
        <v>1337</v>
      </c>
      <c r="D37" s="221">
        <f ca="1">D19</f>
        <v>133675.47</v>
      </c>
      <c r="E37" s="253">
        <f>'数据-取费表'!B35</f>
        <v>200</v>
      </c>
      <c r="F37" s="263"/>
      <c r="G37" s="265" t="s">
        <v>2219</v>
      </c>
    </row>
    <row r="38" spans="1:7" ht="13.5" customHeight="1">
      <c r="A38" s="886" t="s">
        <v>799</v>
      </c>
      <c r="B38" s="219" t="s">
        <v>2220</v>
      </c>
      <c r="C38" s="224">
        <f ca="1">ROUND(C34*F38,0)</f>
        <v>260</v>
      </c>
      <c r="D38" s="224"/>
      <c r="E38" s="224"/>
      <c r="F38" s="263">
        <f>'数据-取费表'!B36</f>
        <v>1.4999999999999999E-2</v>
      </c>
      <c r="G38" s="223" t="s">
        <v>2215</v>
      </c>
    </row>
    <row r="39" spans="1:7" s="218" customFormat="1" ht="13.5" customHeight="1">
      <c r="A39" s="259" t="s">
        <v>2221</v>
      </c>
      <c r="B39" s="214" t="s">
        <v>2222</v>
      </c>
      <c r="C39" s="236">
        <f ca="1">ROUND(C33*F20,0)</f>
        <v>409</v>
      </c>
      <c r="D39" s="236"/>
      <c r="E39" s="236"/>
      <c r="F39" s="2533">
        <f>F20</f>
        <v>0.02</v>
      </c>
      <c r="G39" s="238" t="s">
        <v>2223</v>
      </c>
    </row>
    <row r="40" spans="1:7" s="218" customFormat="1" ht="13.5" customHeight="1">
      <c r="A40" s="259" t="s">
        <v>2224</v>
      </c>
      <c r="B40" s="214" t="s">
        <v>2225</v>
      </c>
      <c r="C40" s="1493">
        <f>F21</f>
        <v>0.02</v>
      </c>
      <c r="D40" s="240" t="s">
        <v>2226</v>
      </c>
      <c r="E40" s="236"/>
      <c r="F40" s="2533">
        <f>F21</f>
        <v>0.02</v>
      </c>
      <c r="G40" s="238" t="s">
        <v>2227</v>
      </c>
    </row>
    <row r="41" spans="1:7" s="218" customFormat="1" ht="13.5" customHeight="1">
      <c r="A41" s="259" t="s">
        <v>2228</v>
      </c>
      <c r="B41" s="214" t="s">
        <v>2229</v>
      </c>
      <c r="C41" s="236">
        <f ca="1">ROUND(SUM(C42:C43),0)</f>
        <v>449</v>
      </c>
      <c r="D41" s="239">
        <f ca="1">C44</f>
        <v>4.0000000000000002E-4</v>
      </c>
      <c r="E41" s="240" t="s">
        <v>2226</v>
      </c>
      <c r="F41" s="2534">
        <f ca="1">F22</f>
        <v>4.3499999999999997E-2</v>
      </c>
      <c r="G41" s="238" t="str">
        <f>IF('数据-取费表'!B22&lt;=1,"单利计息","复利计息")</f>
        <v>复利计息</v>
      </c>
    </row>
    <row r="42" spans="1:7" ht="13.5" customHeight="1">
      <c r="A42" s="886" t="s">
        <v>791</v>
      </c>
      <c r="B42" s="219" t="s">
        <v>2230</v>
      </c>
      <c r="C42" s="242">
        <f ca="1">ROUND(IF('数据-取费表'!B22&lt;=1,C33*F22*'数据-取费表'!B21/2,C33*(POWER((1+F22),'数据-取费表'!B21/2)-1)),0)</f>
        <v>440</v>
      </c>
      <c r="D42" s="242"/>
      <c r="E42" s="242"/>
      <c r="F42" s="243"/>
      <c r="G42" s="3306" t="s">
        <v>2231</v>
      </c>
    </row>
    <row r="43" spans="1:7" ht="13.5" customHeight="1">
      <c r="A43" s="886" t="s">
        <v>792</v>
      </c>
      <c r="B43" s="219" t="s">
        <v>2232</v>
      </c>
      <c r="C43" s="242">
        <f ca="1">ROUND(IF('数据-取费表'!B22&lt;=1,C39*F22*'数据-取费表'!B21/2,C39*(POWER((1+F22),'数据-取费表'!B21/2)-1)),0)</f>
        <v>9</v>
      </c>
      <c r="D43" s="242"/>
      <c r="E43" s="242"/>
      <c r="F43" s="243"/>
      <c r="G43" s="3307"/>
    </row>
    <row r="44" spans="1:7" ht="13.5" customHeight="1">
      <c r="A44" s="886" t="s">
        <v>793</v>
      </c>
      <c r="B44" s="219" t="s">
        <v>2233</v>
      </c>
      <c r="C44" s="242">
        <f ca="1">ROUND(IF('数据-取费表'!B22&lt;=1,C40*F22*'数据-取费表'!B21/2,C40*(POWER((1+F22),'数据-取费表'!B21/2)-1)),4)</f>
        <v>4.0000000000000002E-4</v>
      </c>
      <c r="D44" s="242"/>
      <c r="E44" s="242"/>
      <c r="F44" s="243"/>
      <c r="G44" s="3308"/>
    </row>
    <row r="45" spans="1:7" s="218" customFormat="1" ht="13.5" customHeight="1">
      <c r="A45" s="259" t="s">
        <v>2234</v>
      </c>
      <c r="B45" s="248" t="s">
        <v>2200</v>
      </c>
      <c r="C45" s="249">
        <f ca="1">C46</f>
        <v>2920</v>
      </c>
      <c r="D45" s="239">
        <f ca="1">C47</f>
        <v>2.8E-3</v>
      </c>
      <c r="E45" s="240" t="s">
        <v>2226</v>
      </c>
      <c r="F45" s="2535">
        <f ca="1">F27</f>
        <v>0.14000000000000001</v>
      </c>
      <c r="G45" s="251" t="s">
        <v>2235</v>
      </c>
    </row>
    <row r="46" spans="1:7" s="218" customFormat="1" ht="13.5" customHeight="1">
      <c r="A46" s="886" t="s">
        <v>791</v>
      </c>
      <c r="B46" s="252" t="s">
        <v>2236</v>
      </c>
      <c r="C46" s="253">
        <f ca="1">ROUND((C33+C39)*F27,0)</f>
        <v>2920</v>
      </c>
      <c r="D46" s="267"/>
      <c r="E46" s="240"/>
      <c r="F46" s="250"/>
      <c r="G46" s="251"/>
    </row>
    <row r="47" spans="1:7" s="218" customFormat="1" ht="13.5" customHeight="1">
      <c r="A47" s="886" t="s">
        <v>792</v>
      </c>
      <c r="B47" s="252" t="s">
        <v>2237</v>
      </c>
      <c r="C47" s="242">
        <f ca="1">ROUND(C40*F27,4)</f>
        <v>2.8E-3</v>
      </c>
      <c r="D47" s="267"/>
      <c r="E47" s="240"/>
      <c r="F47" s="250"/>
      <c r="G47" s="251"/>
    </row>
    <row r="48" spans="1:7" s="218" customFormat="1" ht="13.5" customHeight="1">
      <c r="A48" s="259" t="s">
        <v>2199</v>
      </c>
      <c r="B48" s="214" t="s">
        <v>2238</v>
      </c>
      <c r="C48" s="1493">
        <f>ROUND(F30/(1+'数据-取费表'!C42),4)</f>
        <v>5.2400000000000002E-2</v>
      </c>
      <c r="D48" s="240" t="s">
        <v>2226</v>
      </c>
      <c r="E48" s="236"/>
      <c r="F48" s="2534">
        <f>F30</f>
        <v>5.5000000000000007E-2</v>
      </c>
      <c r="G48" s="238" t="s">
        <v>2239</v>
      </c>
    </row>
    <row r="49" spans="1:7" ht="16.5" customHeight="1">
      <c r="A49" s="259" t="s">
        <v>2205</v>
      </c>
      <c r="B49" s="214" t="s">
        <v>2240</v>
      </c>
      <c r="C49" s="236">
        <f ca="1">ROUND((C33+C39+C41+C45)/(1-C40-D41-D45-C48),0)</f>
        <v>26208</v>
      </c>
      <c r="D49" s="236"/>
      <c r="E49" s="236"/>
      <c r="F49" s="268"/>
      <c r="G49" s="238" t="s">
        <v>2241</v>
      </c>
    </row>
    <row r="50" spans="1:7" s="262" customFormat="1" ht="24">
      <c r="A50" s="259" t="s">
        <v>2242</v>
      </c>
      <c r="B50" s="214" t="s">
        <v>2243</v>
      </c>
      <c r="C50" s="236"/>
      <c r="D50" s="236"/>
      <c r="E50" s="236"/>
      <c r="F50" s="268">
        <f>IF('数据-取费表'!B24=0,'数据-取费表'!N16,1)</f>
        <v>1</v>
      </c>
      <c r="G50" s="251" t="s">
        <v>2244</v>
      </c>
    </row>
    <row r="51" spans="1:7" ht="16.5" customHeight="1">
      <c r="A51" s="259" t="s">
        <v>2245</v>
      </c>
      <c r="B51" s="214" t="s">
        <v>2246</v>
      </c>
      <c r="C51" s="236">
        <f ca="1">ROUND(C49*F50,0)</f>
        <v>26208</v>
      </c>
      <c r="D51" s="236"/>
      <c r="E51" s="236"/>
      <c r="F51" s="268"/>
      <c r="G51" s="238" t="s">
        <v>2247</v>
      </c>
    </row>
    <row r="52" spans="1:7" s="212" customFormat="1" ht="16.5" thickBot="1">
      <c r="A52" s="269" t="s">
        <v>2248</v>
      </c>
      <c r="B52" s="270"/>
      <c r="C52" s="271">
        <f ca="1">C31+C51</f>
        <v>79529</v>
      </c>
      <c r="D52" s="270"/>
      <c r="E52" s="270"/>
      <c r="F52" s="270"/>
      <c r="G52" s="272"/>
    </row>
    <row r="55" spans="1:7" ht="15">
      <c r="B55" s="274" t="s">
        <v>2249</v>
      </c>
      <c r="C55" s="275"/>
    </row>
    <row r="56" spans="1:7">
      <c r="B56" s="277" t="s">
        <v>1478</v>
      </c>
      <c r="C56" s="279">
        <f ca="1">1-C57</f>
        <v>0.66999999999999993</v>
      </c>
    </row>
    <row r="57" spans="1:7">
      <c r="B57" s="277" t="s">
        <v>1479</v>
      </c>
      <c r="C57" s="278">
        <f ca="1">ROUND(C51/C52,3)</f>
        <v>0.33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17" t="str">
        <f>项目基本情况!B1</f>
        <v>出让国有建设用地使用权及在建建筑物房地产抵押价值预评估</v>
      </c>
      <c r="C37" s="3117"/>
      <c r="D37" s="3117"/>
      <c r="E37" s="3117"/>
      <c r="F37" s="3117"/>
      <c r="G37" s="3117"/>
      <c r="H37" s="3117"/>
      <c r="I37" s="3117"/>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2148</v>
      </c>
      <c r="B1" s="1652"/>
      <c r="C1" s="2043" t="s">
        <v>2250</v>
      </c>
      <c r="D1" s="202"/>
      <c r="E1" s="202"/>
      <c r="F1" s="202"/>
      <c r="G1" s="1286">
        <f>MATCH(B1,'数据-取费表'!A6:A16,0)+5</f>
        <v>8</v>
      </c>
      <c r="H1" s="1190" t="str">
        <f>IF(ISERROR(FIND("住宅",B1)),"非住宅","住宅")</f>
        <v>非住宅</v>
      </c>
    </row>
    <row r="2" spans="1:8" s="204" customFormat="1" ht="18" customHeight="1">
      <c r="A2" s="205" t="s">
        <v>2149</v>
      </c>
      <c r="B2" s="206">
        <f ca="1">ROUND(IF(D2="——",C52/10000,C52/10000-E2),0)</f>
        <v>60008</v>
      </c>
      <c r="C2" s="203" t="s">
        <v>2150</v>
      </c>
      <c r="D2" s="2037" t="s">
        <v>70</v>
      </c>
      <c r="E2" s="1329" t="e">
        <f ca="1">SUMIF(INDIRECT("'"&amp;G2&amp;"'"&amp;"!A:A"),"承租人权益价值",INDIRECT("'"&amp;G2&amp;"'"&amp;"!c:c"))</f>
        <v>#REF!</v>
      </c>
      <c r="F2" s="2038" t="s">
        <v>2150</v>
      </c>
      <c r="G2" s="2039"/>
    </row>
    <row r="3" spans="1:8" s="204" customFormat="1" ht="18" customHeight="1" thickBot="1">
      <c r="A3" s="207" t="s">
        <v>2151</v>
      </c>
      <c r="B3" s="208">
        <f ca="1">ROUND(B2*10000/(IF(B1="",'数据-汇总表'!E3,INDIRECT("'数据-取费表'!k"&amp;$G$1))),0)</f>
        <v>4489</v>
      </c>
      <c r="C3" s="203" t="s">
        <v>2152</v>
      </c>
      <c r="D3" s="203"/>
      <c r="E3" s="203"/>
      <c r="F3" s="203"/>
      <c r="G3" s="203"/>
    </row>
    <row r="4" spans="1:8" s="212" customFormat="1" ht="15.75">
      <c r="A4" s="209" t="s">
        <v>2153</v>
      </c>
      <c r="B4" s="210"/>
      <c r="C4" s="210"/>
      <c r="D4" s="210"/>
      <c r="E4" s="210"/>
      <c r="F4" s="210"/>
      <c r="G4" s="211"/>
    </row>
    <row r="5" spans="1:8" s="218" customFormat="1" ht="13.5" customHeight="1">
      <c r="A5" s="259" t="s">
        <v>2154</v>
      </c>
      <c r="B5" s="214" t="s">
        <v>2155</v>
      </c>
      <c r="C5" s="215">
        <f ca="1">C6+C7+C8</f>
        <v>21732903</v>
      </c>
      <c r="D5" s="215" t="s">
        <v>2156</v>
      </c>
      <c r="E5" s="216" t="s">
        <v>2157</v>
      </c>
      <c r="F5" s="216" t="s">
        <v>2158</v>
      </c>
      <c r="G5" s="217"/>
    </row>
    <row r="6" spans="1:8" s="218" customFormat="1" ht="13.5" customHeight="1">
      <c r="A6" s="884" t="s">
        <v>2159</v>
      </c>
      <c r="B6" s="219" t="s">
        <v>2160</v>
      </c>
      <c r="C6" s="220"/>
      <c r="D6" s="221"/>
      <c r="E6" s="222"/>
      <c r="F6" s="222"/>
      <c r="G6" s="223"/>
    </row>
    <row r="7" spans="1:8" s="218" customFormat="1" ht="13.5" customHeight="1">
      <c r="A7" s="884" t="s">
        <v>2161</v>
      </c>
      <c r="B7" s="219" t="s">
        <v>2162</v>
      </c>
      <c r="C7" s="224">
        <f>ROUND(C6*F7,0)</f>
        <v>0</v>
      </c>
      <c r="D7" s="224"/>
      <c r="E7" s="222"/>
      <c r="F7" s="225">
        <f>IF(项目基本情况!B8="出让",0,'数据-取费表'!B48+'数据-取费表'!B49)</f>
        <v>3.0499999999999999E-2</v>
      </c>
      <c r="G7" s="223"/>
    </row>
    <row r="8" spans="1:8" s="227" customFormat="1">
      <c r="A8" s="884" t="s">
        <v>2163</v>
      </c>
      <c r="B8" s="219" t="s">
        <v>2164</v>
      </c>
      <c r="C8" s="224">
        <f ca="1">IF(G8="已包含在土地购买价格中",0,C9+C10)</f>
        <v>21732903</v>
      </c>
      <c r="D8" s="226"/>
      <c r="E8" s="224"/>
      <c r="F8" s="225"/>
      <c r="G8" s="2040"/>
    </row>
    <row r="9" spans="1:8" s="218" customFormat="1" ht="13.5" customHeight="1">
      <c r="A9" s="885" t="s">
        <v>800</v>
      </c>
      <c r="B9" s="228" t="s">
        <v>2165</v>
      </c>
      <c r="C9" s="229">
        <f ca="1">ROUND(D9*E9,0)</f>
        <v>20008765</v>
      </c>
      <c r="D9" s="952">
        <f ca="1">IF(B1="",'数据-汇总表'!E5,IF(INDIRECT("'数据-取费表'!c"&amp;$G$1)="住宅",INDIRECT("'数据-取费表'!k"&amp;$G$1),0))</f>
        <v>125054.78</v>
      </c>
      <c r="E9" s="229">
        <f>'数据-取费表'!B27</f>
        <v>160</v>
      </c>
      <c r="F9" s="225"/>
      <c r="G9" s="230"/>
    </row>
    <row r="10" spans="1:8" s="218" customFormat="1" ht="13.5" customHeight="1">
      <c r="A10" s="885" t="s">
        <v>801</v>
      </c>
      <c r="B10" s="228" t="s">
        <v>2167</v>
      </c>
      <c r="C10" s="229">
        <f ca="1">ROUND(D10*E10,0)</f>
        <v>1724138</v>
      </c>
      <c r="D10" s="952">
        <f ca="1">IF(B1="",'数据-汇总表'!E6,IF(INDIRECT("'数据-取费表'!c"&amp;$G$1)="住宅",INDIRECT("'数据-取费表'!s"&amp;$G$1),INDIRECT("'数据-取费表'!k"&amp;$G$1)+INDIRECT("'数据-取费表'!s"&amp;$G$1)))</f>
        <v>8620.6900000000023</v>
      </c>
      <c r="E10" s="229">
        <f>'数据-取费表'!B28</f>
        <v>200</v>
      </c>
      <c r="F10" s="225"/>
      <c r="G10" s="230"/>
    </row>
    <row r="11" spans="1:8" s="218" customFormat="1" ht="13.5" hidden="1" customHeight="1">
      <c r="A11" s="231" t="s">
        <v>7</v>
      </c>
      <c r="B11" s="219" t="s">
        <v>2168</v>
      </c>
      <c r="C11" s="215"/>
      <c r="D11" s="954"/>
      <c r="E11" s="222"/>
      <c r="F11" s="222"/>
      <c r="G11" s="223"/>
    </row>
    <row r="12" spans="1:8" s="218" customFormat="1" ht="13.5" hidden="1" customHeight="1">
      <c r="A12" s="231" t="s">
        <v>8</v>
      </c>
      <c r="B12" s="219" t="s">
        <v>2251</v>
      </c>
      <c r="C12" s="215">
        <v>0</v>
      </c>
      <c r="D12" s="954"/>
      <c r="E12" s="232"/>
      <c r="F12" s="225">
        <v>3.0499999999999999E-2</v>
      </c>
      <c r="G12" s="223"/>
    </row>
    <row r="13" spans="1:8" s="218" customFormat="1" ht="13.5" hidden="1" customHeight="1">
      <c r="A13" s="231" t="s">
        <v>9</v>
      </c>
      <c r="B13" s="219" t="s">
        <v>2252</v>
      </c>
      <c r="C13" s="215"/>
      <c r="D13" s="954"/>
      <c r="E13" s="222"/>
      <c r="F13" s="222"/>
      <c r="G13" s="223"/>
    </row>
    <row r="14" spans="1:8" s="218" customFormat="1" ht="13.5" hidden="1" customHeight="1">
      <c r="A14" s="231" t="s">
        <v>10</v>
      </c>
      <c r="B14" s="219" t="s">
        <v>2164</v>
      </c>
      <c r="C14" s="215"/>
      <c r="D14" s="954"/>
      <c r="E14" s="222"/>
      <c r="F14" s="222"/>
      <c r="G14" s="223" t="s">
        <v>2253</v>
      </c>
    </row>
    <row r="15" spans="1:8" s="218" customFormat="1" ht="13.5" hidden="1" customHeight="1">
      <c r="A15" s="231" t="s">
        <v>11</v>
      </c>
      <c r="B15" s="219" t="s">
        <v>2254</v>
      </c>
      <c r="C15" s="224"/>
      <c r="D15" s="954"/>
      <c r="E15" s="222"/>
      <c r="F15" s="222"/>
      <c r="G15" s="223" t="s">
        <v>2255</v>
      </c>
    </row>
    <row r="16" spans="1:8" s="218" customFormat="1" ht="13.5" hidden="1" customHeight="1">
      <c r="A16" s="231" t="s">
        <v>12</v>
      </c>
      <c r="B16" s="219" t="s">
        <v>2164</v>
      </c>
      <c r="C16" s="224"/>
      <c r="D16" s="954"/>
      <c r="E16" s="222"/>
      <c r="F16" s="222"/>
      <c r="G16" s="223"/>
    </row>
    <row r="17" spans="1:7" s="218" customFormat="1" ht="13.5" hidden="1" customHeight="1">
      <c r="A17" s="231" t="s">
        <v>13</v>
      </c>
      <c r="B17" s="219" t="s">
        <v>2256</v>
      </c>
      <c r="C17" s="233"/>
      <c r="D17" s="955"/>
      <c r="E17" s="233"/>
      <c r="F17" s="233"/>
      <c r="G17" s="223" t="s">
        <v>2255</v>
      </c>
    </row>
    <row r="18" spans="1:7" s="218" customFormat="1" ht="13.5" hidden="1" customHeight="1">
      <c r="A18" s="231" t="s">
        <v>14</v>
      </c>
      <c r="B18" s="219" t="s">
        <v>2257</v>
      </c>
      <c r="C18" s="224">
        <v>0</v>
      </c>
      <c r="D18" s="954"/>
      <c r="E18" s="222"/>
      <c r="F18" s="225">
        <v>3.0499999999999999E-2</v>
      </c>
      <c r="G18" s="223" t="s">
        <v>2258</v>
      </c>
    </row>
    <row r="19" spans="1:7" s="227" customFormat="1" ht="13.5" customHeight="1">
      <c r="A19" s="259" t="s">
        <v>2259</v>
      </c>
      <c r="B19" s="214" t="s">
        <v>2260</v>
      </c>
      <c r="C19" s="215">
        <f ca="1">IF(G19="已包含在土地取得成本中","0",ROUND(D19*E19,0))</f>
        <v>26735094</v>
      </c>
      <c r="D19" s="956">
        <f ca="1">D9+D10</f>
        <v>133675.47</v>
      </c>
      <c r="E19" s="215">
        <f>'数据-取费表'!B31</f>
        <v>200</v>
      </c>
      <c r="F19" s="235"/>
      <c r="G19" s="2040"/>
    </row>
    <row r="20" spans="1:7" s="218" customFormat="1" ht="13.5" customHeight="1">
      <c r="A20" s="259" t="s">
        <v>2261</v>
      </c>
      <c r="B20" s="214" t="s">
        <v>2262</v>
      </c>
      <c r="C20" s="236">
        <f ca="1">ROUND((C5+C19)*F20,0)</f>
        <v>969360</v>
      </c>
      <c r="D20" s="236"/>
      <c r="E20" s="236"/>
      <c r="F20" s="237">
        <f>'数据-取费表'!B37</f>
        <v>0.02</v>
      </c>
      <c r="G20" s="238" t="s">
        <v>2263</v>
      </c>
    </row>
    <row r="21" spans="1:7" s="218" customFormat="1" ht="13.5" customHeight="1">
      <c r="A21" s="259" t="s">
        <v>2264</v>
      </c>
      <c r="B21" s="214" t="s">
        <v>2265</v>
      </c>
      <c r="C21" s="239">
        <f>F21</f>
        <v>0.02</v>
      </c>
      <c r="D21" s="240" t="s">
        <v>2266</v>
      </c>
      <c r="E21" s="236"/>
      <c r="F21" s="237">
        <f>'数据-取费表'!B38</f>
        <v>0.02</v>
      </c>
      <c r="G21" s="238" t="s">
        <v>2267</v>
      </c>
    </row>
    <row r="22" spans="1:7" s="218" customFormat="1" ht="13.5" customHeight="1">
      <c r="A22" s="259" t="s">
        <v>2268</v>
      </c>
      <c r="B22" s="214" t="s">
        <v>2269</v>
      </c>
      <c r="C22" s="1287">
        <f ca="1">ROUND(SUM(C23:C25),0)</f>
        <v>4350597</v>
      </c>
      <c r="D22" s="239">
        <f ca="1">C26</f>
        <v>8.9999999999999998E-4</v>
      </c>
      <c r="E22" s="240" t="s">
        <v>2266</v>
      </c>
      <c r="F22" s="241">
        <f ca="1">'数据-取费表'!B40</f>
        <v>4.3499999999999997E-2</v>
      </c>
      <c r="G22" s="238" t="str">
        <f>IF('数据-取费表'!B22&lt;=1,"单利计息","复利计息")</f>
        <v>复利计息</v>
      </c>
    </row>
    <row r="23" spans="1:7" s="218" customFormat="1" ht="13.5" customHeight="1">
      <c r="A23" s="886" t="s">
        <v>2159</v>
      </c>
      <c r="B23" s="219" t="s">
        <v>2270</v>
      </c>
      <c r="C23" s="1288">
        <f ca="1">ROUND(IF('数据-取费表'!B22&lt;=1,C5*F22*'数据-取费表'!B22,C5*(POWER((1+F22),'数据-取费表'!B22)-1)),0)</f>
        <v>1931887</v>
      </c>
      <c r="D23" s="242"/>
      <c r="E23" s="242"/>
      <c r="F23" s="243"/>
      <c r="G23" s="244" t="s">
        <v>2271</v>
      </c>
    </row>
    <row r="24" spans="1:7" s="218" customFormat="1" ht="13.5" customHeight="1">
      <c r="A24" s="886" t="s">
        <v>2161</v>
      </c>
      <c r="B24" s="219" t="s">
        <v>2272</v>
      </c>
      <c r="C24" s="1288">
        <f ca="1">ROUND(IF('数据-取费表'!B22&lt;=1,C19*F22*('数据-取费表'!B19/2+'数据-取费表'!B20),C19*(POWER((1+F22),('数据-取费表'!B19/2+'数据-取费表'!B20))-1)),0)</f>
        <v>2376543</v>
      </c>
      <c r="D24" s="242"/>
      <c r="E24" s="242"/>
      <c r="F24" s="243"/>
      <c r="G24" s="244" t="s">
        <v>2273</v>
      </c>
    </row>
    <row r="25" spans="1:7" s="218" customFormat="1" ht="24">
      <c r="A25" s="886" t="s">
        <v>2163</v>
      </c>
      <c r="B25" s="219" t="s">
        <v>2274</v>
      </c>
      <c r="C25" s="1288">
        <f ca="1">ROUND(IF('数据-取费表'!B22&lt;=1,C20*F22*'数据-取费表'!B22/2,C20*(POWER((1+F22),'数据-取费表'!B22/2)-1)),0)</f>
        <v>42167</v>
      </c>
      <c r="D25" s="242"/>
      <c r="E25" s="245"/>
      <c r="F25" s="243"/>
      <c r="G25" s="246" t="s">
        <v>2275</v>
      </c>
    </row>
    <row r="26" spans="1:7" s="218" customFormat="1">
      <c r="A26" s="886" t="s">
        <v>795</v>
      </c>
      <c r="B26" s="219" t="s">
        <v>2198</v>
      </c>
      <c r="C26" s="242">
        <f ca="1">ROUND(IF('数据-取费表'!B22&lt;=1,F21*F22*'数据-取费表'!B22/2,F21*(POWER((1+F22),'数据-取费表'!B22/2)-1)),4)</f>
        <v>8.9999999999999998E-4</v>
      </c>
      <c r="D26" s="242"/>
      <c r="E26" s="245"/>
      <c r="F26" s="243"/>
      <c r="G26" s="247"/>
    </row>
    <row r="27" spans="1:7" s="218" customFormat="1" ht="24.75">
      <c r="A27" s="259" t="s">
        <v>2199</v>
      </c>
      <c r="B27" s="248" t="s">
        <v>2200</v>
      </c>
      <c r="C27" s="249">
        <f ca="1">C28</f>
        <v>6921230</v>
      </c>
      <c r="D27" s="239">
        <f ca="1">C29</f>
        <v>2.8E-3</v>
      </c>
      <c r="E27" s="240" t="s">
        <v>2201</v>
      </c>
      <c r="F27" s="250">
        <f ca="1">IF(B1="",'数据-取费表'!Q16,INDIRECT("'数据-取费表'!q"&amp;$G$1))</f>
        <v>0.14000000000000001</v>
      </c>
      <c r="G27" s="251" t="s">
        <v>2202</v>
      </c>
    </row>
    <row r="28" spans="1:7" s="218" customFormat="1" ht="13.5" customHeight="1">
      <c r="A28" s="886" t="s">
        <v>791</v>
      </c>
      <c r="B28" s="252" t="s">
        <v>2203</v>
      </c>
      <c r="C28" s="253">
        <f ca="1">ROUND((C5+C19+C20)*F27,0)</f>
        <v>6921230</v>
      </c>
      <c r="D28" s="239"/>
      <c r="E28" s="240"/>
      <c r="F28" s="250"/>
      <c r="G28" s="251"/>
    </row>
    <row r="29" spans="1:7" s="218" customFormat="1" ht="13.5" customHeight="1">
      <c r="A29" s="886" t="s">
        <v>792</v>
      </c>
      <c r="B29" s="252" t="s">
        <v>2204</v>
      </c>
      <c r="C29" s="242">
        <f ca="1">ROUND(C21*F27,4)</f>
        <v>2.8E-3</v>
      </c>
      <c r="D29" s="239"/>
      <c r="E29" s="240"/>
      <c r="F29" s="250"/>
      <c r="G29" s="251"/>
    </row>
    <row r="30" spans="1:7" s="218" customFormat="1" ht="13.5" customHeight="1">
      <c r="A30" s="259" t="s">
        <v>2205</v>
      </c>
      <c r="B30" s="214" t="s">
        <v>2206</v>
      </c>
      <c r="C30" s="239">
        <f>ROUND(F30/(1+'数据-取费表'!C42),4)</f>
        <v>5.2400000000000002E-2</v>
      </c>
      <c r="D30" s="240" t="s">
        <v>2201</v>
      </c>
      <c r="E30" s="245"/>
      <c r="F30" s="241">
        <f>'数据-取费表'!B41</f>
        <v>5.5000000000000007E-2</v>
      </c>
      <c r="G30" s="238" t="s">
        <v>2207</v>
      </c>
    </row>
    <row r="31" spans="1:7" ht="16.5" customHeight="1">
      <c r="A31" s="213">
        <v>1</v>
      </c>
      <c r="B31" s="214" t="s">
        <v>2208</v>
      </c>
      <c r="C31" s="215">
        <f ca="1">ROUND((C5+C19+C20+C22+C27)/(1-C21-D22-D27-C30),0)</f>
        <v>65709692</v>
      </c>
      <c r="D31" s="234"/>
      <c r="E31" s="215"/>
      <c r="F31" s="254"/>
      <c r="G31" s="238" t="s">
        <v>2209</v>
      </c>
    </row>
    <row r="32" spans="1:7" s="212" customFormat="1" ht="15.75">
      <c r="A32" s="256" t="s">
        <v>2276</v>
      </c>
      <c r="B32" s="257"/>
      <c r="C32" s="257"/>
      <c r="D32" s="257"/>
      <c r="E32" s="257"/>
      <c r="F32" s="257"/>
      <c r="G32" s="258"/>
    </row>
    <row r="33" spans="1:7" s="218" customFormat="1" ht="13.5" customHeight="1">
      <c r="A33" s="259" t="s">
        <v>782</v>
      </c>
      <c r="B33" s="214" t="s">
        <v>2277</v>
      </c>
      <c r="C33" s="260">
        <f ca="1">SUM(C34:C38)</f>
        <v>408976496</v>
      </c>
      <c r="D33" s="236"/>
      <c r="E33" s="216"/>
      <c r="F33" s="245"/>
      <c r="G33" s="238"/>
    </row>
    <row r="34" spans="1:7" s="262" customFormat="1" ht="13.5" customHeight="1">
      <c r="A34" s="886" t="s">
        <v>791</v>
      </c>
      <c r="B34" s="219" t="s">
        <v>2212</v>
      </c>
      <c r="C34" s="224">
        <f ca="1">ROUND(IF(B1="",SUMPRODUCT('数据-取费表'!K6:K14,'数据-取费表'!L6:L14),INDIRECT("'数据-取费表'!l"&amp;$G$1)*INDIRECT("'数据-取费表'!k"&amp;$G$1)+'数据-取费表'!L14*INDIRECT("'数据-取费表'!S"&amp;$G$1)),0)</f>
        <v>346904532</v>
      </c>
      <c r="D34" s="221"/>
      <c r="E34" s="224"/>
      <c r="F34" s="261"/>
      <c r="G34" s="223"/>
    </row>
    <row r="35" spans="1:7" ht="13.5" customHeight="1">
      <c r="A35" s="886" t="s">
        <v>796</v>
      </c>
      <c r="B35" s="219" t="s">
        <v>2214</v>
      </c>
      <c r="C35" s="224">
        <f ca="1">ROUND(C34*F35,0)</f>
        <v>13876181</v>
      </c>
      <c r="D35" s="224"/>
      <c r="E35" s="224"/>
      <c r="F35" s="263">
        <f>'数据-取费表'!B33</f>
        <v>0.04</v>
      </c>
      <c r="G35" s="223" t="s">
        <v>2215</v>
      </c>
    </row>
    <row r="36" spans="1:7" ht="24">
      <c r="A36" s="886" t="s">
        <v>797</v>
      </c>
      <c r="B36" s="219" t="s">
        <v>2216</v>
      </c>
      <c r="C36" s="224">
        <f ca="1">ROUND(IF(B1="",SUM('数据-取费表'!AP6:AP13)*F36,IF(INDIRECT("'数据-取费表'!c"&amp;$G$1)="住宅",INDIRECT("'数据-取费表'!k"&amp;$G$1)*INDIRECT("'数据-取费表'!l"&amp;$G$1)*F36,0)),0)</f>
        <v>16257121</v>
      </c>
      <c r="D36" s="224"/>
      <c r="E36" s="224"/>
      <c r="F36" s="263">
        <f>'数据-取费表'!B34</f>
        <v>0.05</v>
      </c>
      <c r="G36" s="264" t="s">
        <v>2217</v>
      </c>
    </row>
    <row r="37" spans="1:7" s="262" customFormat="1" ht="13.5" customHeight="1">
      <c r="A37" s="886" t="s">
        <v>798</v>
      </c>
      <c r="B37" s="219" t="s">
        <v>2218</v>
      </c>
      <c r="C37" s="253">
        <f ca="1">ROUND(E37*D37,0)</f>
        <v>26735094</v>
      </c>
      <c r="D37" s="221">
        <f ca="1">D19</f>
        <v>133675.47</v>
      </c>
      <c r="E37" s="253">
        <f>'数据-取费表'!B35</f>
        <v>200</v>
      </c>
      <c r="F37" s="263"/>
      <c r="G37" s="265"/>
    </row>
    <row r="38" spans="1:7" ht="13.5" customHeight="1">
      <c r="A38" s="886" t="s">
        <v>799</v>
      </c>
      <c r="B38" s="219" t="s">
        <v>2220</v>
      </c>
      <c r="C38" s="224">
        <f ca="1">ROUND(C34*F38,0)</f>
        <v>5203568</v>
      </c>
      <c r="D38" s="224"/>
      <c r="E38" s="224"/>
      <c r="F38" s="263">
        <f>'数据-取费表'!B36</f>
        <v>1.4999999999999999E-2</v>
      </c>
      <c r="G38" s="223" t="s">
        <v>2215</v>
      </c>
    </row>
    <row r="39" spans="1:7" s="218" customFormat="1" ht="13.5" customHeight="1">
      <c r="A39" s="259" t="s">
        <v>2221</v>
      </c>
      <c r="B39" s="214" t="s">
        <v>2222</v>
      </c>
      <c r="C39" s="236">
        <f ca="1">ROUND(C33*F20,0)</f>
        <v>8179530</v>
      </c>
      <c r="D39" s="236"/>
      <c r="E39" s="236"/>
      <c r="F39" s="2533">
        <f>F20</f>
        <v>0.02</v>
      </c>
      <c r="G39" s="238" t="s">
        <v>2223</v>
      </c>
    </row>
    <row r="40" spans="1:7" s="218" customFormat="1" ht="13.5" customHeight="1">
      <c r="A40" s="259" t="s">
        <v>2224</v>
      </c>
      <c r="B40" s="214" t="s">
        <v>2225</v>
      </c>
      <c r="C40" s="1493">
        <f>F21</f>
        <v>0.02</v>
      </c>
      <c r="D40" s="240" t="s">
        <v>2226</v>
      </c>
      <c r="E40" s="236"/>
      <c r="F40" s="2533">
        <f>F21</f>
        <v>0.02</v>
      </c>
      <c r="G40" s="238" t="s">
        <v>2227</v>
      </c>
    </row>
    <row r="41" spans="1:7" s="218" customFormat="1" ht="13.5" customHeight="1">
      <c r="A41" s="259" t="s">
        <v>2228</v>
      </c>
      <c r="B41" s="214" t="s">
        <v>2229</v>
      </c>
      <c r="C41" s="236">
        <f ca="1">ROUND(SUM(C42:C43),0)</f>
        <v>18146288</v>
      </c>
      <c r="D41" s="239">
        <f ca="1">C44</f>
        <v>8.9999999999999998E-4</v>
      </c>
      <c r="E41" s="240" t="s">
        <v>2226</v>
      </c>
      <c r="F41" s="2534">
        <f ca="1">F22</f>
        <v>4.3499999999999997E-2</v>
      </c>
      <c r="G41" s="238" t="str">
        <f>IF('数据-取费表'!B22&lt;=1,"单利计息","复利计息")</f>
        <v>复利计息</v>
      </c>
    </row>
    <row r="42" spans="1:7" ht="13.5" customHeight="1">
      <c r="A42" s="886" t="s">
        <v>791</v>
      </c>
      <c r="B42" s="219" t="s">
        <v>2230</v>
      </c>
      <c r="C42" s="242">
        <f ca="1">ROUND(IF('数据-取费表'!B22&lt;=1,C33*F22*'数据-取费表'!B20/2,C33*(POWER((1+F22),'数据-取费表'!B20/2)-1)),0)</f>
        <v>17790478</v>
      </c>
      <c r="D42" s="242"/>
      <c r="E42" s="242"/>
      <c r="F42" s="243"/>
      <c r="G42" s="3306" t="s">
        <v>2278</v>
      </c>
    </row>
    <row r="43" spans="1:7" ht="13.5" customHeight="1">
      <c r="A43" s="886" t="s">
        <v>792</v>
      </c>
      <c r="B43" s="219" t="s">
        <v>2232</v>
      </c>
      <c r="C43" s="242">
        <f ca="1">ROUND(IF('数据-取费表'!B22&lt;=1,C39*F22*'数据-取费表'!B20/2,C39*(POWER((1+F22),'数据-取费表'!B20/2)-1)),0)</f>
        <v>355810</v>
      </c>
      <c r="D43" s="242"/>
      <c r="E43" s="242"/>
      <c r="F43" s="243"/>
      <c r="G43" s="3307"/>
    </row>
    <row r="44" spans="1:7" ht="13.5" customHeight="1">
      <c r="A44" s="886" t="s">
        <v>793</v>
      </c>
      <c r="B44" s="219" t="s">
        <v>2233</v>
      </c>
      <c r="C44" s="242">
        <f ca="1">ROUND(IF('数据-取费表'!B22&lt;=1,C40*F22*'数据-取费表'!B20/2,C40*(POWER((1+F22),'数据-取费表'!B20/2)-1)),4)</f>
        <v>8.9999999999999998E-4</v>
      </c>
      <c r="D44" s="242"/>
      <c r="E44" s="242"/>
      <c r="F44" s="243"/>
      <c r="G44" s="3308"/>
    </row>
    <row r="45" spans="1:7" s="218" customFormat="1" ht="13.5" customHeight="1">
      <c r="A45" s="259" t="s">
        <v>2234</v>
      </c>
      <c r="B45" s="248" t="s">
        <v>2200</v>
      </c>
      <c r="C45" s="249">
        <f ca="1">C46</f>
        <v>58401844</v>
      </c>
      <c r="D45" s="239">
        <f ca="1">C47</f>
        <v>2.8E-3</v>
      </c>
      <c r="E45" s="240" t="s">
        <v>2226</v>
      </c>
      <c r="F45" s="2535">
        <f ca="1">F27</f>
        <v>0.14000000000000001</v>
      </c>
      <c r="G45" s="251" t="s">
        <v>2235</v>
      </c>
    </row>
    <row r="46" spans="1:7" s="218" customFormat="1" ht="13.5" customHeight="1">
      <c r="A46" s="886" t="s">
        <v>791</v>
      </c>
      <c r="B46" s="252" t="s">
        <v>2236</v>
      </c>
      <c r="C46" s="253">
        <f ca="1">ROUND((C33+C39)*F27,0)</f>
        <v>58401844</v>
      </c>
      <c r="D46" s="267"/>
      <c r="E46" s="240"/>
      <c r="F46" s="250"/>
      <c r="G46" s="251"/>
    </row>
    <row r="47" spans="1:7" s="218" customFormat="1" ht="13.5" customHeight="1">
      <c r="A47" s="886" t="s">
        <v>792</v>
      </c>
      <c r="B47" s="252" t="s">
        <v>2237</v>
      </c>
      <c r="C47" s="242">
        <f ca="1">ROUND(C40*F27,4)</f>
        <v>2.8E-3</v>
      </c>
      <c r="D47" s="267"/>
      <c r="E47" s="240"/>
      <c r="F47" s="250"/>
      <c r="G47" s="251"/>
    </row>
    <row r="48" spans="1:7" s="218" customFormat="1" ht="13.5" customHeight="1">
      <c r="A48" s="259" t="s">
        <v>2199</v>
      </c>
      <c r="B48" s="214" t="s">
        <v>2238</v>
      </c>
      <c r="C48" s="266">
        <f>ROUND(F30/(1+'数据-取费表'!C42),4)</f>
        <v>5.2400000000000002E-2</v>
      </c>
      <c r="D48" s="240" t="s">
        <v>2226</v>
      </c>
      <c r="E48" s="236"/>
      <c r="F48" s="2534">
        <f>F30</f>
        <v>5.5000000000000007E-2</v>
      </c>
      <c r="G48" s="238" t="s">
        <v>2239</v>
      </c>
    </row>
    <row r="49" spans="1:7" ht="16.5" customHeight="1">
      <c r="A49" s="259" t="s">
        <v>2205</v>
      </c>
      <c r="B49" s="214" t="s">
        <v>2279</v>
      </c>
      <c r="C49" s="236">
        <f ca="1">ROUND((C33+C39+C41+C45)/(1-C40-D41-D45-C48),0)</f>
        <v>534369692</v>
      </c>
      <c r="D49" s="236"/>
      <c r="E49" s="236"/>
      <c r="F49" s="268"/>
      <c r="G49" s="238" t="s">
        <v>2241</v>
      </c>
    </row>
    <row r="50" spans="1:7" s="262" customFormat="1">
      <c r="A50" s="259" t="s">
        <v>2242</v>
      </c>
      <c r="B50" s="214" t="s">
        <v>2243</v>
      </c>
      <c r="C50" s="236"/>
      <c r="D50" s="236"/>
      <c r="E50" s="236"/>
      <c r="F50" s="268">
        <f>IF('数据-取费表'!B24=0,'数据-取费表'!N16,1)</f>
        <v>1</v>
      </c>
      <c r="G50" s="251"/>
    </row>
    <row r="51" spans="1:7" ht="16.5" customHeight="1">
      <c r="A51" s="259" t="s">
        <v>2245</v>
      </c>
      <c r="B51" s="214" t="s">
        <v>2280</v>
      </c>
      <c r="C51" s="236">
        <f ca="1">ROUND(C49*F50,0)</f>
        <v>534369692</v>
      </c>
      <c r="D51" s="236"/>
      <c r="E51" s="236"/>
      <c r="F51" s="268"/>
      <c r="G51" s="238" t="s">
        <v>2247</v>
      </c>
    </row>
    <row r="52" spans="1:7" s="212" customFormat="1" ht="16.5" thickBot="1">
      <c r="A52" s="269" t="s">
        <v>2248</v>
      </c>
      <c r="B52" s="270"/>
      <c r="C52" s="271">
        <f ca="1">C31+C51</f>
        <v>600079384</v>
      </c>
      <c r="D52" s="270"/>
      <c r="E52" s="270"/>
      <c r="F52" s="270"/>
      <c r="G52" s="272"/>
    </row>
    <row r="55" spans="1:7" ht="15">
      <c r="B55" s="274" t="s">
        <v>2249</v>
      </c>
      <c r="C55" s="275"/>
    </row>
    <row r="56" spans="1:7">
      <c r="B56" s="277" t="s">
        <v>1478</v>
      </c>
      <c r="C56" s="279">
        <f ca="1">1-C57</f>
        <v>0.10999999999999999</v>
      </c>
    </row>
    <row r="57" spans="1:7">
      <c r="B57" s="277" t="s">
        <v>1479</v>
      </c>
      <c r="C57" s="278">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11" zoomScale="85" zoomScaleNormal="60" zoomScaleSheetLayoutView="85" workbookViewId="0">
      <selection activeCell="F60" sqref="F60"/>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2563</v>
      </c>
      <c r="B1" s="353"/>
      <c r="C1" s="354" t="s">
        <v>2564</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2149</v>
      </c>
      <c r="B2" s="625">
        <f>F66</f>
        <v>42193</v>
      </c>
      <c r="C2" s="1036"/>
      <c r="D2" s="1036"/>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c r="AD2" s="355"/>
    </row>
    <row r="3" spans="1:30" s="356" customFormat="1" ht="28.5" customHeight="1" thickBot="1">
      <c r="A3" s="207" t="s">
        <v>2151</v>
      </c>
      <c r="B3" s="564">
        <f>ROUND(IF(D3="",B2*10000/'数据-汇总表'!E3,B2*10000/D3),0)</f>
        <v>3156</v>
      </c>
      <c r="C3" s="207" t="s">
        <v>2565</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30" ht="15">
      <c r="A4" s="359" t="s">
        <v>2464</v>
      </c>
      <c r="B4" s="360"/>
      <c r="C4" s="3313" t="s">
        <v>2465</v>
      </c>
      <c r="D4" s="3326"/>
      <c r="E4" s="3327" t="s">
        <v>2466</v>
      </c>
      <c r="F4" s="3328"/>
      <c r="G4" s="3313" t="s">
        <v>2467</v>
      </c>
      <c r="H4" s="3326"/>
      <c r="I4" s="3313" t="s">
        <v>2468</v>
      </c>
      <c r="J4" s="3326"/>
      <c r="K4" s="565" t="s">
        <v>2469</v>
      </c>
      <c r="L4" s="2941"/>
      <c r="M4" s="2942"/>
      <c r="N4" s="2942"/>
      <c r="O4" s="2942"/>
      <c r="P4" s="3329" t="s">
        <v>2470</v>
      </c>
      <c r="Q4" s="3330"/>
      <c r="R4" s="3335" t="s">
        <v>2466</v>
      </c>
      <c r="S4" s="3336"/>
      <c r="T4" s="3335" t="s">
        <v>2467</v>
      </c>
      <c r="U4" s="3336"/>
      <c r="V4" s="3322" t="s">
        <v>2468</v>
      </c>
      <c r="W4" s="3322"/>
      <c r="X4" s="1537"/>
      <c r="Y4" s="3335" t="s">
        <v>2470</v>
      </c>
      <c r="Z4" s="3336"/>
      <c r="AA4" s="3323" t="s">
        <v>2466</v>
      </c>
      <c r="AB4" s="3324" t="s">
        <v>2467</v>
      </c>
      <c r="AC4" s="3323" t="s">
        <v>2468</v>
      </c>
    </row>
    <row r="5" spans="1:30" ht="15">
      <c r="A5" s="362"/>
      <c r="B5" s="363"/>
      <c r="C5" s="3343" t="s">
        <v>2361</v>
      </c>
      <c r="D5" s="3344"/>
      <c r="E5" s="3350" t="str">
        <f>土地案例!A4</f>
        <v>龙泉路东侧、南滨河路南侧、黄连山路西侧、善文街北侧</v>
      </c>
      <c r="F5" s="3351"/>
      <c r="G5" s="3343" t="str">
        <f>土地案例!A6</f>
        <v>陶山路南侧</v>
      </c>
      <c r="H5" s="3344"/>
      <c r="I5" s="3343" t="str">
        <f>土地案例!A23</f>
        <v>南环城路南、益康大道东侧</v>
      </c>
      <c r="J5" s="3344"/>
      <c r="K5" s="565"/>
      <c r="L5" s="2941"/>
      <c r="M5" s="2942"/>
      <c r="N5" s="2942"/>
      <c r="O5" s="2942"/>
      <c r="P5" s="3331"/>
      <c r="Q5" s="3332"/>
      <c r="R5" s="3337"/>
      <c r="S5" s="3338"/>
      <c r="T5" s="3337"/>
      <c r="U5" s="3338"/>
      <c r="V5" s="3322"/>
      <c r="W5" s="3322"/>
      <c r="X5" s="1537"/>
      <c r="Y5" s="3337"/>
      <c r="Z5" s="3338"/>
      <c r="AA5" s="3324"/>
      <c r="AB5" s="3324"/>
      <c r="AC5" s="3324"/>
    </row>
    <row r="6" spans="1:30" ht="15.75" thickBot="1">
      <c r="A6" s="364"/>
      <c r="B6" s="365"/>
      <c r="C6" s="3341" t="s">
        <v>2365</v>
      </c>
      <c r="D6" s="3342"/>
      <c r="E6" s="3348" t="s">
        <v>2365</v>
      </c>
      <c r="F6" s="3349"/>
      <c r="G6" s="3341" t="s">
        <v>2365</v>
      </c>
      <c r="H6" s="3342"/>
      <c r="I6" s="3341" t="s">
        <v>2365</v>
      </c>
      <c r="J6" s="3342"/>
      <c r="K6" s="565" t="s">
        <v>2366</v>
      </c>
      <c r="L6" s="2941"/>
      <c r="M6" s="2942"/>
      <c r="N6" s="2942"/>
      <c r="O6" s="2942"/>
      <c r="P6" s="3333"/>
      <c r="Q6" s="3334"/>
      <c r="R6" s="3337"/>
      <c r="S6" s="3338"/>
      <c r="T6" s="3339"/>
      <c r="U6" s="3340"/>
      <c r="V6" s="3322"/>
      <c r="W6" s="3322"/>
      <c r="X6" s="1537"/>
      <c r="Y6" s="3339"/>
      <c r="Z6" s="3340"/>
      <c r="AA6" s="3325"/>
      <c r="AB6" s="3325"/>
      <c r="AC6" s="3325"/>
    </row>
    <row r="7" spans="1:30" s="112" customFormat="1" ht="15.75" thickBot="1">
      <c r="A7" s="366" t="s">
        <v>2367</v>
      </c>
      <c r="B7" s="367"/>
      <c r="C7" s="368">
        <f>'数据-取费表'!B2</f>
        <v>44311</v>
      </c>
      <c r="D7" s="369">
        <v>100</v>
      </c>
      <c r="E7" s="370" t="str">
        <f>土地案例!I4</f>
        <v>2021-03-04</v>
      </c>
      <c r="F7" s="371">
        <f>SUMIF(70:70,YEAR(E7)&amp;"-"&amp;INT((MONTH(E7)+2)/3),71:71)</f>
        <v>100</v>
      </c>
      <c r="G7" s="2158" t="str">
        <f>土地案例!I6</f>
        <v>2021-01-28</v>
      </c>
      <c r="H7" s="369">
        <f>SUMIF(70:70,YEAR(G7)&amp;"-"&amp;INT((MONTH(G7)+2)/3),71:71)</f>
        <v>100</v>
      </c>
      <c r="I7" s="2158" t="str">
        <f>土地案例!I23</f>
        <v>2020-10-15</v>
      </c>
      <c r="J7" s="369">
        <f>SUMIF(70:70,YEAR(I7)&amp;"-"&amp;INT((MONTH(I7)+2)/3),71:71)</f>
        <v>100</v>
      </c>
      <c r="K7" s="566"/>
      <c r="L7" s="2943"/>
      <c r="M7" s="2944"/>
      <c r="N7" s="2944"/>
      <c r="O7" s="2944"/>
      <c r="P7" s="3345" t="s">
        <v>2368</v>
      </c>
      <c r="Q7" s="3347"/>
      <c r="R7" s="708" t="s">
        <v>17</v>
      </c>
      <c r="S7" s="709">
        <f t="shared" ref="S7:S15" si="0">F7</f>
        <v>100</v>
      </c>
      <c r="T7" s="708" t="s">
        <v>17</v>
      </c>
      <c r="U7" s="709">
        <f t="shared" ref="U7:U15" si="1">H7</f>
        <v>100</v>
      </c>
      <c r="V7" s="708" t="s">
        <v>17</v>
      </c>
      <c r="W7" s="709">
        <f t="shared" ref="W7:W15" si="2">J7</f>
        <v>100</v>
      </c>
      <c r="X7" s="710"/>
      <c r="Y7" s="3345" t="s">
        <v>2368</v>
      </c>
      <c r="Z7" s="3346"/>
      <c r="AA7" s="711">
        <f>D7/F7</f>
        <v>1</v>
      </c>
      <c r="AB7" s="711">
        <f>D7/H7</f>
        <v>1</v>
      </c>
      <c r="AC7" s="711">
        <f>D7/J7</f>
        <v>1</v>
      </c>
    </row>
    <row r="8" spans="1:30" s="112" customFormat="1" ht="15.75" thickBot="1">
      <c r="A8" s="366" t="s">
        <v>2369</v>
      </c>
      <c r="B8" s="367"/>
      <c r="C8" s="372" t="s">
        <v>2370</v>
      </c>
      <c r="D8" s="369">
        <v>100</v>
      </c>
      <c r="E8" s="372" t="s">
        <v>3215</v>
      </c>
      <c r="F8" s="371">
        <f>SUMIF(73:73,E8,74:74)-SUMIF(73:73,C8,74:74)+100</f>
        <v>100</v>
      </c>
      <c r="G8" s="372" t="s">
        <v>3215</v>
      </c>
      <c r="H8" s="369">
        <f>SUMIF(73:73,G8,74:74)-SUMIF(73:73,C8,74:74)+100</f>
        <v>100</v>
      </c>
      <c r="I8" s="372" t="s">
        <v>3215</v>
      </c>
      <c r="J8" s="369">
        <f>SUMIF(73:73,I8,74:74)-SUMIF(73:73,C8,74:74)+100</f>
        <v>100</v>
      </c>
      <c r="K8" s="566"/>
      <c r="L8" s="2943"/>
      <c r="M8" s="2944"/>
      <c r="N8" s="2944"/>
      <c r="O8" s="2944"/>
      <c r="P8" s="3345" t="s">
        <v>2371</v>
      </c>
      <c r="Q8" s="3346"/>
      <c r="R8" s="708" t="s">
        <v>17</v>
      </c>
      <c r="S8" s="709">
        <f t="shared" si="0"/>
        <v>100</v>
      </c>
      <c r="T8" s="708" t="s">
        <v>17</v>
      </c>
      <c r="U8" s="709">
        <f t="shared" si="1"/>
        <v>100</v>
      </c>
      <c r="V8" s="708" t="s">
        <v>17</v>
      </c>
      <c r="W8" s="709">
        <f t="shared" si="2"/>
        <v>100</v>
      </c>
      <c r="X8" s="710"/>
      <c r="Y8" s="3345" t="s">
        <v>2371</v>
      </c>
      <c r="Z8" s="3346"/>
      <c r="AA8" s="711">
        <f t="shared" ref="AA8:AA45" si="3">D8/F8</f>
        <v>1</v>
      </c>
      <c r="AB8" s="711">
        <f t="shared" ref="AB8:AB45" si="4">D8/H8</f>
        <v>1</v>
      </c>
      <c r="AC8" s="711">
        <f t="shared" ref="AC8:AC45" si="5">D8/J8</f>
        <v>1</v>
      </c>
    </row>
    <row r="9" spans="1:30" s="112" customFormat="1">
      <c r="A9" s="373" t="s">
        <v>2372</v>
      </c>
      <c r="B9" s="67" t="s">
        <v>2373</v>
      </c>
      <c r="C9" s="2161"/>
      <c r="D9" s="129">
        <v>100</v>
      </c>
      <c r="E9" s="2161"/>
      <c r="F9" s="129">
        <f>SUMIF(75:75,E9,76:76)-SUMIF(75:75,C9,76:76)+100</f>
        <v>100</v>
      </c>
      <c r="G9" s="2161"/>
      <c r="H9" s="129">
        <f>SUMIF(75:75,G9,76:76)-SUMIF(75:75,C9,76:76)+100</f>
        <v>100</v>
      </c>
      <c r="I9" s="2161"/>
      <c r="J9" s="129">
        <f>SUMIF(75:75,I9,76:76)-SUMIF(75:75,C9,76:76)+100</f>
        <v>100</v>
      </c>
      <c r="K9" s="566"/>
      <c r="L9" s="2943"/>
      <c r="M9" s="2944"/>
      <c r="N9" s="2944"/>
      <c r="O9" s="2998"/>
      <c r="P9" s="3316"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711">
        <f t="shared" si="5"/>
        <v>1</v>
      </c>
    </row>
    <row r="10" spans="1:30" s="384" customFormat="1" ht="27">
      <c r="A10" s="378"/>
      <c r="B10" s="379" t="s">
        <v>2376</v>
      </c>
      <c r="C10" s="389"/>
      <c r="D10" s="130">
        <v>100</v>
      </c>
      <c r="E10" s="422"/>
      <c r="F10" s="130">
        <f>ROUND(100/'数据-取费表'!G16,0)</f>
        <v>100</v>
      </c>
      <c r="G10" s="420"/>
      <c r="H10" s="130">
        <f>ROUND(100/'数据-取费表'!G16,0)</f>
        <v>100</v>
      </c>
      <c r="I10" s="420"/>
      <c r="J10" s="130">
        <f>ROUND(100/'数据-取费表'!G16,0)</f>
        <v>100</v>
      </c>
      <c r="K10" s="626"/>
      <c r="L10" s="2945"/>
      <c r="M10" s="2946"/>
      <c r="N10" s="2946"/>
      <c r="O10" s="2999"/>
      <c r="P10" s="3316"/>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30" ht="15.75" thickBot="1">
      <c r="A11" s="385"/>
      <c r="B11" s="379" t="s">
        <v>2377</v>
      </c>
      <c r="C11" s="386">
        <v>2.8</v>
      </c>
      <c r="D11" s="130">
        <v>100</v>
      </c>
      <c r="E11" s="386">
        <v>2.8</v>
      </c>
      <c r="F11" s="130">
        <f>LOOKUP(E11,80:80,81:81)-LOOKUP(C11,80:80,81:81)+100</f>
        <v>100</v>
      </c>
      <c r="G11" s="387">
        <v>2.9</v>
      </c>
      <c r="H11" s="130">
        <f>LOOKUP(G11,80:80,81:81)-LOOKUP(C11,80:80,81:81)+100</f>
        <v>100</v>
      </c>
      <c r="I11" s="386">
        <v>2</v>
      </c>
      <c r="J11" s="130">
        <f>LOOKUP(I11,80:80,81:81)-LOOKUP(C11,80:80,81:81)+100</f>
        <v>102</v>
      </c>
      <c r="K11" s="627">
        <v>2</v>
      </c>
      <c r="L11" s="2947"/>
      <c r="M11" s="2942"/>
      <c r="N11" s="2942"/>
      <c r="O11" s="3000"/>
      <c r="P11" s="3316"/>
      <c r="Q11" s="1525" t="str">
        <f t="shared" si="6"/>
        <v>容积率</v>
      </c>
      <c r="R11" s="708" t="s">
        <v>17</v>
      </c>
      <c r="S11" s="709">
        <f t="shared" si="0"/>
        <v>100</v>
      </c>
      <c r="T11" s="708" t="s">
        <v>17</v>
      </c>
      <c r="U11" s="709">
        <f t="shared" si="1"/>
        <v>100</v>
      </c>
      <c r="V11" s="708" t="s">
        <v>17</v>
      </c>
      <c r="W11" s="709">
        <f t="shared" si="2"/>
        <v>102</v>
      </c>
      <c r="X11" s="710"/>
      <c r="Y11" s="3210"/>
      <c r="Z11" s="55" t="str">
        <f t="shared" si="7"/>
        <v>容积率</v>
      </c>
      <c r="AA11" s="711">
        <f t="shared" si="3"/>
        <v>1</v>
      </c>
      <c r="AB11" s="711">
        <f t="shared" si="4"/>
        <v>1</v>
      </c>
      <c r="AC11" s="711">
        <f t="shared" si="5"/>
        <v>0.98039215686274506</v>
      </c>
    </row>
    <row r="12" spans="1:30" s="112" customFormat="1" ht="15" hidden="1">
      <c r="A12" s="388"/>
      <c r="B12" s="2077" t="s">
        <v>2566</v>
      </c>
      <c r="C12" s="389"/>
      <c r="D12" s="390">
        <v>100</v>
      </c>
      <c r="E12" s="422"/>
      <c r="F12" s="130">
        <f>SUMIF(82:82,E12,83:83)-SUMIF(82:82,C12,83:83)+100</f>
        <v>100</v>
      </c>
      <c r="G12" s="420"/>
      <c r="H12" s="130">
        <f>SUMIF(82:82,G12,83:83)-SUMIF(82:82,C12,83:83)+100</f>
        <v>100</v>
      </c>
      <c r="I12" s="422"/>
      <c r="J12" s="130">
        <f>SUMIF(82:82,I12,83:83)-SUMIF(82:82,C12,83:83)+100</f>
        <v>100</v>
      </c>
      <c r="K12" s="626"/>
      <c r="L12" s="2943"/>
      <c r="M12" s="2944"/>
      <c r="N12" s="2944"/>
      <c r="O12" s="2998"/>
      <c r="P12" s="3316"/>
      <c r="Q12" s="1525" t="str">
        <f t="shared" si="6"/>
        <v>配建</v>
      </c>
      <c r="R12" s="708" t="s">
        <v>17</v>
      </c>
      <c r="S12" s="709">
        <f t="shared" si="0"/>
        <v>100</v>
      </c>
      <c r="T12" s="708" t="s">
        <v>17</v>
      </c>
      <c r="U12" s="709">
        <f t="shared" si="1"/>
        <v>100</v>
      </c>
      <c r="V12" s="708" t="s">
        <v>17</v>
      </c>
      <c r="W12" s="709">
        <f t="shared" si="2"/>
        <v>100</v>
      </c>
      <c r="X12" s="710"/>
      <c r="Y12" s="3210"/>
      <c r="Z12" s="55" t="str">
        <f t="shared" si="7"/>
        <v>配建</v>
      </c>
      <c r="AA12" s="711">
        <f>D12/F12</f>
        <v>1</v>
      </c>
      <c r="AB12" s="711">
        <f>D12/H12</f>
        <v>1</v>
      </c>
      <c r="AC12" s="711">
        <f>D12/J12</f>
        <v>1</v>
      </c>
    </row>
    <row r="13" spans="1:30" ht="15" hidden="1">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8"/>
      <c r="M13" s="2942"/>
      <c r="N13" s="2942"/>
      <c r="O13" s="3000"/>
      <c r="P13" s="3316"/>
      <c r="Q13" s="1525">
        <f t="shared" si="6"/>
        <v>111</v>
      </c>
      <c r="R13" s="708" t="s">
        <v>17</v>
      </c>
      <c r="S13" s="709">
        <f t="shared" si="0"/>
        <v>100</v>
      </c>
      <c r="T13" s="708" t="s">
        <v>17</v>
      </c>
      <c r="U13" s="709">
        <f t="shared" si="1"/>
        <v>100</v>
      </c>
      <c r="V13" s="708" t="s">
        <v>17</v>
      </c>
      <c r="W13" s="709">
        <f t="shared" si="2"/>
        <v>100</v>
      </c>
      <c r="X13" s="710"/>
      <c r="Y13" s="3210"/>
      <c r="Z13" s="55">
        <f t="shared" si="7"/>
        <v>111</v>
      </c>
      <c r="AA13" s="711">
        <f>D13/F13</f>
        <v>1</v>
      </c>
      <c r="AB13" s="711">
        <f>D13/H13</f>
        <v>1</v>
      </c>
      <c r="AC13" s="711">
        <f>D13/J13</f>
        <v>1</v>
      </c>
    </row>
    <row r="14" spans="1:30" ht="15.75" hidden="1"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8"/>
      <c r="M14" s="2942"/>
      <c r="N14" s="2942"/>
      <c r="O14" s="3000"/>
      <c r="P14" s="3316"/>
      <c r="Q14" s="1525">
        <f t="shared" si="6"/>
        <v>111</v>
      </c>
      <c r="R14" s="708" t="s">
        <v>17</v>
      </c>
      <c r="S14" s="709">
        <f t="shared" si="0"/>
        <v>100</v>
      </c>
      <c r="T14" s="708" t="s">
        <v>17</v>
      </c>
      <c r="U14" s="709">
        <f t="shared" si="1"/>
        <v>100</v>
      </c>
      <c r="V14" s="708" t="s">
        <v>17</v>
      </c>
      <c r="W14" s="709">
        <f t="shared" si="2"/>
        <v>100</v>
      </c>
      <c r="X14" s="710"/>
      <c r="Y14" s="3210"/>
      <c r="Z14" s="55">
        <f t="shared" si="7"/>
        <v>111</v>
      </c>
      <c r="AA14" s="711">
        <f>D14/F14</f>
        <v>1</v>
      </c>
      <c r="AB14" s="711">
        <f>D14/H14</f>
        <v>1</v>
      </c>
      <c r="AC14" s="711">
        <f>D14/J14</f>
        <v>1</v>
      </c>
    </row>
    <row r="15" spans="1:30" ht="99.75">
      <c r="A15" s="397" t="s">
        <v>2378</v>
      </c>
      <c r="B15" s="65" t="s">
        <v>1944</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8"/>
      <c r="M15" s="2942"/>
      <c r="N15" s="2942"/>
      <c r="O15" s="3000"/>
      <c r="P15" s="3318" t="s">
        <v>2379</v>
      </c>
      <c r="Q15" s="1534" t="str">
        <f t="shared" si="6"/>
        <v>居住社区成熟度</v>
      </c>
      <c r="R15" s="712" t="s">
        <v>17</v>
      </c>
      <c r="S15" s="713">
        <f t="shared" si="0"/>
        <v>100</v>
      </c>
      <c r="T15" s="712" t="s">
        <v>17</v>
      </c>
      <c r="U15" s="713">
        <f t="shared" si="1"/>
        <v>100</v>
      </c>
      <c r="V15" s="712" t="s">
        <v>17</v>
      </c>
      <c r="W15" s="713">
        <f t="shared" si="2"/>
        <v>100</v>
      </c>
      <c r="X15" s="1537"/>
      <c r="Y15" s="3318" t="s">
        <v>2379</v>
      </c>
      <c r="Z15" s="1538" t="str">
        <f t="shared" si="7"/>
        <v>居住社区成熟度</v>
      </c>
      <c r="AA15" s="1535">
        <f t="shared" si="3"/>
        <v>1</v>
      </c>
      <c r="AB15" s="1535">
        <f t="shared" si="4"/>
        <v>1</v>
      </c>
      <c r="AC15" s="1535">
        <f t="shared" si="5"/>
        <v>1</v>
      </c>
    </row>
    <row r="16" spans="1:30" ht="15">
      <c r="A16" s="385"/>
      <c r="B16" s="403"/>
      <c r="C16" s="404"/>
      <c r="D16" s="405"/>
      <c r="E16" s="2082"/>
      <c r="F16" s="405"/>
      <c r="G16" s="2082"/>
      <c r="H16" s="407"/>
      <c r="I16" s="2081"/>
      <c r="J16" s="405"/>
      <c r="K16" s="626"/>
      <c r="L16" s="2948"/>
      <c r="M16" s="2942"/>
      <c r="N16" s="2942"/>
      <c r="O16" s="3000"/>
      <c r="P16" s="3319"/>
      <c r="Q16" s="1534"/>
      <c r="R16" s="712"/>
      <c r="S16" s="713"/>
      <c r="T16" s="712"/>
      <c r="U16" s="713"/>
      <c r="V16" s="712"/>
      <c r="W16" s="713"/>
      <c r="X16" s="1537"/>
      <c r="Y16" s="3319"/>
      <c r="Z16" s="1538"/>
      <c r="AA16" s="1535">
        <v>1</v>
      </c>
      <c r="AB16" s="1535">
        <v>1</v>
      </c>
      <c r="AC16" s="1535">
        <v>1</v>
      </c>
    </row>
    <row r="17" spans="1:29" ht="71.25" hidden="1">
      <c r="A17" s="385"/>
      <c r="B17" s="408" t="s">
        <v>2472</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8"/>
      <c r="M17" s="2942"/>
      <c r="N17" s="2942"/>
      <c r="O17" s="3000"/>
      <c r="P17" s="3319"/>
      <c r="Q17" s="1534" t="str">
        <f>B17</f>
        <v>商业繁华度</v>
      </c>
      <c r="R17" s="712" t="s">
        <v>17</v>
      </c>
      <c r="S17" s="713">
        <f>F17</f>
        <v>100</v>
      </c>
      <c r="T17" s="712" t="s">
        <v>17</v>
      </c>
      <c r="U17" s="713">
        <f>H17</f>
        <v>100</v>
      </c>
      <c r="V17" s="712" t="s">
        <v>17</v>
      </c>
      <c r="W17" s="713">
        <f>J17</f>
        <v>100</v>
      </c>
      <c r="X17" s="1537"/>
      <c r="Y17" s="3319"/>
      <c r="Z17" s="1538" t="str">
        <f>Q17</f>
        <v>商业繁华度</v>
      </c>
      <c r="AA17" s="1535">
        <f t="shared" si="3"/>
        <v>1</v>
      </c>
      <c r="AB17" s="1535">
        <f t="shared" si="4"/>
        <v>1</v>
      </c>
      <c r="AC17" s="1535">
        <f t="shared" si="5"/>
        <v>1</v>
      </c>
    </row>
    <row r="18" spans="1:29" ht="15" hidden="1">
      <c r="A18" s="385"/>
      <c r="B18" s="413"/>
      <c r="C18" s="2085"/>
      <c r="D18" s="407"/>
      <c r="E18" s="2087"/>
      <c r="F18" s="407"/>
      <c r="G18" s="2087"/>
      <c r="H18" s="405"/>
      <c r="I18" s="2086"/>
      <c r="J18" s="405"/>
      <c r="K18" s="626"/>
      <c r="L18" s="2948"/>
      <c r="M18" s="2942"/>
      <c r="N18" s="2942"/>
      <c r="O18" s="3000"/>
      <c r="P18" s="3319"/>
      <c r="Q18" s="1534"/>
      <c r="R18" s="712"/>
      <c r="S18" s="713"/>
      <c r="T18" s="712"/>
      <c r="U18" s="713"/>
      <c r="V18" s="712"/>
      <c r="W18" s="713"/>
      <c r="X18" s="1537"/>
      <c r="Y18" s="3319"/>
      <c r="Z18" s="1538"/>
      <c r="AA18" s="1535">
        <v>1</v>
      </c>
      <c r="AB18" s="1535">
        <v>1</v>
      </c>
      <c r="AC18" s="1535">
        <v>1</v>
      </c>
    </row>
    <row r="19" spans="1:29" ht="71.25" hidden="1">
      <c r="A19" s="385"/>
      <c r="B19" s="408" t="s">
        <v>2506</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8"/>
      <c r="M19" s="2942"/>
      <c r="N19" s="2942"/>
      <c r="O19" s="3000"/>
      <c r="P19" s="3319"/>
      <c r="Q19" s="1534" t="str">
        <f>B19</f>
        <v>办公集聚程度</v>
      </c>
      <c r="R19" s="712" t="s">
        <v>17</v>
      </c>
      <c r="S19" s="713">
        <f>F19</f>
        <v>100</v>
      </c>
      <c r="T19" s="712" t="s">
        <v>17</v>
      </c>
      <c r="U19" s="713">
        <f>H19</f>
        <v>100</v>
      </c>
      <c r="V19" s="712" t="s">
        <v>17</v>
      </c>
      <c r="W19" s="713">
        <f>J19</f>
        <v>100</v>
      </c>
      <c r="X19" s="1537"/>
      <c r="Y19" s="3319"/>
      <c r="Z19" s="1538" t="str">
        <f>Q19</f>
        <v>办公集聚程度</v>
      </c>
      <c r="AA19" s="1535">
        <f t="shared" si="3"/>
        <v>1</v>
      </c>
      <c r="AB19" s="1535">
        <f t="shared" si="4"/>
        <v>1</v>
      </c>
      <c r="AC19" s="1535">
        <f t="shared" si="5"/>
        <v>1</v>
      </c>
    </row>
    <row r="20" spans="1:29" ht="15" hidden="1">
      <c r="A20" s="385"/>
      <c r="B20" s="413"/>
      <c r="C20" s="404"/>
      <c r="D20" s="405"/>
      <c r="E20" s="2082"/>
      <c r="F20" s="405"/>
      <c r="G20" s="2082"/>
      <c r="H20" s="405"/>
      <c r="I20" s="2081"/>
      <c r="J20" s="405"/>
      <c r="K20" s="626"/>
      <c r="L20" s="2948"/>
      <c r="M20" s="2942"/>
      <c r="N20" s="2942"/>
      <c r="O20" s="3000"/>
      <c r="P20" s="3319"/>
      <c r="Q20" s="1534"/>
      <c r="R20" s="712"/>
      <c r="S20" s="713"/>
      <c r="T20" s="712"/>
      <c r="U20" s="713"/>
      <c r="V20" s="712"/>
      <c r="W20" s="713"/>
      <c r="X20" s="1537"/>
      <c r="Y20" s="3319"/>
      <c r="Z20" s="1538"/>
      <c r="AA20" s="1535">
        <v>1</v>
      </c>
      <c r="AB20" s="1535">
        <v>1</v>
      </c>
      <c r="AC20" s="1535">
        <v>1</v>
      </c>
    </row>
    <row r="21" spans="1:29" ht="85.5">
      <c r="A21" s="385"/>
      <c r="B21" s="408" t="s">
        <v>2528</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8"/>
      <c r="M21" s="2942"/>
      <c r="N21" s="2942"/>
      <c r="O21" s="3000"/>
      <c r="P21" s="3319"/>
      <c r="Q21" s="1534" t="str">
        <f>B21</f>
        <v>交通便捷度</v>
      </c>
      <c r="R21" s="712" t="s">
        <v>17</v>
      </c>
      <c r="S21" s="713">
        <f>F21</f>
        <v>100</v>
      </c>
      <c r="T21" s="712" t="s">
        <v>17</v>
      </c>
      <c r="U21" s="713">
        <f>H21</f>
        <v>100</v>
      </c>
      <c r="V21" s="712" t="s">
        <v>17</v>
      </c>
      <c r="W21" s="713">
        <f>J21</f>
        <v>100</v>
      </c>
      <c r="X21" s="1537"/>
      <c r="Y21" s="3319"/>
      <c r="Z21" s="1538" t="str">
        <f>Q21</f>
        <v>交通便捷度</v>
      </c>
      <c r="AA21" s="1535">
        <f t="shared" si="3"/>
        <v>1</v>
      </c>
      <c r="AB21" s="1535">
        <f t="shared" si="4"/>
        <v>1</v>
      </c>
      <c r="AC21" s="1535">
        <f t="shared" si="5"/>
        <v>1</v>
      </c>
    </row>
    <row r="22" spans="1:29" ht="15">
      <c r="A22" s="385"/>
      <c r="B22" s="1291"/>
      <c r="C22" s="404"/>
      <c r="D22" s="407"/>
      <c r="E22" s="2082"/>
      <c r="F22" s="405"/>
      <c r="G22" s="2082"/>
      <c r="H22" s="405"/>
      <c r="I22" s="2081"/>
      <c r="J22" s="405"/>
      <c r="K22" s="626"/>
      <c r="L22" s="2948"/>
      <c r="M22" s="2942"/>
      <c r="N22" s="2942"/>
      <c r="O22" s="3000"/>
      <c r="P22" s="3319"/>
      <c r="Q22" s="1534"/>
      <c r="R22" s="712"/>
      <c r="S22" s="713"/>
      <c r="T22" s="712"/>
      <c r="U22" s="713"/>
      <c r="V22" s="712"/>
      <c r="W22" s="713"/>
      <c r="X22" s="1537"/>
      <c r="Y22" s="3319"/>
      <c r="Z22" s="1538"/>
      <c r="AA22" s="1535">
        <v>1</v>
      </c>
      <c r="AB22" s="1535">
        <v>1</v>
      </c>
      <c r="AC22" s="1535">
        <v>1</v>
      </c>
    </row>
    <row r="23" spans="1:29" ht="15">
      <c r="A23" s="362"/>
      <c r="B23" s="408" t="s">
        <v>2567</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8"/>
      <c r="M23" s="2942"/>
      <c r="N23" s="2942"/>
      <c r="O23" s="3000"/>
      <c r="P23" s="3319"/>
      <c r="Q23" s="1534" t="str">
        <f t="shared" ref="Q23:Q37" si="8">B23</f>
        <v>区域土地利用方向</v>
      </c>
      <c r="R23" s="712" t="s">
        <v>17</v>
      </c>
      <c r="S23" s="713">
        <f>F23</f>
        <v>100</v>
      </c>
      <c r="T23" s="712" t="s">
        <v>17</v>
      </c>
      <c r="U23" s="713">
        <f>H23</f>
        <v>100</v>
      </c>
      <c r="V23" s="712" t="s">
        <v>17</v>
      </c>
      <c r="W23" s="713">
        <f>J23</f>
        <v>100</v>
      </c>
      <c r="X23" s="1537"/>
      <c r="Y23" s="3319"/>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8"/>
      <c r="M24" s="2942"/>
      <c r="N24" s="2942"/>
      <c r="O24" s="3000"/>
      <c r="P24" s="3319"/>
      <c r="Q24" s="1534"/>
      <c r="R24" s="712"/>
      <c r="S24" s="713"/>
      <c r="T24" s="712"/>
      <c r="U24" s="713"/>
      <c r="V24" s="712"/>
      <c r="W24" s="713"/>
      <c r="X24" s="1537"/>
      <c r="Y24" s="3319"/>
      <c r="Z24" s="1538"/>
      <c r="AA24" s="1535"/>
      <c r="AB24" s="1535"/>
      <c r="AC24" s="1535"/>
    </row>
    <row r="25" spans="1:29" ht="57">
      <c r="A25" s="362"/>
      <c r="B25" s="1291" t="s">
        <v>2568</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8"/>
      <c r="M25" s="2942"/>
      <c r="N25" s="2942"/>
      <c r="O25" s="3000"/>
      <c r="P25" s="3319"/>
      <c r="Q25" s="1534" t="str">
        <f t="shared" si="8"/>
        <v>自然及人文环境状况</v>
      </c>
      <c r="R25" s="712" t="s">
        <v>17</v>
      </c>
      <c r="S25" s="713">
        <f>F25</f>
        <v>100</v>
      </c>
      <c r="T25" s="712" t="s">
        <v>17</v>
      </c>
      <c r="U25" s="713">
        <f>H25</f>
        <v>100</v>
      </c>
      <c r="V25" s="712" t="s">
        <v>17</v>
      </c>
      <c r="W25" s="713">
        <f>J25</f>
        <v>100</v>
      </c>
      <c r="X25" s="1537"/>
      <c r="Y25" s="3319"/>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8"/>
      <c r="M26" s="2942"/>
      <c r="N26" s="2942"/>
      <c r="O26" s="3000"/>
      <c r="P26" s="3319"/>
      <c r="Q26" s="1534"/>
      <c r="R26" s="712"/>
      <c r="S26" s="713"/>
      <c r="T26" s="712"/>
      <c r="U26" s="713"/>
      <c r="V26" s="712"/>
      <c r="W26" s="713"/>
      <c r="X26" s="1537"/>
      <c r="Y26" s="3319"/>
      <c r="Z26" s="1538"/>
      <c r="AA26" s="1535">
        <v>1</v>
      </c>
      <c r="AB26" s="1535">
        <v>1</v>
      </c>
      <c r="AC26" s="1535">
        <v>1</v>
      </c>
    </row>
    <row r="27" spans="1:29" s="112" customFormat="1" ht="42.75">
      <c r="A27" s="603"/>
      <c r="B27" s="1291" t="s">
        <v>2473</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3"/>
      <c r="M27" s="2944"/>
      <c r="N27" s="2944"/>
      <c r="O27" s="2998"/>
      <c r="P27" s="3319"/>
      <c r="Q27" s="1525" t="str">
        <f t="shared" si="8"/>
        <v>公共配套设施</v>
      </c>
      <c r="R27" s="708" t="s">
        <v>17</v>
      </c>
      <c r="S27" s="709">
        <f>F27</f>
        <v>100</v>
      </c>
      <c r="T27" s="708" t="s">
        <v>17</v>
      </c>
      <c r="U27" s="709">
        <f>H27</f>
        <v>100</v>
      </c>
      <c r="V27" s="708" t="s">
        <v>17</v>
      </c>
      <c r="W27" s="709">
        <f>J27</f>
        <v>100</v>
      </c>
      <c r="X27" s="710"/>
      <c r="Y27" s="3319"/>
      <c r="Z27" s="55" t="str">
        <f>Q27</f>
        <v>公共配套设施</v>
      </c>
      <c r="AA27" s="1535">
        <f>D27/F27</f>
        <v>1</v>
      </c>
      <c r="AB27" s="1535">
        <f>D27/H27</f>
        <v>1</v>
      </c>
      <c r="AC27" s="1535">
        <f>D27/J27</f>
        <v>1</v>
      </c>
    </row>
    <row r="28" spans="1:29" s="112" customFormat="1" ht="15">
      <c r="A28" s="603"/>
      <c r="B28" s="413"/>
      <c r="C28" s="2162"/>
      <c r="D28" s="405"/>
      <c r="E28" s="2088"/>
      <c r="F28" s="405"/>
      <c r="G28" s="2088"/>
      <c r="H28" s="405"/>
      <c r="I28" s="404"/>
      <c r="J28" s="405"/>
      <c r="K28" s="626"/>
      <c r="L28" s="2943"/>
      <c r="M28" s="2944"/>
      <c r="N28" s="2944"/>
      <c r="O28" s="2998"/>
      <c r="P28" s="3319"/>
      <c r="Q28" s="1525"/>
      <c r="R28" s="708"/>
      <c r="S28" s="709"/>
      <c r="T28" s="708"/>
      <c r="U28" s="709"/>
      <c r="V28" s="708"/>
      <c r="W28" s="709"/>
      <c r="X28" s="710"/>
      <c r="Y28" s="3319"/>
      <c r="Z28" s="55"/>
      <c r="AA28" s="1535">
        <v>1</v>
      </c>
      <c r="AB28" s="1535">
        <v>1</v>
      </c>
      <c r="AC28" s="1535">
        <v>1</v>
      </c>
    </row>
    <row r="29" spans="1:29" s="112" customFormat="1" ht="28.5">
      <c r="A29" s="603"/>
      <c r="B29" s="1291" t="s">
        <v>2474</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3"/>
      <c r="M29" s="2944"/>
      <c r="N29" s="2944"/>
      <c r="O29" s="2998"/>
      <c r="P29" s="3319"/>
      <c r="Q29" s="1525" t="str">
        <f t="shared" ref="Q29" si="9">B29</f>
        <v>基础设施水平</v>
      </c>
      <c r="R29" s="708" t="s">
        <v>17</v>
      </c>
      <c r="S29" s="709">
        <f>F29</f>
        <v>100</v>
      </c>
      <c r="T29" s="708" t="s">
        <v>17</v>
      </c>
      <c r="U29" s="709">
        <f>H29</f>
        <v>100</v>
      </c>
      <c r="V29" s="708" t="s">
        <v>17</v>
      </c>
      <c r="W29" s="709">
        <f>J29</f>
        <v>100</v>
      </c>
      <c r="X29" s="710"/>
      <c r="Y29" s="3319"/>
      <c r="Z29" s="55" t="str">
        <f>Q29</f>
        <v>基础设施水平</v>
      </c>
      <c r="AA29" s="1535">
        <f>D29/F29</f>
        <v>1</v>
      </c>
      <c r="AB29" s="1535">
        <f>D29/H29</f>
        <v>1</v>
      </c>
      <c r="AC29" s="1535">
        <f>D29/J29</f>
        <v>1</v>
      </c>
    </row>
    <row r="30" spans="1:29" s="112" customFormat="1" ht="15.75" thickBot="1">
      <c r="A30" s="603"/>
      <c r="B30" s="413"/>
      <c r="C30" s="2162"/>
      <c r="D30" s="405"/>
      <c r="E30" s="2163"/>
      <c r="F30" s="405"/>
      <c r="G30" s="2163"/>
      <c r="H30" s="405"/>
      <c r="I30" s="2163"/>
      <c r="J30" s="405"/>
      <c r="K30" s="626"/>
      <c r="L30" s="2943"/>
      <c r="M30" s="2944"/>
      <c r="N30" s="2944"/>
      <c r="O30" s="2998"/>
      <c r="P30" s="3319"/>
      <c r="Q30" s="1525"/>
      <c r="R30" s="708"/>
      <c r="S30" s="709"/>
      <c r="T30" s="708"/>
      <c r="U30" s="709"/>
      <c r="V30" s="708"/>
      <c r="W30" s="709"/>
      <c r="X30" s="710"/>
      <c r="Y30" s="3319"/>
      <c r="Z30" s="55"/>
      <c r="AA30" s="1535">
        <v>1</v>
      </c>
      <c r="AB30" s="1535">
        <v>1</v>
      </c>
      <c r="AC30" s="1535">
        <v>1</v>
      </c>
    </row>
    <row r="31" spans="1:29" ht="15" hidden="1">
      <c r="A31" s="385"/>
      <c r="B31" s="413" t="s">
        <v>2475</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8"/>
      <c r="M31" s="2942"/>
      <c r="N31" s="2942"/>
      <c r="O31" s="3000"/>
      <c r="P31" s="3319"/>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19"/>
      <c r="Z31" s="1538" t="str">
        <f t="shared" ref="Z31:Z45" si="13">Q31</f>
        <v>临街状况</v>
      </c>
      <c r="AA31" s="1535">
        <f t="shared" si="3"/>
        <v>1</v>
      </c>
      <c r="AB31" s="1535">
        <f t="shared" si="4"/>
        <v>1</v>
      </c>
      <c r="AC31" s="1535">
        <f t="shared" si="5"/>
        <v>1</v>
      </c>
    </row>
    <row r="32" spans="1:29" ht="27" hidden="1">
      <c r="A32" s="385"/>
      <c r="B32" s="1291" t="s">
        <v>2510</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8"/>
      <c r="M32" s="2942"/>
      <c r="N32" s="2942"/>
      <c r="O32" s="3000"/>
      <c r="P32" s="3319"/>
      <c r="Q32" s="1534" t="str">
        <f t="shared" si="8"/>
        <v>毗邻道路的类型与等级</v>
      </c>
      <c r="R32" s="712" t="s">
        <v>17</v>
      </c>
      <c r="S32" s="713">
        <f t="shared" si="10"/>
        <v>100</v>
      </c>
      <c r="T32" s="712" t="s">
        <v>17</v>
      </c>
      <c r="U32" s="713">
        <f t="shared" si="11"/>
        <v>100</v>
      </c>
      <c r="V32" s="712" t="s">
        <v>17</v>
      </c>
      <c r="W32" s="713">
        <f t="shared" si="12"/>
        <v>100</v>
      </c>
      <c r="X32" s="1537"/>
      <c r="Y32" s="3319"/>
      <c r="Z32" s="1538" t="str">
        <f t="shared" si="13"/>
        <v>毗邻道路的类型与等级</v>
      </c>
      <c r="AA32" s="1535">
        <f t="shared" si="3"/>
        <v>1</v>
      </c>
      <c r="AB32" s="1535">
        <f t="shared" si="4"/>
        <v>1</v>
      </c>
      <c r="AC32" s="1535">
        <f t="shared" si="5"/>
        <v>1</v>
      </c>
    </row>
    <row r="33" spans="1:29" ht="15" hidden="1">
      <c r="A33" s="385"/>
      <c r="B33" s="413"/>
      <c r="C33" s="404"/>
      <c r="D33" s="405"/>
      <c r="E33" s="2088"/>
      <c r="F33" s="405"/>
      <c r="G33" s="2088"/>
      <c r="H33" s="405"/>
      <c r="I33" s="404"/>
      <c r="J33" s="405"/>
      <c r="K33" s="568"/>
      <c r="L33" s="2948"/>
      <c r="M33" s="2942"/>
      <c r="N33" s="2942"/>
      <c r="O33" s="3000"/>
      <c r="P33" s="3319"/>
      <c r="Q33" s="1534"/>
      <c r="R33" s="712"/>
      <c r="S33" s="713"/>
      <c r="T33" s="712"/>
      <c r="U33" s="713"/>
      <c r="V33" s="712"/>
      <c r="W33" s="713"/>
      <c r="X33" s="1537"/>
      <c r="Y33" s="3319"/>
      <c r="Z33" s="1538"/>
      <c r="AA33" s="1535">
        <v>1</v>
      </c>
      <c r="AB33" s="1535">
        <v>1</v>
      </c>
      <c r="AC33" s="1535">
        <v>1</v>
      </c>
    </row>
    <row r="34" spans="1:29" ht="15" hidden="1">
      <c r="A34" s="385"/>
      <c r="B34" s="379" t="s">
        <v>2569</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8"/>
      <c r="M34" s="2942"/>
      <c r="N34" s="2942"/>
      <c r="O34" s="3000"/>
      <c r="P34" s="3319"/>
      <c r="Q34" s="1534" t="str">
        <f t="shared" si="8"/>
        <v>土地级别</v>
      </c>
      <c r="R34" s="712" t="s">
        <v>17</v>
      </c>
      <c r="S34" s="713">
        <f t="shared" si="10"/>
        <v>100</v>
      </c>
      <c r="T34" s="712" t="s">
        <v>17</v>
      </c>
      <c r="U34" s="713">
        <f t="shared" si="11"/>
        <v>100</v>
      </c>
      <c r="V34" s="712" t="s">
        <v>17</v>
      </c>
      <c r="W34" s="713">
        <f t="shared" si="12"/>
        <v>100</v>
      </c>
      <c r="X34" s="1537"/>
      <c r="Y34" s="3319"/>
      <c r="Z34" s="1538" t="str">
        <f t="shared" si="13"/>
        <v>土地级别</v>
      </c>
      <c r="AA34" s="1535">
        <f t="shared" si="3"/>
        <v>1</v>
      </c>
      <c r="AB34" s="1535">
        <f t="shared" si="4"/>
        <v>1</v>
      </c>
      <c r="AC34" s="1535">
        <f t="shared" si="5"/>
        <v>1</v>
      </c>
    </row>
    <row r="35" spans="1:29" ht="15" hidden="1">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8"/>
      <c r="M35" s="2942"/>
      <c r="N35" s="2942"/>
      <c r="O35" s="3000"/>
      <c r="P35" s="3319"/>
      <c r="Q35" s="1534">
        <f t="shared" si="8"/>
        <v>111</v>
      </c>
      <c r="R35" s="712" t="s">
        <v>17</v>
      </c>
      <c r="S35" s="713">
        <f t="shared" si="10"/>
        <v>100</v>
      </c>
      <c r="T35" s="712" t="s">
        <v>17</v>
      </c>
      <c r="U35" s="713">
        <f t="shared" si="11"/>
        <v>100</v>
      </c>
      <c r="V35" s="712" t="s">
        <v>17</v>
      </c>
      <c r="W35" s="713">
        <f t="shared" si="12"/>
        <v>100</v>
      </c>
      <c r="X35" s="1537"/>
      <c r="Y35" s="3319"/>
      <c r="Z35" s="1538">
        <f t="shared" si="13"/>
        <v>111</v>
      </c>
      <c r="AA35" s="1535">
        <f t="shared" si="3"/>
        <v>1</v>
      </c>
      <c r="AB35" s="1535">
        <f t="shared" si="4"/>
        <v>1</v>
      </c>
      <c r="AC35" s="1535">
        <f t="shared" si="5"/>
        <v>1</v>
      </c>
    </row>
    <row r="36" spans="1:29" ht="15" hidden="1">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8"/>
      <c r="M36" s="2942"/>
      <c r="N36" s="2942"/>
      <c r="O36" s="3000"/>
      <c r="P36" s="3320" t="s">
        <v>2384</v>
      </c>
      <c r="Q36" s="1534">
        <f t="shared" si="8"/>
        <v>111</v>
      </c>
      <c r="R36" s="712" t="s">
        <v>17</v>
      </c>
      <c r="S36" s="713">
        <f t="shared" si="10"/>
        <v>100</v>
      </c>
      <c r="T36" s="712" t="s">
        <v>17</v>
      </c>
      <c r="U36" s="713">
        <f t="shared" si="11"/>
        <v>100</v>
      </c>
      <c r="V36" s="712" t="s">
        <v>17</v>
      </c>
      <c r="W36" s="713">
        <f t="shared" si="12"/>
        <v>100</v>
      </c>
      <c r="X36" s="1537"/>
      <c r="Y36" s="3321" t="s">
        <v>2384</v>
      </c>
      <c r="Z36" s="1538">
        <f t="shared" si="13"/>
        <v>111</v>
      </c>
      <c r="AA36" s="1535">
        <f t="shared" si="3"/>
        <v>1</v>
      </c>
      <c r="AB36" s="1535">
        <f t="shared" si="4"/>
        <v>1</v>
      </c>
      <c r="AC36" s="1535">
        <f t="shared" si="5"/>
        <v>1</v>
      </c>
    </row>
    <row r="37" spans="1:29" s="428" customFormat="1" ht="15.75" hidden="1"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7"/>
      <c r="M37" s="2949"/>
      <c r="N37" s="2949"/>
      <c r="O37" s="3001"/>
      <c r="P37" s="3321"/>
      <c r="Q37" s="1534">
        <f t="shared" si="8"/>
        <v>111</v>
      </c>
      <c r="R37" s="715" t="s">
        <v>17</v>
      </c>
      <c r="S37" s="716">
        <f t="shared" si="10"/>
        <v>100</v>
      </c>
      <c r="T37" s="715" t="s">
        <v>17</v>
      </c>
      <c r="U37" s="716">
        <f t="shared" si="11"/>
        <v>100</v>
      </c>
      <c r="V37" s="715" t="s">
        <v>17</v>
      </c>
      <c r="W37" s="716">
        <f t="shared" si="12"/>
        <v>100</v>
      </c>
      <c r="X37" s="717"/>
      <c r="Y37" s="3321"/>
      <c r="Z37" s="718">
        <f t="shared" si="13"/>
        <v>111</v>
      </c>
      <c r="AA37" s="1535">
        <f t="shared" si="3"/>
        <v>1</v>
      </c>
      <c r="AB37" s="1535">
        <f t="shared" si="4"/>
        <v>1</v>
      </c>
      <c r="AC37" s="1535">
        <f t="shared" si="5"/>
        <v>1</v>
      </c>
    </row>
    <row r="38" spans="1:29" ht="15">
      <c r="A38" s="429" t="s">
        <v>2382</v>
      </c>
      <c r="B38" s="413" t="s">
        <v>2570</v>
      </c>
      <c r="C38" s="633">
        <f>土地案例!F26</f>
        <v>49934</v>
      </c>
      <c r="D38" s="424">
        <v>100</v>
      </c>
      <c r="E38" s="633">
        <f>土地案例!F4</f>
        <v>58619</v>
      </c>
      <c r="F38" s="424">
        <f>LOOKUP(E38,117:117,118:118)-LOOKUP(C38,117:117,118:118)+100</f>
        <v>100</v>
      </c>
      <c r="G38" s="633">
        <f>土地案例!F6</f>
        <v>7660</v>
      </c>
      <c r="H38" s="424">
        <f>LOOKUP(G38,117:117,118:118)-LOOKUP(C38,117:117,118:118)+100</f>
        <v>98</v>
      </c>
      <c r="I38" s="485">
        <f>土地案例!F23</f>
        <v>3517</v>
      </c>
      <c r="J38" s="424">
        <f>LOOKUP(I38,117:117,118:118)-LOOKUP(C38,117:117,118:118)+100</f>
        <v>98</v>
      </c>
      <c r="K38" s="568"/>
      <c r="L38" s="2948"/>
      <c r="M38" s="2942"/>
      <c r="N38" s="2942"/>
      <c r="O38" s="3000"/>
      <c r="P38" s="3321"/>
      <c r="Q38" s="1534" t="str">
        <f>B38</f>
        <v>宗地面积</v>
      </c>
      <c r="R38" s="712" t="s">
        <v>17</v>
      </c>
      <c r="S38" s="713">
        <f t="shared" si="10"/>
        <v>100</v>
      </c>
      <c r="T38" s="712" t="s">
        <v>17</v>
      </c>
      <c r="U38" s="713">
        <f t="shared" si="11"/>
        <v>98</v>
      </c>
      <c r="V38" s="712" t="s">
        <v>17</v>
      </c>
      <c r="W38" s="713">
        <f t="shared" si="12"/>
        <v>98</v>
      </c>
      <c r="X38" s="1537"/>
      <c r="Y38" s="3321"/>
      <c r="Z38" s="1538" t="str">
        <f t="shared" si="13"/>
        <v>宗地面积</v>
      </c>
      <c r="AA38" s="1535">
        <f t="shared" si="3"/>
        <v>1</v>
      </c>
      <c r="AB38" s="1535">
        <f t="shared" si="4"/>
        <v>1.0204081632653061</v>
      </c>
      <c r="AC38" s="1535">
        <f t="shared" si="5"/>
        <v>1.0204081632653061</v>
      </c>
    </row>
    <row r="39" spans="1:29" ht="15">
      <c r="A39" s="429"/>
      <c r="B39" s="379" t="s">
        <v>2571</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8"/>
      <c r="M39" s="2942"/>
      <c r="N39" s="2942"/>
      <c r="O39" s="3000"/>
      <c r="P39" s="3321"/>
      <c r="Q39" s="1534" t="str">
        <f t="shared" ref="Q39:Q45" si="14">B39</f>
        <v>宗地形状</v>
      </c>
      <c r="R39" s="712" t="s">
        <v>17</v>
      </c>
      <c r="S39" s="713">
        <f t="shared" si="10"/>
        <v>100</v>
      </c>
      <c r="T39" s="712" t="s">
        <v>17</v>
      </c>
      <c r="U39" s="713">
        <f t="shared" si="11"/>
        <v>100</v>
      </c>
      <c r="V39" s="712" t="s">
        <v>17</v>
      </c>
      <c r="W39" s="713">
        <f t="shared" si="12"/>
        <v>100</v>
      </c>
      <c r="X39" s="1537"/>
      <c r="Y39" s="3321"/>
      <c r="Z39" s="1538" t="str">
        <f t="shared" si="13"/>
        <v>宗地形状</v>
      </c>
      <c r="AA39" s="1535">
        <f t="shared" si="3"/>
        <v>1</v>
      </c>
      <c r="AB39" s="1535">
        <f t="shared" si="4"/>
        <v>1</v>
      </c>
      <c r="AC39" s="1535">
        <f t="shared" si="5"/>
        <v>1</v>
      </c>
    </row>
    <row r="40" spans="1:29" ht="15">
      <c r="A40" s="429"/>
      <c r="B40" s="379" t="s">
        <v>2572</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8"/>
      <c r="M40" s="2942"/>
      <c r="N40" s="2942"/>
      <c r="O40" s="3000"/>
      <c r="P40" s="3321"/>
      <c r="Q40" s="1534" t="str">
        <f t="shared" si="14"/>
        <v>临街宽度及深度</v>
      </c>
      <c r="R40" s="712" t="s">
        <v>17</v>
      </c>
      <c r="S40" s="713">
        <f t="shared" si="10"/>
        <v>100</v>
      </c>
      <c r="T40" s="712" t="s">
        <v>17</v>
      </c>
      <c r="U40" s="713">
        <f t="shared" si="11"/>
        <v>100</v>
      </c>
      <c r="V40" s="712" t="s">
        <v>17</v>
      </c>
      <c r="W40" s="713">
        <f t="shared" si="12"/>
        <v>100</v>
      </c>
      <c r="X40" s="1537"/>
      <c r="Y40" s="3321"/>
      <c r="Z40" s="1538" t="str">
        <f t="shared" si="13"/>
        <v>临街宽度及深度</v>
      </c>
      <c r="AA40" s="1535">
        <f t="shared" si="3"/>
        <v>1</v>
      </c>
      <c r="AB40" s="1535">
        <f t="shared" si="4"/>
        <v>1</v>
      </c>
      <c r="AC40" s="1535">
        <f t="shared" si="5"/>
        <v>1</v>
      </c>
    </row>
    <row r="41" spans="1:29" s="112" customFormat="1" ht="15">
      <c r="A41" s="430"/>
      <c r="B41" s="379" t="s">
        <v>2573</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3"/>
      <c r="M41" s="2944"/>
      <c r="N41" s="2944"/>
      <c r="O41" s="2998"/>
      <c r="P41" s="3321"/>
      <c r="Q41" s="1534" t="str">
        <f t="shared" si="14"/>
        <v>宗地开发程度</v>
      </c>
      <c r="R41" s="708" t="s">
        <v>17</v>
      </c>
      <c r="S41" s="709">
        <f t="shared" si="10"/>
        <v>100</v>
      </c>
      <c r="T41" s="708" t="s">
        <v>17</v>
      </c>
      <c r="U41" s="709">
        <f t="shared" si="11"/>
        <v>100</v>
      </c>
      <c r="V41" s="708" t="s">
        <v>17</v>
      </c>
      <c r="W41" s="709">
        <f t="shared" si="12"/>
        <v>100</v>
      </c>
      <c r="X41" s="710"/>
      <c r="Y41" s="3321"/>
      <c r="Z41" s="55" t="str">
        <f t="shared" si="13"/>
        <v>宗地开发程度</v>
      </c>
      <c r="AA41" s="711">
        <f t="shared" si="3"/>
        <v>1</v>
      </c>
      <c r="AB41" s="711">
        <f t="shared" si="4"/>
        <v>1</v>
      </c>
      <c r="AC41" s="711">
        <f t="shared" si="5"/>
        <v>1</v>
      </c>
    </row>
    <row r="42" spans="1:29" ht="15.75" thickBot="1">
      <c r="A42" s="429"/>
      <c r="B42" s="379" t="s">
        <v>2574</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8"/>
      <c r="M42" s="2942"/>
      <c r="N42" s="2942"/>
      <c r="O42" s="3000"/>
      <c r="P42" s="3321" t="s">
        <v>2384</v>
      </c>
      <c r="Q42" s="1534" t="str">
        <f t="shared" si="14"/>
        <v>工程地质条件</v>
      </c>
      <c r="R42" s="712" t="s">
        <v>17</v>
      </c>
      <c r="S42" s="713">
        <f t="shared" si="10"/>
        <v>100</v>
      </c>
      <c r="T42" s="712" t="s">
        <v>17</v>
      </c>
      <c r="U42" s="713">
        <f t="shared" si="11"/>
        <v>100</v>
      </c>
      <c r="V42" s="712" t="s">
        <v>17</v>
      </c>
      <c r="W42" s="713">
        <f t="shared" si="12"/>
        <v>100</v>
      </c>
      <c r="X42" s="1537"/>
      <c r="Y42" s="3321" t="s">
        <v>2384</v>
      </c>
      <c r="Z42" s="1538" t="str">
        <f t="shared" si="13"/>
        <v>工程地质条件</v>
      </c>
      <c r="AA42" s="1535">
        <f t="shared" si="3"/>
        <v>1</v>
      </c>
      <c r="AB42" s="1535">
        <f t="shared" si="4"/>
        <v>1</v>
      </c>
      <c r="AC42" s="1535">
        <f t="shared" si="5"/>
        <v>1</v>
      </c>
    </row>
    <row r="43" spans="1:29" ht="15" hidden="1">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8"/>
      <c r="M43" s="2942"/>
      <c r="N43" s="2942"/>
      <c r="O43" s="3000"/>
      <c r="P43" s="3321"/>
      <c r="Q43" s="1534">
        <f t="shared" si="14"/>
        <v>111</v>
      </c>
      <c r="R43" s="712" t="s">
        <v>17</v>
      </c>
      <c r="S43" s="713">
        <f t="shared" si="10"/>
        <v>100</v>
      </c>
      <c r="T43" s="712" t="s">
        <v>17</v>
      </c>
      <c r="U43" s="713">
        <f t="shared" si="11"/>
        <v>100</v>
      </c>
      <c r="V43" s="712" t="s">
        <v>17</v>
      </c>
      <c r="W43" s="713">
        <f t="shared" si="12"/>
        <v>100</v>
      </c>
      <c r="X43" s="1537"/>
      <c r="Y43" s="3321"/>
      <c r="Z43" s="1538">
        <f t="shared" si="13"/>
        <v>111</v>
      </c>
      <c r="AA43" s="1535">
        <f t="shared" si="3"/>
        <v>1</v>
      </c>
      <c r="AB43" s="1535">
        <f t="shared" si="4"/>
        <v>1</v>
      </c>
      <c r="AC43" s="1535">
        <f t="shared" si="5"/>
        <v>1</v>
      </c>
    </row>
    <row r="44" spans="1:29" ht="15" hidden="1">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8"/>
      <c r="M44" s="2942"/>
      <c r="N44" s="2942"/>
      <c r="O44" s="3000"/>
      <c r="P44" s="3321"/>
      <c r="Q44" s="1534">
        <f t="shared" si="14"/>
        <v>111</v>
      </c>
      <c r="R44" s="712" t="s">
        <v>17</v>
      </c>
      <c r="S44" s="713">
        <f t="shared" si="10"/>
        <v>100</v>
      </c>
      <c r="T44" s="712" t="s">
        <v>17</v>
      </c>
      <c r="U44" s="713">
        <f t="shared" si="11"/>
        <v>100</v>
      </c>
      <c r="V44" s="712" t="s">
        <v>17</v>
      </c>
      <c r="W44" s="713">
        <f t="shared" si="12"/>
        <v>100</v>
      </c>
      <c r="X44" s="1537"/>
      <c r="Y44" s="3321"/>
      <c r="Z44" s="1538">
        <f t="shared" si="13"/>
        <v>111</v>
      </c>
      <c r="AA44" s="1535">
        <f t="shared" si="3"/>
        <v>1</v>
      </c>
      <c r="AB44" s="1535">
        <f t="shared" si="4"/>
        <v>1</v>
      </c>
      <c r="AC44" s="1535">
        <f t="shared" si="5"/>
        <v>1</v>
      </c>
    </row>
    <row r="45" spans="1:29" s="428" customFormat="1" ht="15.75" hidden="1"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7"/>
      <c r="M45" s="2949"/>
      <c r="N45" s="2949"/>
      <c r="O45" s="3001"/>
      <c r="P45" s="3321"/>
      <c r="Q45" s="1534">
        <f t="shared" si="14"/>
        <v>111</v>
      </c>
      <c r="R45" s="715" t="s">
        <v>17</v>
      </c>
      <c r="S45" s="716">
        <f t="shared" si="10"/>
        <v>100</v>
      </c>
      <c r="T45" s="715" t="s">
        <v>17</v>
      </c>
      <c r="U45" s="716">
        <f t="shared" si="11"/>
        <v>100</v>
      </c>
      <c r="V45" s="715" t="s">
        <v>17</v>
      </c>
      <c r="W45" s="716">
        <f t="shared" si="12"/>
        <v>100</v>
      </c>
      <c r="X45" s="717"/>
      <c r="Y45" s="3321"/>
      <c r="Z45" s="718">
        <f t="shared" si="13"/>
        <v>111</v>
      </c>
      <c r="AA45" s="1535">
        <f t="shared" si="3"/>
        <v>1</v>
      </c>
      <c r="AB45" s="1535">
        <f t="shared" si="4"/>
        <v>1</v>
      </c>
      <c r="AC45" s="1535">
        <f t="shared" si="5"/>
        <v>1</v>
      </c>
    </row>
    <row r="46" spans="1:29" ht="15">
      <c r="A46" s="436" t="s">
        <v>2539</v>
      </c>
      <c r="B46" s="2166" t="s">
        <v>2575</v>
      </c>
      <c r="C46" s="636" t="s">
        <v>1</v>
      </c>
      <c r="D46" s="438"/>
      <c r="E46" s="439">
        <v>3107</v>
      </c>
      <c r="F46" s="440"/>
      <c r="G46" s="441">
        <v>3761</v>
      </c>
      <c r="H46" s="442"/>
      <c r="I46" s="439">
        <v>3177</v>
      </c>
      <c r="J46" s="442"/>
      <c r="K46" s="721"/>
      <c r="L46" s="2950"/>
      <c r="M46" s="2951"/>
      <c r="N46" s="2942"/>
      <c r="O46" s="2951"/>
      <c r="P46" s="3316" t="str">
        <f>A46</f>
        <v>成交单价</v>
      </c>
      <c r="Q46" s="3316"/>
      <c r="R46" s="3322">
        <f>E46</f>
        <v>3107</v>
      </c>
      <c r="S46" s="3322"/>
      <c r="T46" s="3322">
        <f>G46</f>
        <v>3761</v>
      </c>
      <c r="U46" s="3322"/>
      <c r="V46" s="3322">
        <f>I46</f>
        <v>3177</v>
      </c>
      <c r="W46" s="3322"/>
      <c r="X46" s="697"/>
      <c r="Y46" s="719"/>
      <c r="Z46" s="697"/>
      <c r="AA46" s="697"/>
      <c r="AB46" s="697"/>
      <c r="AC46" s="697"/>
    </row>
    <row r="47" spans="1:29" ht="15.75" thickBot="1">
      <c r="A47" s="443" t="s">
        <v>2488</v>
      </c>
      <c r="B47" s="637"/>
      <c r="C47" s="446">
        <f>R48</f>
        <v>3374</v>
      </c>
      <c r="D47" s="2536" t="s">
        <v>2878</v>
      </c>
      <c r="E47" s="446">
        <f>R47</f>
        <v>3107</v>
      </c>
      <c r="F47" s="2537"/>
      <c r="G47" s="445">
        <f>T47</f>
        <v>3838</v>
      </c>
      <c r="H47" s="2537"/>
      <c r="I47" s="446">
        <f>V47</f>
        <v>3178</v>
      </c>
      <c r="J47" s="2537"/>
      <c r="K47" s="2539">
        <f>F47+H47+J47</f>
        <v>0</v>
      </c>
      <c r="L47" s="2950"/>
      <c r="M47" s="2951"/>
      <c r="N47" s="2951"/>
      <c r="O47" s="2951"/>
      <c r="P47" s="3316" t="str">
        <f>A47</f>
        <v>比较价值（元/平方米）</v>
      </c>
      <c r="Q47" s="3316"/>
      <c r="R47" s="3309">
        <f>ROUND(PRODUCT(R46,AA7:AA45),0)</f>
        <v>3107</v>
      </c>
      <c r="S47" s="3309"/>
      <c r="T47" s="3309">
        <f>ROUND(PRODUCT(T46,AB7:AB45),0)</f>
        <v>3838</v>
      </c>
      <c r="U47" s="3309"/>
      <c r="V47" s="3309">
        <f>ROUND(PRODUCT(V46,AC7:AC45),0)</f>
        <v>3178</v>
      </c>
      <c r="W47" s="3309"/>
      <c r="X47" s="697"/>
      <c r="Y47" s="697"/>
      <c r="Z47" s="697"/>
      <c r="AA47" s="697"/>
      <c r="AB47" s="697"/>
      <c r="AC47" s="697"/>
    </row>
    <row r="48" spans="1:29" ht="15.75" thickBot="1">
      <c r="A48" s="447" t="s">
        <v>2576</v>
      </c>
      <c r="B48" s="448"/>
      <c r="C48" s="449">
        <f>R48</f>
        <v>3374</v>
      </c>
      <c r="D48" s="449"/>
      <c r="E48" s="449"/>
      <c r="F48" s="449"/>
      <c r="G48" s="449"/>
      <c r="H48" s="449"/>
      <c r="I48" s="449"/>
      <c r="J48" s="449"/>
      <c r="K48" s="722"/>
      <c r="L48" s="2950"/>
      <c r="M48" s="2951"/>
      <c r="N48" s="2951"/>
      <c r="O48" s="2951"/>
      <c r="P48" s="3310" t="str">
        <f>A48</f>
        <v>估价对象XX用房的比较价值（楼面单价，元/平方米）</v>
      </c>
      <c r="Q48" s="3311"/>
      <c r="R48" s="3312">
        <f>ROUND(IF(D47="简单平均",AVERAGE(R47:W47),R47*F47+T47*H47+V47*J47),0)</f>
        <v>3374</v>
      </c>
      <c r="S48" s="3312"/>
      <c r="T48" s="3312"/>
      <c r="U48" s="3312"/>
      <c r="V48" s="3312"/>
      <c r="W48" s="3312"/>
      <c r="X48" s="697"/>
      <c r="Y48" s="697"/>
      <c r="Z48" s="697"/>
      <c r="AA48" s="697"/>
      <c r="AB48" s="697"/>
      <c r="AC48" s="697"/>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2" t="s">
        <v>2490</v>
      </c>
      <c r="D51" s="453"/>
      <c r="E51" s="454">
        <f>IF(E46&lt;E47,E47/E46-1,E46/E47-1)</f>
        <v>0</v>
      </c>
      <c r="F51" s="455" t="str">
        <f>IF(OR(E51&gt;=0.3,E51&lt;=-0.3),"超过30%","")</f>
        <v/>
      </c>
      <c r="G51" s="454">
        <f>IF(G46&lt;G47,G47/G46-1,G46/G47-1)</f>
        <v>2.0473278383408733E-2</v>
      </c>
      <c r="H51" s="455" t="str">
        <f>IF(OR(G51&gt;=0.3,G51&lt;=-0.3),"超过30%","")</f>
        <v/>
      </c>
      <c r="I51" s="454">
        <f>IF(I46&lt;I47,I47/I46-1,I46/I47-1)</f>
        <v>3.147623544224043E-4</v>
      </c>
      <c r="J51" s="455"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2" t="s">
        <v>2491</v>
      </c>
      <c r="D52" s="456"/>
      <c r="E52" s="454">
        <f>IF(E47&lt;G47,G47/E47-1,E47/G47-1)</f>
        <v>0.23527518506598</v>
      </c>
      <c r="F52" s="455" t="str">
        <f>IF(OR(E52&gt;=0.2,E52&lt;=-0.2),"超过20%","")</f>
        <v>超过20%</v>
      </c>
      <c r="G52" s="454">
        <f>IF(G47&lt;I47,I47/G47-1,G47/I47-1)</f>
        <v>0.20767778477029575</v>
      </c>
      <c r="H52" s="455" t="str">
        <f>IF(OR(G52&gt;=0.2,G52&lt;=-0.2),"超过20%","")</f>
        <v>超过20%</v>
      </c>
      <c r="I52" s="454">
        <f>IF(I47&lt;E47,E47/I47-1,I47/E47-1)</f>
        <v>2.2851625362085626E-2</v>
      </c>
      <c r="J52" s="455"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7" customFormat="1" ht="13.5" customHeight="1">
      <c r="A53" s="2954"/>
      <c r="B53" s="2954"/>
      <c r="C53" s="452" t="s">
        <v>2492</v>
      </c>
      <c r="D53" s="456"/>
      <c r="E53" s="454">
        <f>IF(E46&lt;G46,G46/E46-1,E46/G46-1)</f>
        <v>0.21049243643385895</v>
      </c>
      <c r="F53" s="455" t="str">
        <f>IF(OR(E53&gt;=0.3,E53&lt;=-0.3),"超过30%","")</f>
        <v/>
      </c>
      <c r="G53" s="454">
        <f>IF(G46&lt;I46,I46/G46-1,G46/I46-1)</f>
        <v>0.18382121498268811</v>
      </c>
      <c r="H53" s="455" t="str">
        <f>IF(OR(G53&gt;=0.3,G53&lt;=-0.3),"超过30%","")</f>
        <v/>
      </c>
      <c r="I53" s="454">
        <f>IF(I46&lt;E46,E46/I46-1,I46/E46-1)</f>
        <v>2.2529771483746464E-2</v>
      </c>
      <c r="J53" s="455"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7" customFormat="1" ht="15" thickBot="1">
      <c r="A54" s="2954"/>
      <c r="B54" s="2957"/>
      <c r="C54" s="700"/>
      <c r="D54" s="698"/>
      <c r="E54" s="698"/>
      <c r="F54" s="698"/>
      <c r="G54" s="698"/>
      <c r="H54" s="698"/>
      <c r="I54" s="698"/>
      <c r="J54" s="698"/>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8" t="s">
        <v>2577</v>
      </c>
      <c r="B55" s="639" t="s">
        <v>2578</v>
      </c>
      <c r="C55" s="2167" t="s">
        <v>2579</v>
      </c>
      <c r="D55" s="2168" t="s">
        <v>2580</v>
      </c>
      <c r="E55" s="640" t="s">
        <v>2581</v>
      </c>
      <c r="F55" s="1019" t="s">
        <v>2582</v>
      </c>
      <c r="G55" s="3313" t="s">
        <v>2583</v>
      </c>
      <c r="H55" s="3314"/>
      <c r="I55" s="138" t="s">
        <v>2584</v>
      </c>
      <c r="J55" s="2169">
        <f>项目基本情况!F35</f>
        <v>0</v>
      </c>
      <c r="K55" s="2170" t="s">
        <v>2585</v>
      </c>
      <c r="L55" s="2952"/>
      <c r="M55" s="2951"/>
      <c r="N55" s="2951"/>
      <c r="O55" s="2951"/>
      <c r="P55" s="2951"/>
      <c r="Q55" s="2951"/>
      <c r="R55" s="2951"/>
      <c r="S55" s="2951"/>
      <c r="T55" s="2951"/>
      <c r="U55" s="2951"/>
      <c r="V55" s="2951"/>
      <c r="W55" s="2951"/>
      <c r="X55" s="2951"/>
      <c r="Y55" s="2951"/>
      <c r="Z55" s="2951"/>
      <c r="AA55" s="2951"/>
      <c r="AB55" s="2951"/>
      <c r="AC55" s="2951"/>
    </row>
    <row r="56" spans="1:29" s="646" customFormat="1">
      <c r="A56" s="642" t="s">
        <v>2586</v>
      </c>
      <c r="B56" s="643">
        <f>C48</f>
        <v>3374</v>
      </c>
      <c r="C56" s="644">
        <v>1</v>
      </c>
      <c r="D56" s="1073">
        <v>1</v>
      </c>
      <c r="E56" s="644">
        <f>'数据-汇总表'!E8+'数据-汇总表'!E9</f>
        <v>125054.78</v>
      </c>
      <c r="F56" s="1015">
        <f t="shared" ref="F56:F65" si="15">ROUND(B56*E56/10000,0)</f>
        <v>42193</v>
      </c>
      <c r="G56" s="3315"/>
      <c r="H56" s="3316"/>
      <c r="I56" s="1020">
        <v>1</v>
      </c>
      <c r="J56" s="1023">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6" customFormat="1">
      <c r="A57" s="647" t="s">
        <v>2587</v>
      </c>
      <c r="B57" s="222">
        <f>ROUND($C$48*C57*D57,0)</f>
        <v>0</v>
      </c>
      <c r="C57" s="174">
        <f t="shared" ref="C57:C65" si="16">IF($C$55="北京市系数",I57,J57)</f>
        <v>0</v>
      </c>
      <c r="D57" s="1074">
        <v>0.25</v>
      </c>
      <c r="E57" s="648"/>
      <c r="F57" s="1015">
        <f t="shared" si="15"/>
        <v>0</v>
      </c>
      <c r="G57" s="3317" t="s">
        <v>2588</v>
      </c>
      <c r="H57" s="1016">
        <f>项目基本情况!B37</f>
        <v>0</v>
      </c>
      <c r="I57" s="1020">
        <f>SUMIF(修正!A45:A56,H57,修正!B45:B56)</f>
        <v>0</v>
      </c>
      <c r="J57" s="1024"/>
      <c r="K57" s="2951"/>
      <c r="L57" s="3008"/>
      <c r="M57" s="3008"/>
      <c r="N57" s="3008"/>
      <c r="O57" s="3008"/>
      <c r="P57" s="3008"/>
      <c r="Q57" s="3008"/>
      <c r="R57" s="3008"/>
      <c r="S57" s="3008"/>
      <c r="T57" s="3008"/>
      <c r="U57" s="3008"/>
      <c r="V57" s="3008"/>
      <c r="W57" s="3008"/>
      <c r="X57" s="3008"/>
      <c r="Y57" s="3008"/>
      <c r="Z57" s="3008"/>
      <c r="AA57" s="3008"/>
      <c r="AB57" s="3008"/>
      <c r="AC57" s="3008"/>
    </row>
    <row r="58" spans="1:29" s="646" customFormat="1">
      <c r="A58" s="647" t="s">
        <v>2589</v>
      </c>
      <c r="B58" s="222">
        <f t="shared" ref="B58:B65" si="17">ROUND($C$48*C58*D58,0)</f>
        <v>0</v>
      </c>
      <c r="C58" s="174">
        <f t="shared" si="16"/>
        <v>0</v>
      </c>
      <c r="D58" s="1074">
        <v>0.25</v>
      </c>
      <c r="E58" s="648"/>
      <c r="F58" s="1015">
        <f t="shared" si="15"/>
        <v>0</v>
      </c>
      <c r="G58" s="3317"/>
      <c r="H58" s="1016">
        <f>项目基本情况!B37</f>
        <v>0</v>
      </c>
      <c r="I58" s="1020">
        <f>SUMIF(修正!A45:A56,H58,修正!C45:C56)</f>
        <v>0</v>
      </c>
      <c r="J58" s="1024"/>
      <c r="K58" s="2954"/>
      <c r="L58" s="3008"/>
      <c r="M58" s="3008"/>
      <c r="N58" s="3008"/>
      <c r="O58" s="3008"/>
      <c r="P58" s="3008"/>
      <c r="Q58" s="3008"/>
      <c r="R58" s="3008"/>
      <c r="S58" s="3008"/>
      <c r="T58" s="3008"/>
      <c r="U58" s="3008"/>
      <c r="V58" s="3008"/>
      <c r="W58" s="3008"/>
      <c r="X58" s="3008"/>
      <c r="Y58" s="3008"/>
      <c r="Z58" s="3008"/>
      <c r="AA58" s="3008"/>
      <c r="AB58" s="3008"/>
      <c r="AC58" s="3008"/>
    </row>
    <row r="59" spans="1:29" s="646" customFormat="1">
      <c r="A59" s="647" t="s">
        <v>2590</v>
      </c>
      <c r="B59" s="222">
        <f t="shared" si="17"/>
        <v>0</v>
      </c>
      <c r="C59" s="174">
        <f t="shared" si="16"/>
        <v>0</v>
      </c>
      <c r="D59" s="1074">
        <v>0.25</v>
      </c>
      <c r="E59" s="648"/>
      <c r="F59" s="1015">
        <f t="shared" si="15"/>
        <v>0</v>
      </c>
      <c r="G59" s="3317"/>
      <c r="H59" s="1016">
        <f>项目基本情况!B37</f>
        <v>0</v>
      </c>
      <c r="I59" s="1020">
        <f>SUMIF(修正!A45:A56,H59,修正!D45:D56)</f>
        <v>0</v>
      </c>
      <c r="J59" s="1024"/>
      <c r="K59" s="2951"/>
      <c r="L59" s="3008"/>
      <c r="M59" s="3008"/>
      <c r="N59" s="3008"/>
      <c r="O59" s="3008"/>
      <c r="P59" s="3008"/>
      <c r="Q59" s="3008"/>
      <c r="R59" s="3008"/>
      <c r="S59" s="3008"/>
      <c r="T59" s="3008"/>
      <c r="U59" s="3008"/>
      <c r="V59" s="3008"/>
      <c r="W59" s="3008"/>
      <c r="X59" s="3008"/>
      <c r="Y59" s="3008"/>
      <c r="Z59" s="3008"/>
      <c r="AA59" s="3008"/>
      <c r="AB59" s="3008"/>
      <c r="AC59" s="3008"/>
    </row>
    <row r="60" spans="1:29" s="646" customFormat="1">
      <c r="A60" s="647" t="s">
        <v>2591</v>
      </c>
      <c r="B60" s="222">
        <f t="shared" si="17"/>
        <v>0</v>
      </c>
      <c r="C60" s="174">
        <f t="shared" si="16"/>
        <v>0</v>
      </c>
      <c r="D60" s="1074">
        <v>0.25</v>
      </c>
      <c r="E60" s="648"/>
      <c r="F60" s="1015">
        <f t="shared" si="15"/>
        <v>0</v>
      </c>
      <c r="G60" s="3317"/>
      <c r="H60" s="1016">
        <f>项目基本情况!B37</f>
        <v>0</v>
      </c>
      <c r="I60" s="1020">
        <f>SUMIF(修正!A45:A56,H60,修正!E45:E56)</f>
        <v>0</v>
      </c>
      <c r="J60" s="1024"/>
      <c r="K60" s="2954"/>
      <c r="L60" s="3008"/>
      <c r="M60" s="3008"/>
      <c r="N60" s="3008"/>
      <c r="O60" s="3008"/>
      <c r="P60" s="3008"/>
      <c r="Q60" s="3008"/>
      <c r="R60" s="3008"/>
      <c r="S60" s="3008"/>
      <c r="T60" s="3008"/>
      <c r="U60" s="3008"/>
      <c r="V60" s="3008"/>
      <c r="W60" s="3008"/>
      <c r="X60" s="3008"/>
      <c r="Y60" s="3008"/>
      <c r="Z60" s="3008"/>
      <c r="AA60" s="3008"/>
      <c r="AB60" s="3008"/>
      <c r="AC60" s="3008"/>
    </row>
    <row r="61" spans="1:29" s="646" customFormat="1">
      <c r="A61" s="647" t="s">
        <v>2592</v>
      </c>
      <c r="B61" s="222">
        <f t="shared" si="17"/>
        <v>0</v>
      </c>
      <c r="C61" s="174">
        <f t="shared" si="16"/>
        <v>0</v>
      </c>
      <c r="D61" s="1074">
        <v>0.25</v>
      </c>
      <c r="E61" s="221">
        <f>'数据-汇总表'!E11</f>
        <v>0</v>
      </c>
      <c r="F61" s="1015">
        <f t="shared" si="15"/>
        <v>0</v>
      </c>
      <c r="G61" s="2171" t="s">
        <v>2593</v>
      </c>
      <c r="H61" s="1016">
        <f>项目基本情况!C37</f>
        <v>0</v>
      </c>
      <c r="I61" s="1020">
        <f>SUMIF(修正!A45:A56,H61,修正!F45:F56)</f>
        <v>0</v>
      </c>
      <c r="J61" s="1024"/>
      <c r="K61" s="2951"/>
      <c r="L61" s="3008"/>
      <c r="M61" s="3008"/>
      <c r="N61" s="3008"/>
      <c r="O61" s="3008"/>
      <c r="P61" s="3008"/>
      <c r="Q61" s="3008"/>
      <c r="R61" s="3008"/>
      <c r="S61" s="3008"/>
      <c r="T61" s="3008"/>
      <c r="U61" s="3008"/>
      <c r="V61" s="3008"/>
      <c r="W61" s="3008"/>
      <c r="X61" s="3008"/>
      <c r="Y61" s="3008"/>
      <c r="Z61" s="3008"/>
      <c r="AA61" s="3008"/>
      <c r="AB61" s="3008"/>
      <c r="AC61" s="3008"/>
    </row>
    <row r="62" spans="1:29" s="646" customFormat="1">
      <c r="A62" s="647" t="s">
        <v>2594</v>
      </c>
      <c r="B62" s="222">
        <f t="shared" si="17"/>
        <v>0</v>
      </c>
      <c r="C62" s="174">
        <f t="shared" si="16"/>
        <v>0</v>
      </c>
      <c r="D62" s="1074">
        <v>0.25</v>
      </c>
      <c r="E62" s="221">
        <f>'数据-汇总表'!E12</f>
        <v>8370.0399999999991</v>
      </c>
      <c r="F62" s="1015">
        <f t="shared" si="15"/>
        <v>0</v>
      </c>
      <c r="G62" s="1021" t="s">
        <v>2595</v>
      </c>
      <c r="H62" s="1016">
        <f>IF(G62="商业",项目基本情况!B37,IF(G62="办公",项目基本情况!C37,IF(G62="住宅",项目基本情况!D37,项目基本情况!E37)))</f>
        <v>0</v>
      </c>
      <c r="I62" s="1020">
        <f>SUMIF(修正!A45:A56,H62,修正!G45:G56)</f>
        <v>0</v>
      </c>
      <c r="J62" s="1024"/>
      <c r="K62" s="2954"/>
      <c r="L62" s="3008"/>
      <c r="M62" s="3008"/>
      <c r="N62" s="3008"/>
      <c r="O62" s="3008"/>
      <c r="P62" s="3008"/>
      <c r="Q62" s="3008"/>
      <c r="R62" s="3008"/>
      <c r="S62" s="3008"/>
      <c r="T62" s="3008"/>
      <c r="U62" s="3008"/>
      <c r="V62" s="3008"/>
      <c r="W62" s="3008"/>
      <c r="X62" s="3008"/>
      <c r="Y62" s="3008"/>
      <c r="Z62" s="3008"/>
      <c r="AA62" s="3008"/>
      <c r="AB62" s="3008"/>
      <c r="AC62" s="3008"/>
    </row>
    <row r="63" spans="1:29" s="646" customFormat="1">
      <c r="A63" s="647" t="s">
        <v>2596</v>
      </c>
      <c r="B63" s="222">
        <f t="shared" si="17"/>
        <v>0</v>
      </c>
      <c r="C63" s="174">
        <f t="shared" si="16"/>
        <v>0</v>
      </c>
      <c r="D63" s="1074">
        <v>0.25</v>
      </c>
      <c r="E63" s="221">
        <f>'数据-汇总表'!E13</f>
        <v>0</v>
      </c>
      <c r="F63" s="1015">
        <f t="shared" si="15"/>
        <v>0</v>
      </c>
      <c r="G63" s="1021" t="s">
        <v>2597</v>
      </c>
      <c r="H63" s="1016">
        <f>IF(G63="商业",项目基本情况!B37,IF(G63="办公",项目基本情况!C37,IF(G63="住宅",项目基本情况!D37,项目基本情况!E37)))</f>
        <v>0</v>
      </c>
      <c r="I63" s="1020">
        <f>SUMIF(修正!A45:A56,H63,修正!H45:H56)</f>
        <v>0</v>
      </c>
      <c r="J63" s="1024"/>
      <c r="K63" s="2951"/>
      <c r="L63" s="3008"/>
      <c r="M63" s="3008"/>
      <c r="N63" s="3008"/>
      <c r="O63" s="3008"/>
      <c r="P63" s="3008"/>
      <c r="Q63" s="3008"/>
      <c r="R63" s="3008"/>
      <c r="S63" s="3008"/>
      <c r="T63" s="3008"/>
      <c r="U63" s="3008"/>
      <c r="V63" s="3008"/>
      <c r="W63" s="3008"/>
      <c r="X63" s="3008"/>
      <c r="Y63" s="3008"/>
      <c r="Z63" s="3008"/>
      <c r="AA63" s="3008"/>
      <c r="AB63" s="3008"/>
      <c r="AC63" s="3008"/>
    </row>
    <row r="64" spans="1:29" s="646" customFormat="1">
      <c r="A64" s="647" t="s">
        <v>2598</v>
      </c>
      <c r="B64" s="222">
        <f t="shared" si="17"/>
        <v>0</v>
      </c>
      <c r="C64" s="174">
        <f t="shared" si="16"/>
        <v>0</v>
      </c>
      <c r="D64" s="1074">
        <v>0.25</v>
      </c>
      <c r="E64" s="221">
        <f>'数据-汇总表'!E14</f>
        <v>0</v>
      </c>
      <c r="F64" s="1015">
        <f t="shared" si="15"/>
        <v>0</v>
      </c>
      <c r="G64" s="2171" t="s">
        <v>2588</v>
      </c>
      <c r="H64" s="1016">
        <f>项目基本情况!B37</f>
        <v>0</v>
      </c>
      <c r="I64" s="1020">
        <f>SUMIF(修正!A45:A56,H64,修正!H45:H56)</f>
        <v>0</v>
      </c>
      <c r="J64" s="1024"/>
      <c r="K64" s="2954"/>
      <c r="L64" s="3008"/>
      <c r="M64" s="3008"/>
      <c r="N64" s="3008"/>
      <c r="O64" s="3008"/>
      <c r="P64" s="3008"/>
      <c r="Q64" s="3008"/>
      <c r="R64" s="3008"/>
      <c r="S64" s="3008"/>
      <c r="T64" s="3008"/>
      <c r="U64" s="3008"/>
      <c r="V64" s="3008"/>
      <c r="W64" s="3008"/>
      <c r="X64" s="3008"/>
      <c r="Y64" s="3008"/>
      <c r="Z64" s="3008"/>
      <c r="AA64" s="3008"/>
      <c r="AB64" s="3008"/>
      <c r="AC64" s="3008"/>
    </row>
    <row r="65" spans="1:29" s="646" customFormat="1" ht="15" thickBot="1">
      <c r="A65" s="647" t="s">
        <v>2599</v>
      </c>
      <c r="B65" s="222">
        <f t="shared" si="17"/>
        <v>0</v>
      </c>
      <c r="C65" s="174">
        <f t="shared" si="16"/>
        <v>0</v>
      </c>
      <c r="D65" s="1074">
        <v>0.25</v>
      </c>
      <c r="E65" s="221">
        <f>'数据-汇总表'!E15</f>
        <v>0</v>
      </c>
      <c r="F65" s="1015">
        <f t="shared" si="15"/>
        <v>0</v>
      </c>
      <c r="G65" s="2172" t="s">
        <v>2593</v>
      </c>
      <c r="H65" s="1026">
        <f>项目基本情况!C37</f>
        <v>0</v>
      </c>
      <c r="I65" s="1022">
        <f>SUMIF(修正!A45:A56,H65,修正!H45:H56)</f>
        <v>0</v>
      </c>
      <c r="J65" s="1025"/>
      <c r="K65" s="2951"/>
      <c r="L65" s="3008"/>
      <c r="M65" s="3008"/>
      <c r="N65" s="3008"/>
      <c r="O65" s="3008"/>
      <c r="P65" s="3008"/>
      <c r="Q65" s="3008"/>
      <c r="R65" s="3008"/>
      <c r="S65" s="3008"/>
      <c r="T65" s="3008"/>
      <c r="U65" s="3008"/>
      <c r="V65" s="3008"/>
      <c r="W65" s="3008"/>
      <c r="X65" s="3008"/>
      <c r="Y65" s="3008"/>
      <c r="Z65" s="3008"/>
      <c r="AA65" s="3008"/>
      <c r="AB65" s="3008"/>
      <c r="AC65" s="3008"/>
    </row>
    <row r="66" spans="1:29" s="646" customFormat="1" ht="13.5" thickBot="1">
      <c r="A66" s="649" t="s">
        <v>2600</v>
      </c>
      <c r="B66" s="650" t="s">
        <v>28</v>
      </c>
      <c r="C66" s="650" t="s">
        <v>29</v>
      </c>
      <c r="D66" s="650" t="s">
        <v>997</v>
      </c>
      <c r="E66" s="650">
        <f>IF(B46="楼面地价",SUM(E56:E65),'数据-汇总表'!D3)</f>
        <v>133424.82</v>
      </c>
      <c r="F66" s="651">
        <f>IF(B46="楼面地价",SUM(F56:F65),ROUND(C48*E66/10000,0))</f>
        <v>42193</v>
      </c>
      <c r="G66" s="724"/>
      <c r="H66" s="724"/>
      <c r="I66" s="724"/>
      <c r="J66" s="724"/>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7"/>
      <c r="B67" s="699"/>
      <c r="C67" s="700"/>
      <c r="D67" s="697"/>
      <c r="E67" s="697"/>
      <c r="F67" s="697"/>
      <c r="G67" s="697"/>
      <c r="H67" s="697"/>
      <c r="I67" s="697"/>
      <c r="J67" s="1056"/>
      <c r="K67" s="1017"/>
      <c r="L67" s="1018"/>
      <c r="M67" s="1056"/>
      <c r="N67" s="1056"/>
      <c r="O67" s="1056"/>
      <c r="P67" s="2951"/>
      <c r="Q67" s="2951"/>
      <c r="R67" s="2951"/>
      <c r="S67" s="2951"/>
      <c r="T67" s="2951"/>
      <c r="U67" s="2951"/>
      <c r="V67" s="2951"/>
      <c r="W67" s="2951"/>
      <c r="X67" s="2951"/>
      <c r="Y67" s="2951"/>
      <c r="Z67" s="2951"/>
      <c r="AA67" s="2951"/>
      <c r="AB67" s="2951"/>
      <c r="AC67" s="2951"/>
    </row>
    <row r="68" spans="1:29">
      <c r="A68" s="697"/>
      <c r="B68" s="699"/>
      <c r="C68" s="699" t="str">
        <f>YEAR(C7)&amp;"-"&amp;MONTH(C7)&amp;"-1"</f>
        <v>2021-4-1</v>
      </c>
      <c r="D68" s="699">
        <f>EDATE(C68,-3)</f>
        <v>44197</v>
      </c>
      <c r="E68" s="699">
        <f>EDATE(D68,-3)</f>
        <v>44105</v>
      </c>
      <c r="F68" s="699">
        <f t="shared" ref="F68:O68" si="18">EDATE(E68,-3)</f>
        <v>44013</v>
      </c>
      <c r="G68" s="699">
        <f t="shared" si="18"/>
        <v>43922</v>
      </c>
      <c r="H68" s="699">
        <f t="shared" si="18"/>
        <v>43831</v>
      </c>
      <c r="I68" s="699">
        <f t="shared" si="18"/>
        <v>43739</v>
      </c>
      <c r="J68" s="699">
        <f t="shared" si="18"/>
        <v>43647</v>
      </c>
      <c r="K68" s="699">
        <f t="shared" si="18"/>
        <v>43556</v>
      </c>
      <c r="L68" s="699">
        <f t="shared" si="18"/>
        <v>43466</v>
      </c>
      <c r="M68" s="699">
        <f t="shared" si="18"/>
        <v>43374</v>
      </c>
      <c r="N68" s="699">
        <f t="shared" si="18"/>
        <v>43282</v>
      </c>
      <c r="O68" s="699">
        <f t="shared" si="18"/>
        <v>43191</v>
      </c>
      <c r="P68" s="2951"/>
      <c r="Q68" s="2951"/>
      <c r="R68" s="2951"/>
      <c r="S68" s="2951"/>
      <c r="T68" s="2951"/>
      <c r="U68" s="2951"/>
      <c r="V68" s="2951"/>
      <c r="W68" s="2951"/>
      <c r="X68" s="2951"/>
      <c r="Y68" s="2951"/>
      <c r="Z68" s="2951"/>
      <c r="AA68" s="2951"/>
      <c r="AB68" s="2951"/>
      <c r="AC68" s="2951"/>
    </row>
    <row r="69" spans="1:29" ht="21.75" thickBot="1">
      <c r="A69" s="701" t="s">
        <v>2493</v>
      </c>
      <c r="B69" s="697"/>
      <c r="C69" s="702"/>
      <c r="D69" s="702"/>
      <c r="E69" s="702"/>
      <c r="F69" s="703"/>
      <c r="G69" s="703"/>
      <c r="H69" s="702"/>
      <c r="I69" s="702"/>
      <c r="J69" s="1069"/>
      <c r="K69" s="1070"/>
      <c r="L69" s="1071"/>
      <c r="M69" s="1069"/>
      <c r="N69" s="2995"/>
      <c r="O69" s="2995"/>
      <c r="P69" s="2995"/>
      <c r="Q69" s="2965"/>
      <c r="R69" s="2951"/>
      <c r="S69" s="2951"/>
      <c r="T69" s="2951"/>
      <c r="U69" s="2951"/>
      <c r="V69" s="2951"/>
      <c r="W69" s="2951"/>
      <c r="X69" s="2951"/>
      <c r="Y69" s="2951"/>
      <c r="Z69" s="2951"/>
      <c r="AA69" s="2951"/>
      <c r="AB69" s="2951"/>
      <c r="AC69" s="2951"/>
    </row>
    <row r="70" spans="1:29" s="463" customFormat="1" ht="15">
      <c r="A70" s="2173" t="s">
        <v>2601</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2"/>
      <c r="Q70" s="2967"/>
      <c r="R70" s="2967"/>
      <c r="S70" s="2967"/>
      <c r="T70" s="2967"/>
      <c r="U70" s="2967"/>
      <c r="V70" s="2967"/>
      <c r="W70" s="2967"/>
      <c r="X70" s="2967"/>
      <c r="Y70" s="2967"/>
      <c r="Z70" s="2967"/>
      <c r="AA70" s="2967"/>
      <c r="AB70" s="2967"/>
      <c r="AC70" s="2967"/>
    </row>
    <row r="71" spans="1:29" s="112" customFormat="1" ht="30" customHeight="1">
      <c r="A71" s="2174" t="s">
        <v>2602</v>
      </c>
      <c r="B71" s="292" t="str">
        <f>"北京市平均增长率"&amp;TEXT(SUMIF(基准地价修正!N21:N25,A71,基准地价修正!P21:P25),"0.00%")</f>
        <v>北京市平均增长率1.87%</v>
      </c>
      <c r="C71" s="558">
        <v>100</v>
      </c>
      <c r="D71" s="550">
        <v>100</v>
      </c>
      <c r="E71" s="550">
        <v>100</v>
      </c>
      <c r="F71" s="550">
        <v>100</v>
      </c>
      <c r="G71" s="550">
        <v>100</v>
      </c>
      <c r="H71" s="550">
        <v>100</v>
      </c>
      <c r="I71" s="550">
        <v>100</v>
      </c>
      <c r="J71" s="550">
        <v>100</v>
      </c>
      <c r="K71" s="550">
        <v>100</v>
      </c>
      <c r="L71" s="550">
        <v>100</v>
      </c>
      <c r="M71" s="550">
        <v>100</v>
      </c>
      <c r="N71" s="550"/>
      <c r="O71" s="1339"/>
      <c r="P71" s="2965"/>
      <c r="Q71" s="2885"/>
      <c r="R71" s="2885"/>
      <c r="S71" s="2885"/>
      <c r="T71" s="2885"/>
      <c r="U71" s="2885"/>
      <c r="V71" s="2885"/>
      <c r="W71" s="2885"/>
      <c r="X71" s="2885"/>
      <c r="Y71" s="2885"/>
      <c r="Z71" s="2885"/>
      <c r="AA71" s="2885"/>
      <c r="AB71" s="2885"/>
      <c r="AC71" s="2885"/>
    </row>
    <row r="72" spans="1:29" s="112" customFormat="1" ht="15.75" thickBot="1">
      <c r="A72" s="470" t="s">
        <v>2404</v>
      </c>
      <c r="B72" s="471"/>
      <c r="C72" s="472"/>
      <c r="D72" s="473"/>
      <c r="E72" s="473"/>
      <c r="F72" s="473"/>
      <c r="G72" s="473"/>
      <c r="H72" s="473"/>
      <c r="I72" s="473"/>
      <c r="J72" s="473"/>
      <c r="K72" s="473"/>
      <c r="L72" s="473"/>
      <c r="M72" s="474"/>
      <c r="N72" s="473"/>
      <c r="O72" s="1072"/>
      <c r="P72" s="2965"/>
      <c r="Q72" s="2965"/>
      <c r="R72" s="2885"/>
      <c r="S72" s="2885"/>
      <c r="T72" s="2885"/>
      <c r="U72" s="2885"/>
      <c r="V72" s="2885"/>
      <c r="W72" s="2885"/>
      <c r="X72" s="2885"/>
      <c r="Y72" s="2885"/>
      <c r="Z72" s="2885"/>
      <c r="AA72" s="2885"/>
      <c r="AB72" s="2885"/>
      <c r="AC72" s="2885"/>
    </row>
    <row r="73" spans="1:29" s="112" customFormat="1" ht="15">
      <c r="A73" s="476" t="s">
        <v>2369</v>
      </c>
      <c r="B73" s="465"/>
      <c r="C73" s="477" t="s">
        <v>2471</v>
      </c>
      <c r="D73" s="478"/>
      <c r="E73" s="478"/>
      <c r="F73" s="478"/>
      <c r="G73" s="478"/>
      <c r="H73" s="478"/>
      <c r="I73" s="478"/>
      <c r="J73" s="478"/>
      <c r="K73" s="478"/>
      <c r="L73" s="479"/>
      <c r="M73" s="480"/>
      <c r="N73" s="2978"/>
      <c r="O73" s="2978"/>
      <c r="P73" s="3003"/>
      <c r="Q73" s="2965"/>
      <c r="R73" s="2885"/>
      <c r="S73" s="2885"/>
      <c r="T73" s="2885"/>
      <c r="U73" s="2885"/>
      <c r="V73" s="2885"/>
      <c r="W73" s="2885"/>
      <c r="X73" s="2885"/>
      <c r="Y73" s="2885"/>
      <c r="Z73" s="2885"/>
      <c r="AA73" s="2885"/>
      <c r="AB73" s="2885"/>
      <c r="AC73" s="2885"/>
    </row>
    <row r="74" spans="1:29" s="112" customFormat="1" ht="15.75" thickBot="1">
      <c r="A74" s="476"/>
      <c r="B74" s="465"/>
      <c r="C74" s="593">
        <v>100</v>
      </c>
      <c r="D74" s="467"/>
      <c r="E74" s="467"/>
      <c r="F74" s="467"/>
      <c r="G74" s="467"/>
      <c r="H74" s="467"/>
      <c r="I74" s="467"/>
      <c r="J74" s="467"/>
      <c r="K74" s="467"/>
      <c r="L74" s="467"/>
      <c r="M74" s="469"/>
      <c r="N74" s="2978"/>
      <c r="O74" s="2978"/>
      <c r="P74" s="2965"/>
      <c r="Q74" s="2965"/>
      <c r="R74" s="2885"/>
      <c r="S74" s="2885"/>
      <c r="T74" s="2885"/>
      <c r="U74" s="2885"/>
      <c r="V74" s="2885"/>
      <c r="W74" s="2885"/>
      <c r="X74" s="2885"/>
      <c r="Y74" s="2885"/>
      <c r="Z74" s="2885"/>
      <c r="AA74" s="2885"/>
      <c r="AB74" s="2885"/>
      <c r="AC74" s="2885"/>
    </row>
    <row r="75" spans="1:29">
      <c r="A75" s="482" t="s">
        <v>2407</v>
      </c>
      <c r="B75" s="483" t="s">
        <v>2373</v>
      </c>
      <c r="C75" s="485"/>
      <c r="D75" s="485"/>
      <c r="E75" s="485"/>
      <c r="F75" s="485"/>
      <c r="G75" s="485"/>
      <c r="H75" s="485"/>
      <c r="I75" s="485"/>
      <c r="J75" s="485"/>
      <c r="K75" s="486"/>
      <c r="L75" s="487"/>
      <c r="M75" s="488"/>
      <c r="N75" s="2979"/>
      <c r="O75" s="2979"/>
      <c r="P75" s="3004"/>
      <c r="Q75" s="2965"/>
      <c r="R75" s="2951"/>
      <c r="S75" s="2951"/>
      <c r="T75" s="2951"/>
      <c r="U75" s="2951"/>
      <c r="V75" s="2951"/>
      <c r="W75" s="2951"/>
      <c r="X75" s="2951"/>
      <c r="Y75" s="2951"/>
      <c r="Z75" s="2951"/>
      <c r="AA75" s="2951"/>
      <c r="AB75" s="2951"/>
      <c r="AC75" s="2951"/>
    </row>
    <row r="76" spans="1:29" ht="15.75" thickBot="1">
      <c r="A76" s="489"/>
      <c r="B76" s="490"/>
      <c r="C76" s="491"/>
      <c r="D76" s="491"/>
      <c r="E76" s="491"/>
      <c r="F76" s="491"/>
      <c r="G76" s="491"/>
      <c r="H76" s="491"/>
      <c r="I76" s="491"/>
      <c r="J76" s="491"/>
      <c r="K76" s="491"/>
      <c r="L76" s="491"/>
      <c r="M76" s="492"/>
      <c r="N76" s="2980"/>
      <c r="O76" s="2980"/>
      <c r="P76" s="3004"/>
      <c r="Q76" s="2965"/>
      <c r="R76" s="2951"/>
      <c r="S76" s="2951"/>
      <c r="T76" s="2951"/>
      <c r="U76" s="2951"/>
      <c r="V76" s="2951"/>
      <c r="W76" s="2951"/>
      <c r="X76" s="2951"/>
      <c r="Y76" s="2951"/>
      <c r="Z76" s="2951"/>
      <c r="AA76" s="2951"/>
      <c r="AB76" s="2951"/>
      <c r="AC76" s="2951"/>
    </row>
    <row r="77" spans="1:29" ht="27.75" thickTop="1">
      <c r="A77" s="489"/>
      <c r="B77" s="493" t="s">
        <v>2376</v>
      </c>
      <c r="C77" s="494"/>
      <c r="D77" s="494"/>
      <c r="E77" s="494"/>
      <c r="F77" s="494"/>
      <c r="G77" s="494"/>
      <c r="H77" s="494"/>
      <c r="I77" s="494"/>
      <c r="J77" s="494"/>
      <c r="K77" s="495"/>
      <c r="L77" s="496"/>
      <c r="M77" s="497"/>
      <c r="N77" s="2979"/>
      <c r="O77" s="2979"/>
      <c r="P77" s="3004"/>
      <c r="Q77" s="2965"/>
      <c r="R77" s="2951"/>
      <c r="S77" s="2951"/>
      <c r="T77" s="2951"/>
      <c r="U77" s="2951"/>
      <c r="V77" s="2951"/>
      <c r="W77" s="2951"/>
      <c r="X77" s="2951"/>
      <c r="Y77" s="2951"/>
      <c r="Z77" s="2951"/>
      <c r="AA77" s="2951"/>
      <c r="AB77" s="2951"/>
      <c r="AC77" s="2951"/>
    </row>
    <row r="78" spans="1:29" ht="15.75" thickBot="1">
      <c r="A78" s="489"/>
      <c r="B78" s="498"/>
      <c r="C78" s="499"/>
      <c r="D78" s="499"/>
      <c r="E78" s="499"/>
      <c r="F78" s="499"/>
      <c r="G78" s="499"/>
      <c r="H78" s="499"/>
      <c r="I78" s="499"/>
      <c r="J78" s="499"/>
      <c r="K78" s="499"/>
      <c r="L78" s="499"/>
      <c r="M78" s="500"/>
      <c r="N78" s="2980"/>
      <c r="O78" s="2980"/>
      <c r="P78" s="3004"/>
      <c r="Q78" s="2965"/>
      <c r="R78" s="2951"/>
      <c r="S78" s="2951"/>
      <c r="T78" s="2951"/>
      <c r="U78" s="2951"/>
      <c r="V78" s="2951"/>
      <c r="W78" s="2951"/>
      <c r="X78" s="2951"/>
      <c r="Y78" s="2951"/>
      <c r="Z78" s="2951"/>
      <c r="AA78" s="2951"/>
      <c r="AB78" s="2951"/>
      <c r="AC78" s="2951"/>
    </row>
    <row r="79" spans="1:29" ht="15.75" thickTop="1">
      <c r="A79" s="489"/>
      <c r="B79" s="501" t="s">
        <v>2377</v>
      </c>
      <c r="C79" s="502" t="str">
        <f>C80&amp;"（含）"&amp;"-"&amp;D80</f>
        <v>0（含）-0.5</v>
      </c>
      <c r="D79" s="502" t="str">
        <f t="shared" ref="D79:L79" si="20">D80&amp;"（含）"&amp;"-"&amp;E80</f>
        <v>0.5（含）-1</v>
      </c>
      <c r="E79" s="502" t="str">
        <f t="shared" si="20"/>
        <v>1（含）-1.5</v>
      </c>
      <c r="F79" s="502" t="str">
        <f t="shared" si="20"/>
        <v>1.5（含）-2</v>
      </c>
      <c r="G79" s="502" t="str">
        <f t="shared" si="20"/>
        <v>2（含）-2.5</v>
      </c>
      <c r="H79" s="502" t="str">
        <f t="shared" si="20"/>
        <v>2.5（含）-3</v>
      </c>
      <c r="I79" s="502" t="str">
        <f t="shared" si="20"/>
        <v>3（含）-3.5</v>
      </c>
      <c r="J79" s="502" t="str">
        <f t="shared" si="20"/>
        <v>3.5（含）-</v>
      </c>
      <c r="K79" s="502" t="str">
        <f t="shared" si="20"/>
        <v>（含）-</v>
      </c>
      <c r="L79" s="502" t="str">
        <f t="shared" si="20"/>
        <v>（含）-</v>
      </c>
      <c r="M79" s="405"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9"/>
      <c r="B80" s="503"/>
      <c r="C80" s="504">
        <v>0</v>
      </c>
      <c r="D80" s="504">
        <v>0.5</v>
      </c>
      <c r="E80" s="504">
        <v>1</v>
      </c>
      <c r="F80" s="504">
        <v>1.5</v>
      </c>
      <c r="G80" s="504">
        <v>2</v>
      </c>
      <c r="H80" s="504">
        <v>2.5</v>
      </c>
      <c r="I80" s="504">
        <v>3</v>
      </c>
      <c r="J80" s="504">
        <v>3.5</v>
      </c>
      <c r="K80" s="505"/>
      <c r="L80" s="506"/>
      <c r="M80" s="507"/>
      <c r="N80" s="2979"/>
      <c r="O80" s="2979"/>
      <c r="P80" s="3004"/>
      <c r="Q80" s="2965"/>
      <c r="R80" s="2951"/>
      <c r="S80" s="2951"/>
      <c r="T80" s="2951"/>
      <c r="U80" s="2951"/>
      <c r="V80" s="2951"/>
      <c r="W80" s="2951"/>
      <c r="X80" s="2951"/>
      <c r="Y80" s="2951"/>
      <c r="Z80" s="2951"/>
      <c r="AA80" s="2951"/>
      <c r="AB80" s="2951"/>
      <c r="AC80" s="2951"/>
    </row>
    <row r="81" spans="1:29" ht="15.75" thickBot="1">
      <c r="A81" s="489"/>
      <c r="B81" s="490"/>
      <c r="C81" s="499">
        <v>100</v>
      </c>
      <c r="D81" s="499">
        <f t="shared" ref="D81:M81" si="21">IF($B$46="单位面积地价",C81+$K11,C81-$K11)</f>
        <v>98</v>
      </c>
      <c r="E81" s="499">
        <f t="shared" si="21"/>
        <v>96</v>
      </c>
      <c r="F81" s="499">
        <f t="shared" si="21"/>
        <v>94</v>
      </c>
      <c r="G81" s="499">
        <f t="shared" si="21"/>
        <v>92</v>
      </c>
      <c r="H81" s="499">
        <f t="shared" si="21"/>
        <v>90</v>
      </c>
      <c r="I81" s="499">
        <f t="shared" si="21"/>
        <v>88</v>
      </c>
      <c r="J81" s="499">
        <f t="shared" si="21"/>
        <v>86</v>
      </c>
      <c r="K81" s="499">
        <f t="shared" si="21"/>
        <v>84</v>
      </c>
      <c r="L81" s="499">
        <f t="shared" si="21"/>
        <v>82</v>
      </c>
      <c r="M81" s="499">
        <f t="shared" si="21"/>
        <v>80</v>
      </c>
      <c r="N81" s="2980"/>
      <c r="O81" s="2980"/>
      <c r="P81" s="3004"/>
      <c r="Q81" s="2965"/>
      <c r="R81" s="2951"/>
      <c r="S81" s="2951"/>
      <c r="T81" s="2951"/>
      <c r="U81" s="2951"/>
      <c r="V81" s="2951"/>
      <c r="W81" s="2951"/>
      <c r="X81" s="2951"/>
      <c r="Y81" s="2951"/>
      <c r="Z81" s="2951"/>
      <c r="AA81" s="2951"/>
      <c r="AB81" s="2951"/>
      <c r="AC81" s="2951"/>
    </row>
    <row r="82" spans="1:29" s="428" customFormat="1" ht="15.75" thickTop="1">
      <c r="A82" s="508"/>
      <c r="B82" s="493" t="str">
        <f>B12</f>
        <v>配建</v>
      </c>
      <c r="C82" s="509"/>
      <c r="D82" s="509"/>
      <c r="E82" s="509"/>
      <c r="F82" s="509"/>
      <c r="G82" s="509"/>
      <c r="H82" s="510"/>
      <c r="I82" s="510"/>
      <c r="J82" s="510"/>
      <c r="K82" s="510"/>
      <c r="L82" s="511"/>
      <c r="M82" s="512"/>
      <c r="N82" s="2981"/>
      <c r="O82" s="2981"/>
      <c r="P82" s="3005"/>
      <c r="Q82" s="2972"/>
      <c r="R82" s="2973"/>
      <c r="S82" s="2973"/>
      <c r="T82" s="2973"/>
      <c r="U82" s="2973"/>
      <c r="V82" s="2973"/>
      <c r="W82" s="2973"/>
      <c r="X82" s="2973"/>
      <c r="Y82" s="2973"/>
      <c r="Z82" s="2973"/>
      <c r="AA82" s="2973"/>
      <c r="AB82" s="2973"/>
      <c r="AC82" s="2973"/>
    </row>
    <row r="83" spans="1:29" s="428" customFormat="1" ht="15.75" thickBot="1">
      <c r="A83" s="508"/>
      <c r="B83" s="498"/>
      <c r="C83" s="515"/>
      <c r="D83" s="491"/>
      <c r="E83" s="491"/>
      <c r="F83" s="491"/>
      <c r="G83" s="491"/>
      <c r="H83" s="491"/>
      <c r="I83" s="491"/>
      <c r="J83" s="491"/>
      <c r="K83" s="491"/>
      <c r="L83" s="491"/>
      <c r="M83" s="492"/>
      <c r="N83" s="2980"/>
      <c r="O83" s="2980"/>
      <c r="P83" s="3005"/>
      <c r="Q83" s="2972"/>
      <c r="R83" s="2973"/>
      <c r="S83" s="2973"/>
      <c r="T83" s="2973"/>
      <c r="U83" s="2973"/>
      <c r="V83" s="2973"/>
      <c r="W83" s="2973"/>
      <c r="X83" s="2973"/>
      <c r="Y83" s="2973"/>
      <c r="Z83" s="2973"/>
      <c r="AA83" s="2973"/>
      <c r="AB83" s="2973"/>
      <c r="AC83" s="2973"/>
    </row>
    <row r="84" spans="1:29" s="428" customFormat="1" ht="15.75" thickTop="1">
      <c r="A84" s="508"/>
      <c r="B84" s="493">
        <f>B13</f>
        <v>111</v>
      </c>
      <c r="C84" s="509"/>
      <c r="D84" s="509"/>
      <c r="E84" s="509"/>
      <c r="F84" s="509"/>
      <c r="G84" s="509"/>
      <c r="H84" s="510"/>
      <c r="I84" s="510"/>
      <c r="J84" s="510"/>
      <c r="K84" s="510"/>
      <c r="L84" s="511"/>
      <c r="M84" s="512"/>
      <c r="N84" s="2981"/>
      <c r="O84" s="2981"/>
      <c r="P84" s="2949"/>
      <c r="Q84" s="2975"/>
      <c r="R84" s="2973"/>
      <c r="S84" s="2973"/>
      <c r="T84" s="2973"/>
      <c r="U84" s="2973"/>
      <c r="V84" s="2973"/>
      <c r="W84" s="2973"/>
      <c r="X84" s="2973"/>
      <c r="Y84" s="2973"/>
      <c r="Z84" s="2973"/>
      <c r="AA84" s="2973"/>
      <c r="AB84" s="2973"/>
      <c r="AC84" s="2973"/>
    </row>
    <row r="85" spans="1:29" s="428" customFormat="1" ht="15.75" thickBot="1">
      <c r="A85" s="508"/>
      <c r="B85" s="498"/>
      <c r="C85" s="515"/>
      <c r="D85" s="515"/>
      <c r="E85" s="515"/>
      <c r="F85" s="515"/>
      <c r="G85" s="515"/>
      <c r="H85" s="517"/>
      <c r="I85" s="517"/>
      <c r="J85" s="517"/>
      <c r="K85" s="517"/>
      <c r="L85" s="517"/>
      <c r="M85" s="518"/>
      <c r="N85" s="2981"/>
      <c r="O85" s="2981"/>
      <c r="P85" s="3005"/>
      <c r="Q85" s="2972"/>
      <c r="R85" s="2973"/>
      <c r="S85" s="2973"/>
      <c r="T85" s="2973"/>
      <c r="U85" s="2973"/>
      <c r="V85" s="2973"/>
      <c r="W85" s="2973"/>
      <c r="X85" s="2973"/>
      <c r="Y85" s="2973"/>
      <c r="Z85" s="2973"/>
      <c r="AA85" s="2973"/>
      <c r="AB85" s="2973"/>
      <c r="AC85" s="2973"/>
    </row>
    <row r="86" spans="1:29" s="428" customFormat="1" ht="15.75" thickTop="1">
      <c r="A86" s="508"/>
      <c r="B86" s="501">
        <f>B14</f>
        <v>111</v>
      </c>
      <c r="C86" s="478"/>
      <c r="D86" s="478"/>
      <c r="E86" s="478"/>
      <c r="F86" s="478"/>
      <c r="G86" s="478"/>
      <c r="H86" s="519"/>
      <c r="I86" s="519"/>
      <c r="J86" s="519"/>
      <c r="K86" s="519"/>
      <c r="L86" s="520"/>
      <c r="M86" s="521"/>
      <c r="N86" s="2981"/>
      <c r="O86" s="2981"/>
      <c r="P86" s="3010"/>
      <c r="Q86" s="2972"/>
      <c r="R86" s="2973"/>
      <c r="S86" s="2973"/>
      <c r="T86" s="2973"/>
      <c r="U86" s="2973"/>
      <c r="V86" s="2973"/>
      <c r="W86" s="2973"/>
      <c r="X86" s="2973"/>
      <c r="Y86" s="2973"/>
      <c r="Z86" s="2973"/>
      <c r="AA86" s="2973"/>
      <c r="AB86" s="2973"/>
      <c r="AC86" s="2973"/>
    </row>
    <row r="87" spans="1:29" s="428" customFormat="1" ht="15.75" thickBot="1">
      <c r="A87" s="523"/>
      <c r="B87" s="524"/>
      <c r="C87" s="525"/>
      <c r="D87" s="525"/>
      <c r="E87" s="525"/>
      <c r="F87" s="525"/>
      <c r="G87" s="525"/>
      <c r="H87" s="526"/>
      <c r="I87" s="526"/>
      <c r="J87" s="526"/>
      <c r="K87" s="526"/>
      <c r="L87" s="526"/>
      <c r="M87" s="527"/>
      <c r="N87" s="2981"/>
      <c r="O87" s="2981"/>
      <c r="P87" s="3005"/>
      <c r="Q87" s="2972"/>
      <c r="R87" s="2973"/>
      <c r="S87" s="2973"/>
      <c r="T87" s="2973"/>
      <c r="U87" s="2973"/>
      <c r="V87" s="2973"/>
      <c r="W87" s="2973"/>
      <c r="X87" s="2973"/>
      <c r="Y87" s="2973"/>
      <c r="Z87" s="2973"/>
      <c r="AA87" s="2973"/>
      <c r="AB87" s="2973"/>
      <c r="AC87" s="2973"/>
    </row>
    <row r="88" spans="1:29">
      <c r="A88" s="482" t="s">
        <v>2378</v>
      </c>
      <c r="B88" s="483" t="s">
        <v>2415</v>
      </c>
      <c r="C88" s="528" t="s">
        <v>2416</v>
      </c>
      <c r="D88" s="528" t="s">
        <v>2417</v>
      </c>
      <c r="E88" s="528" t="s">
        <v>2418</v>
      </c>
      <c r="F88" s="528" t="s">
        <v>2419</v>
      </c>
      <c r="G88" s="528" t="s">
        <v>2420</v>
      </c>
      <c r="H88" s="484"/>
      <c r="I88" s="484"/>
      <c r="J88" s="484"/>
      <c r="K88" s="529"/>
      <c r="L88" s="530"/>
      <c r="M88" s="531"/>
      <c r="N88" s="2979"/>
      <c r="O88" s="2979"/>
      <c r="P88" s="3006"/>
      <c r="Q88" s="2965"/>
      <c r="R88" s="2951"/>
      <c r="S88" s="2951"/>
      <c r="T88" s="2951"/>
      <c r="U88" s="2951"/>
      <c r="V88" s="2951"/>
      <c r="W88" s="2951"/>
      <c r="X88" s="2951"/>
      <c r="Y88" s="2951"/>
      <c r="Z88" s="2951"/>
      <c r="AA88" s="2951"/>
      <c r="AB88" s="2951"/>
      <c r="AC88" s="2951"/>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0"/>
      <c r="O89" s="2980"/>
      <c r="P89" s="3004"/>
      <c r="Q89" s="2965"/>
      <c r="R89" s="2951"/>
      <c r="S89" s="2951"/>
      <c r="T89" s="2951"/>
      <c r="U89" s="2951"/>
      <c r="V89" s="2951"/>
      <c r="W89" s="2951"/>
      <c r="X89" s="2951"/>
      <c r="Y89" s="2951"/>
      <c r="Z89" s="2951"/>
      <c r="AA89" s="2951"/>
      <c r="AB89" s="2951"/>
      <c r="AC89" s="2951"/>
    </row>
    <row r="90" spans="1:29" ht="15.75" thickTop="1">
      <c r="A90" s="489"/>
      <c r="B90" s="493" t="s">
        <v>2603</v>
      </c>
      <c r="C90" s="533" t="s">
        <v>2416</v>
      </c>
      <c r="D90" s="533" t="s">
        <v>2417</v>
      </c>
      <c r="E90" s="533" t="s">
        <v>2418</v>
      </c>
      <c r="F90" s="533" t="s">
        <v>2419</v>
      </c>
      <c r="G90" s="533" t="s">
        <v>2420</v>
      </c>
      <c r="H90" s="494"/>
      <c r="I90" s="494"/>
      <c r="J90" s="494"/>
      <c r="K90" s="495"/>
      <c r="L90" s="496"/>
      <c r="M90" s="497"/>
      <c r="N90" s="2979"/>
      <c r="O90" s="2979"/>
      <c r="P90" s="3004"/>
      <c r="Q90" s="2965"/>
      <c r="R90" s="2951"/>
      <c r="S90" s="2951"/>
      <c r="T90" s="2951"/>
      <c r="U90" s="2951"/>
      <c r="V90" s="2951"/>
      <c r="W90" s="2951"/>
      <c r="X90" s="2951"/>
      <c r="Y90" s="2951"/>
      <c r="Z90" s="2951"/>
      <c r="AA90" s="2951"/>
      <c r="AB90" s="2951"/>
      <c r="AC90" s="2951"/>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0"/>
      <c r="O91" s="2980"/>
      <c r="P91" s="3004"/>
      <c r="Q91" s="2965"/>
      <c r="R91" s="2951"/>
      <c r="S91" s="2951"/>
      <c r="T91" s="2951"/>
      <c r="U91" s="2951"/>
      <c r="V91" s="2951"/>
      <c r="W91" s="2951"/>
      <c r="X91" s="2951"/>
      <c r="Y91" s="2951"/>
      <c r="Z91" s="2951"/>
      <c r="AA91" s="2951"/>
      <c r="AB91" s="2951"/>
      <c r="AC91" s="2951"/>
    </row>
    <row r="92" spans="1:29" ht="15.75" thickTop="1">
      <c r="A92" s="489"/>
      <c r="B92" s="493" t="s">
        <v>2516</v>
      </c>
      <c r="C92" s="533" t="s">
        <v>2416</v>
      </c>
      <c r="D92" s="533" t="s">
        <v>2417</v>
      </c>
      <c r="E92" s="533" t="s">
        <v>2418</v>
      </c>
      <c r="F92" s="533" t="s">
        <v>2419</v>
      </c>
      <c r="G92" s="533" t="s">
        <v>2420</v>
      </c>
      <c r="H92" s="494"/>
      <c r="I92" s="494"/>
      <c r="J92" s="494"/>
      <c r="K92" s="495"/>
      <c r="L92" s="496"/>
      <c r="M92" s="497"/>
      <c r="N92" s="2979"/>
      <c r="O92" s="2979"/>
      <c r="P92" s="3004"/>
      <c r="Q92" s="2965"/>
      <c r="R92" s="2951"/>
      <c r="S92" s="2951"/>
      <c r="T92" s="2951"/>
      <c r="U92" s="2951"/>
      <c r="V92" s="2951"/>
      <c r="W92" s="2951"/>
      <c r="X92" s="2951"/>
      <c r="Y92" s="2951"/>
      <c r="Z92" s="2951"/>
      <c r="AA92" s="2951"/>
      <c r="AB92" s="2951"/>
      <c r="AC92" s="2951"/>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0"/>
      <c r="O93" s="2980"/>
      <c r="P93" s="3004"/>
      <c r="Q93" s="2965"/>
      <c r="R93" s="2951"/>
      <c r="S93" s="2951"/>
      <c r="T93" s="2951"/>
      <c r="U93" s="2951"/>
      <c r="V93" s="2951"/>
      <c r="W93" s="2951"/>
      <c r="X93" s="2951"/>
      <c r="Y93" s="2951"/>
      <c r="Z93" s="2951"/>
      <c r="AA93" s="2951"/>
      <c r="AB93" s="2951"/>
      <c r="AC93" s="2951"/>
    </row>
    <row r="94" spans="1:29" ht="15.75" thickTop="1">
      <c r="A94" s="489"/>
      <c r="B94" s="493" t="s">
        <v>2421</v>
      </c>
      <c r="C94" s="533" t="s">
        <v>2416</v>
      </c>
      <c r="D94" s="533" t="s">
        <v>2417</v>
      </c>
      <c r="E94" s="533" t="s">
        <v>2418</v>
      </c>
      <c r="F94" s="533" t="s">
        <v>2419</v>
      </c>
      <c r="G94" s="533" t="s">
        <v>2420</v>
      </c>
      <c r="H94" s="494"/>
      <c r="I94" s="494"/>
      <c r="J94" s="494"/>
      <c r="K94" s="495"/>
      <c r="L94" s="496"/>
      <c r="M94" s="497"/>
      <c r="N94" s="2979"/>
      <c r="O94" s="2979"/>
      <c r="P94" s="3004"/>
      <c r="Q94" s="2965"/>
      <c r="R94" s="2951"/>
      <c r="S94" s="2951"/>
      <c r="T94" s="2951"/>
      <c r="U94" s="2951"/>
      <c r="V94" s="2951"/>
      <c r="W94" s="2951"/>
      <c r="X94" s="2951"/>
      <c r="Y94" s="2951"/>
      <c r="Z94" s="2951"/>
      <c r="AA94" s="2951"/>
      <c r="AB94" s="2951"/>
      <c r="AC94" s="2951"/>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0"/>
      <c r="O95" s="2980"/>
      <c r="P95" s="3004"/>
      <c r="Q95" s="2965"/>
      <c r="R95" s="2951"/>
      <c r="S95" s="2951"/>
      <c r="T95" s="2951"/>
      <c r="U95" s="2951"/>
      <c r="V95" s="2951"/>
      <c r="W95" s="2951"/>
      <c r="X95" s="2951"/>
      <c r="Y95" s="2951"/>
      <c r="Z95" s="2951"/>
      <c r="AA95" s="2951"/>
      <c r="AB95" s="2951"/>
      <c r="AC95" s="2951"/>
    </row>
    <row r="96" spans="1:29" s="112" customFormat="1" ht="15.75" thickTop="1">
      <c r="A96" s="534"/>
      <c r="B96" s="493" t="s">
        <v>2604</v>
      </c>
      <c r="C96" s="533" t="s">
        <v>2416</v>
      </c>
      <c r="D96" s="533" t="s">
        <v>2417</v>
      </c>
      <c r="E96" s="533" t="s">
        <v>2418</v>
      </c>
      <c r="F96" s="533" t="s">
        <v>2419</v>
      </c>
      <c r="G96" s="533" t="s">
        <v>2420</v>
      </c>
      <c r="H96" s="533"/>
      <c r="I96" s="533"/>
      <c r="J96" s="533"/>
      <c r="K96" s="533"/>
      <c r="L96" s="652"/>
      <c r="M96" s="576"/>
      <c r="N96" s="2978"/>
      <c r="O96" s="2978"/>
      <c r="P96" s="3004"/>
      <c r="Q96" s="2965"/>
      <c r="R96" s="2885"/>
      <c r="S96" s="2885"/>
      <c r="T96" s="2885"/>
      <c r="U96" s="2885"/>
      <c r="V96" s="2885"/>
      <c r="W96" s="2885"/>
      <c r="X96" s="2885"/>
      <c r="Y96" s="2885"/>
      <c r="Z96" s="2885"/>
      <c r="AA96" s="2885"/>
      <c r="AB96" s="2885"/>
      <c r="AC96" s="2885"/>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80"/>
      <c r="O97" s="2980"/>
      <c r="P97" s="3004"/>
      <c r="Q97" s="2965"/>
      <c r="R97" s="2885"/>
      <c r="S97" s="2885"/>
      <c r="T97" s="2885"/>
      <c r="U97" s="2885"/>
      <c r="V97" s="2885"/>
      <c r="W97" s="2885"/>
      <c r="X97" s="2885"/>
      <c r="Y97" s="2885"/>
      <c r="Z97" s="2885"/>
      <c r="AA97" s="2885"/>
      <c r="AB97" s="2885"/>
      <c r="AC97" s="2885"/>
    </row>
    <row r="98" spans="1:29" s="112" customFormat="1" ht="27.75" thickTop="1">
      <c r="A98" s="534"/>
      <c r="B98" s="493" t="s">
        <v>2605</v>
      </c>
      <c r="C98" s="528" t="s">
        <v>2416</v>
      </c>
      <c r="D98" s="528" t="s">
        <v>2417</v>
      </c>
      <c r="E98" s="528" t="s">
        <v>2418</v>
      </c>
      <c r="F98" s="528" t="s">
        <v>2419</v>
      </c>
      <c r="G98" s="528" t="s">
        <v>2420</v>
      </c>
      <c r="H98" s="533"/>
      <c r="I98" s="533"/>
      <c r="J98" s="533"/>
      <c r="K98" s="533"/>
      <c r="L98" s="533"/>
      <c r="M98" s="576"/>
      <c r="N98" s="2978"/>
      <c r="O98" s="2978"/>
      <c r="P98" s="3004"/>
      <c r="Q98" s="2965"/>
      <c r="R98" s="2885"/>
      <c r="S98" s="2885"/>
      <c r="T98" s="2885"/>
      <c r="U98" s="2885"/>
      <c r="V98" s="2885"/>
      <c r="W98" s="2885"/>
      <c r="X98" s="2885"/>
      <c r="Y98" s="2885"/>
      <c r="Z98" s="2885"/>
      <c r="AA98" s="2885"/>
      <c r="AB98" s="2885"/>
      <c r="AC98" s="2885"/>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80"/>
      <c r="O99" s="2980"/>
      <c r="P99" s="3004"/>
      <c r="Q99" s="2965"/>
      <c r="R99" s="2885"/>
      <c r="S99" s="2885"/>
      <c r="T99" s="2885"/>
      <c r="U99" s="2885"/>
      <c r="V99" s="2885"/>
      <c r="W99" s="2885"/>
      <c r="X99" s="2885"/>
      <c r="Y99" s="2885"/>
      <c r="Z99" s="2885"/>
      <c r="AA99" s="2885"/>
      <c r="AB99" s="2885"/>
      <c r="AC99" s="2885"/>
    </row>
    <row r="100" spans="1:29" s="428" customFormat="1" ht="15.75" thickTop="1">
      <c r="A100" s="508"/>
      <c r="B100" s="493" t="s">
        <v>2473</v>
      </c>
      <c r="C100" s="528" t="s">
        <v>2416</v>
      </c>
      <c r="D100" s="528" t="s">
        <v>2417</v>
      </c>
      <c r="E100" s="528" t="s">
        <v>2418</v>
      </c>
      <c r="F100" s="528" t="s">
        <v>2419</v>
      </c>
      <c r="G100" s="528" t="s">
        <v>2420</v>
      </c>
      <c r="H100" s="555"/>
      <c r="I100" s="555"/>
      <c r="J100" s="555"/>
      <c r="K100" s="555"/>
      <c r="L100" s="556"/>
      <c r="M100" s="557"/>
      <c r="N100" s="2981"/>
      <c r="O100" s="2981"/>
      <c r="P100" s="3005"/>
      <c r="Q100" s="2972"/>
      <c r="R100" s="2973"/>
      <c r="S100" s="2973"/>
      <c r="T100" s="2973"/>
      <c r="U100" s="2973"/>
      <c r="V100" s="2973"/>
      <c r="W100" s="2973"/>
      <c r="X100" s="2973"/>
      <c r="Y100" s="2973"/>
      <c r="Z100" s="2973"/>
      <c r="AA100" s="2973"/>
      <c r="AB100" s="2973"/>
      <c r="AC100" s="2973"/>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1"/>
      <c r="O101" s="2981"/>
      <c r="P101" s="3005"/>
      <c r="Q101" s="2972"/>
      <c r="R101" s="2973"/>
      <c r="S101" s="2973"/>
      <c r="T101" s="2973"/>
      <c r="U101" s="2973"/>
      <c r="V101" s="2973"/>
      <c r="W101" s="2973"/>
      <c r="X101" s="2973"/>
      <c r="Y101" s="2973"/>
      <c r="Z101" s="2973"/>
      <c r="AA101" s="2973"/>
      <c r="AB101" s="2973"/>
      <c r="AC101" s="2973"/>
    </row>
    <row r="102" spans="1:29" s="428" customFormat="1" ht="15.75" thickTop="1">
      <c r="A102" s="508"/>
      <c r="B102" s="501" t="s">
        <v>2474</v>
      </c>
      <c r="C102" s="614" t="s">
        <v>2494</v>
      </c>
      <c r="D102" s="614" t="s">
        <v>2495</v>
      </c>
      <c r="E102" s="614" t="s">
        <v>2496</v>
      </c>
      <c r="F102" s="614" t="s">
        <v>2497</v>
      </c>
      <c r="G102" s="614" t="s">
        <v>2498</v>
      </c>
      <c r="H102" s="555"/>
      <c r="I102" s="555"/>
      <c r="J102" s="555"/>
      <c r="K102" s="555"/>
      <c r="L102" s="555"/>
      <c r="M102" s="1292"/>
      <c r="N102" s="2981"/>
      <c r="O102" s="2981"/>
      <c r="P102" s="3005"/>
      <c r="Q102" s="2972"/>
      <c r="R102" s="2973"/>
      <c r="S102" s="2973"/>
      <c r="T102" s="2973"/>
      <c r="U102" s="2973"/>
      <c r="V102" s="2973"/>
      <c r="W102" s="2973"/>
      <c r="X102" s="2973"/>
      <c r="Y102" s="2973"/>
      <c r="Z102" s="2973"/>
      <c r="AA102" s="2973"/>
      <c r="AB102" s="2973"/>
      <c r="AC102" s="2973"/>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1"/>
      <c r="O103" s="2981"/>
      <c r="P103" s="3005"/>
      <c r="Q103" s="2972"/>
      <c r="R103" s="2973"/>
      <c r="S103" s="2973"/>
      <c r="T103" s="2973"/>
      <c r="U103" s="2973"/>
      <c r="V103" s="2973"/>
      <c r="W103" s="2973"/>
      <c r="X103" s="2973"/>
      <c r="Y103" s="2973"/>
      <c r="Z103" s="2973"/>
      <c r="AA103" s="2973"/>
      <c r="AB103" s="2973"/>
      <c r="AC103" s="2973"/>
    </row>
    <row r="104" spans="1:29" ht="15.75" thickTop="1">
      <c r="A104" s="489"/>
      <c r="B104" s="493" t="str">
        <f>B31</f>
        <v>临街状况</v>
      </c>
      <c r="C104" s="494" t="s">
        <v>2606</v>
      </c>
      <c r="D104" s="494" t="s">
        <v>2607</v>
      </c>
      <c r="E104" s="494" t="s">
        <v>2608</v>
      </c>
      <c r="F104" s="494" t="s">
        <v>2609</v>
      </c>
      <c r="G104" s="494"/>
      <c r="H104" s="494"/>
      <c r="I104" s="494"/>
      <c r="J104" s="494"/>
      <c r="K104" s="495"/>
      <c r="L104" s="496"/>
      <c r="M104" s="497"/>
      <c r="N104" s="2979"/>
      <c r="O104" s="2979"/>
      <c r="P104" s="3004"/>
      <c r="Q104" s="2965"/>
      <c r="R104" s="2951"/>
      <c r="S104" s="2951"/>
      <c r="T104" s="2951"/>
      <c r="U104" s="2951"/>
      <c r="V104" s="2951"/>
      <c r="W104" s="2951"/>
      <c r="X104" s="2951"/>
      <c r="Y104" s="2951"/>
      <c r="Z104" s="2951"/>
      <c r="AA104" s="2951"/>
      <c r="AB104" s="2951"/>
      <c r="AC104" s="2951"/>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9"/>
      <c r="B106" s="493" t="s">
        <v>2510</v>
      </c>
      <c r="C106" s="509"/>
      <c r="D106" s="509"/>
      <c r="E106" s="509"/>
      <c r="F106" s="509"/>
      <c r="G106" s="509"/>
      <c r="H106" s="538"/>
      <c r="I106" s="538"/>
      <c r="J106" s="538"/>
      <c r="K106" s="539"/>
      <c r="L106" s="540"/>
      <c r="M106" s="541"/>
      <c r="N106" s="2979"/>
      <c r="O106" s="2979"/>
      <c r="P106" s="3004"/>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9"/>
      <c r="B108" s="493" t="s">
        <v>2569</v>
      </c>
      <c r="C108" s="538"/>
      <c r="D108" s="538"/>
      <c r="E108" s="538"/>
      <c r="F108" s="538"/>
      <c r="G108" s="538"/>
      <c r="H108" s="538"/>
      <c r="I108" s="538"/>
      <c r="J108" s="538"/>
      <c r="K108" s="539"/>
      <c r="L108" s="540"/>
      <c r="M108" s="541"/>
      <c r="N108" s="2979"/>
      <c r="O108" s="2979"/>
      <c r="P108" s="3004"/>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9"/>
      <c r="B110" s="501">
        <f>B35</f>
        <v>111</v>
      </c>
      <c r="C110" s="509"/>
      <c r="D110" s="509"/>
      <c r="E110" s="509"/>
      <c r="F110" s="509"/>
      <c r="G110" s="542"/>
      <c r="H110" s="542"/>
      <c r="I110" s="542"/>
      <c r="J110" s="542"/>
      <c r="K110" s="543"/>
      <c r="L110" s="544"/>
      <c r="M110" s="545"/>
      <c r="N110" s="2979"/>
      <c r="O110" s="2979"/>
      <c r="P110" s="3004"/>
      <c r="Q110" s="2965"/>
      <c r="R110" s="2951"/>
      <c r="S110" s="2951"/>
      <c r="T110" s="2951"/>
      <c r="U110" s="2951"/>
      <c r="V110" s="2951"/>
      <c r="W110" s="2951"/>
      <c r="X110" s="2951"/>
      <c r="Y110" s="2951"/>
      <c r="Z110" s="2951"/>
      <c r="AA110" s="2951"/>
      <c r="AB110" s="2951"/>
      <c r="AC110" s="2951"/>
    </row>
    <row r="111" spans="1:29" ht="15.75" thickBot="1">
      <c r="A111" s="489"/>
      <c r="B111" s="524"/>
      <c r="C111" s="515"/>
      <c r="D111" s="515"/>
      <c r="E111" s="515"/>
      <c r="F111" s="515"/>
      <c r="G111" s="546"/>
      <c r="H111" s="546"/>
      <c r="I111" s="546"/>
      <c r="J111" s="546"/>
      <c r="K111" s="546"/>
      <c r="L111" s="546"/>
      <c r="M111" s="547"/>
      <c r="N111" s="2980"/>
      <c r="O111" s="2980"/>
      <c r="P111" s="3004"/>
      <c r="Q111" s="2965"/>
      <c r="R111" s="2951"/>
      <c r="S111" s="2951"/>
      <c r="T111" s="2951"/>
      <c r="U111" s="2951"/>
      <c r="V111" s="2951"/>
      <c r="W111" s="2951"/>
      <c r="X111" s="2951"/>
      <c r="Y111" s="2951"/>
      <c r="Z111" s="2951"/>
      <c r="AA111" s="2951"/>
      <c r="AB111" s="2951"/>
      <c r="AC111" s="2951"/>
    </row>
    <row r="112" spans="1:29" ht="15" thickTop="1">
      <c r="A112" s="629"/>
      <c r="B112" s="493">
        <f>B36</f>
        <v>111</v>
      </c>
      <c r="C112" s="478"/>
      <c r="D112" s="478"/>
      <c r="E112" s="478"/>
      <c r="F112" s="478"/>
      <c r="G112" s="538"/>
      <c r="H112" s="538"/>
      <c r="I112" s="538"/>
      <c r="J112" s="538"/>
      <c r="K112" s="539"/>
      <c r="L112" s="540"/>
      <c r="M112" s="541"/>
      <c r="N112" s="2979"/>
      <c r="O112" s="2979"/>
      <c r="P112" s="3004"/>
      <c r="Q112" s="2965"/>
      <c r="R112" s="2951"/>
      <c r="S112" s="2951"/>
      <c r="T112" s="2951"/>
      <c r="U112" s="2951"/>
      <c r="V112" s="2951"/>
      <c r="W112" s="2951"/>
      <c r="X112" s="2951"/>
      <c r="Y112" s="2951"/>
      <c r="Z112" s="2951"/>
      <c r="AA112" s="2951"/>
      <c r="AB112" s="2951"/>
      <c r="AC112" s="2951"/>
    </row>
    <row r="113" spans="1:29" ht="15.75" thickBot="1">
      <c r="A113" s="489"/>
      <c r="B113" s="498"/>
      <c r="C113" s="525"/>
      <c r="D113" s="525"/>
      <c r="E113" s="525"/>
      <c r="F113" s="525"/>
      <c r="G113" s="491"/>
      <c r="H113" s="491"/>
      <c r="I113" s="491"/>
      <c r="J113" s="491"/>
      <c r="K113" s="491"/>
      <c r="L113" s="491"/>
      <c r="M113" s="492"/>
      <c r="N113" s="2980"/>
      <c r="O113" s="2980"/>
      <c r="P113" s="3004"/>
      <c r="Q113" s="2965"/>
      <c r="R113" s="2951"/>
      <c r="S113" s="2951"/>
      <c r="T113" s="2951"/>
      <c r="U113" s="2951"/>
      <c r="V113" s="2951"/>
      <c r="W113" s="2951"/>
      <c r="X113" s="2951"/>
      <c r="Y113" s="2951"/>
      <c r="Z113" s="2951"/>
      <c r="AA113" s="2951"/>
      <c r="AB113" s="2951"/>
      <c r="AC113" s="2951"/>
    </row>
    <row r="114" spans="1:29" s="428" customFormat="1" ht="15" thickTop="1">
      <c r="A114" s="548"/>
      <c r="B114" s="549">
        <f>B37</f>
        <v>111</v>
      </c>
      <c r="C114" s="550"/>
      <c r="D114" s="550"/>
      <c r="E114" s="550"/>
      <c r="F114" s="550"/>
      <c r="G114" s="550"/>
      <c r="H114" s="550"/>
      <c r="I114" s="550"/>
      <c r="J114" s="551"/>
      <c r="K114" s="551"/>
      <c r="L114" s="552"/>
      <c r="M114" s="553"/>
      <c r="N114" s="2981"/>
      <c r="O114" s="2981"/>
      <c r="P114" s="3005"/>
      <c r="Q114" s="2972"/>
      <c r="R114" s="2973"/>
      <c r="S114" s="2973"/>
      <c r="T114" s="2973"/>
      <c r="U114" s="2973"/>
      <c r="V114" s="2973"/>
      <c r="W114" s="2973"/>
      <c r="X114" s="2973"/>
      <c r="Y114" s="2973"/>
      <c r="Z114" s="2973"/>
      <c r="AA114" s="2973"/>
      <c r="AB114" s="2973"/>
      <c r="AC114" s="2973"/>
    </row>
    <row r="115" spans="1:29" s="428" customFormat="1" ht="15.75" thickBot="1">
      <c r="A115" s="508"/>
      <c r="B115" s="501"/>
      <c r="C115" s="467"/>
      <c r="D115" s="631"/>
      <c r="E115" s="631"/>
      <c r="F115" s="631"/>
      <c r="G115" s="631"/>
      <c r="H115" s="631"/>
      <c r="I115" s="631"/>
      <c r="J115" s="631"/>
      <c r="K115" s="631"/>
      <c r="L115" s="631"/>
      <c r="M115" s="653"/>
      <c r="N115" s="2980"/>
      <c r="O115" s="2980"/>
      <c r="P115" s="3005"/>
      <c r="Q115" s="2972"/>
      <c r="R115" s="2973"/>
      <c r="S115" s="2973"/>
      <c r="T115" s="2973"/>
      <c r="U115" s="2973"/>
      <c r="V115" s="2973"/>
      <c r="W115" s="2973"/>
      <c r="X115" s="2973"/>
      <c r="Y115" s="2973"/>
      <c r="Z115" s="2973"/>
      <c r="AA115" s="2973"/>
      <c r="AB115" s="2973"/>
      <c r="AC115" s="2973"/>
    </row>
    <row r="116" spans="1:29" ht="28.5">
      <c r="A116" s="482" t="s">
        <v>2382</v>
      </c>
      <c r="B116" s="483" t="s">
        <v>2610</v>
      </c>
      <c r="C116" s="484" t="str">
        <f>C117&amp;"(含)"&amp;"-"&amp;D117</f>
        <v>0(含)-20000</v>
      </c>
      <c r="D116" s="484" t="str">
        <f t="shared" ref="D116:M116" si="25">D117&amp;"(含)"&amp;"-"&amp;E117</f>
        <v>20000(含)-40000</v>
      </c>
      <c r="E116" s="484" t="str">
        <f t="shared" si="25"/>
        <v>40000(含)-60000</v>
      </c>
      <c r="F116" s="484" t="str">
        <f t="shared" si="25"/>
        <v>60000(含)-80000</v>
      </c>
      <c r="G116" s="484" t="str">
        <f t="shared" si="25"/>
        <v>80000(含)-100000</v>
      </c>
      <c r="H116" s="484" t="str">
        <f t="shared" si="25"/>
        <v>100000(含)-120000</v>
      </c>
      <c r="I116" s="484" t="str">
        <f t="shared" si="25"/>
        <v>120000(含)-</v>
      </c>
      <c r="J116" s="484" t="str">
        <f t="shared" si="25"/>
        <v>(含)-</v>
      </c>
      <c r="K116" s="484" t="str">
        <f t="shared" si="25"/>
        <v>(含)-</v>
      </c>
      <c r="L116" s="484" t="str">
        <f t="shared" si="25"/>
        <v>(含)-</v>
      </c>
      <c r="M116" s="484"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89"/>
      <c r="B117" s="501"/>
      <c r="C117" s="550">
        <v>0</v>
      </c>
      <c r="D117" s="550">
        <v>20000</v>
      </c>
      <c r="E117" s="550">
        <v>40000</v>
      </c>
      <c r="F117" s="550">
        <v>60000</v>
      </c>
      <c r="G117" s="550">
        <v>80000</v>
      </c>
      <c r="H117" s="550">
        <v>100000</v>
      </c>
      <c r="I117" s="550">
        <v>120000</v>
      </c>
      <c r="J117" s="551"/>
      <c r="K117" s="551"/>
      <c r="L117" s="552"/>
      <c r="M117" s="553"/>
      <c r="N117" s="2979"/>
      <c r="O117" s="2979"/>
      <c r="P117" s="3004"/>
      <c r="Q117" s="2965"/>
      <c r="R117" s="2951"/>
      <c r="S117" s="2951"/>
      <c r="T117" s="2951"/>
      <c r="U117" s="2951"/>
      <c r="V117" s="2951"/>
      <c r="W117" s="2951"/>
      <c r="X117" s="2951"/>
      <c r="Y117" s="2951"/>
      <c r="Z117" s="2951"/>
      <c r="AA117" s="2951"/>
      <c r="AB117" s="2951"/>
      <c r="AC117" s="2951"/>
    </row>
    <row r="118" spans="1:29" ht="15.75" thickBot="1">
      <c r="A118" s="489"/>
      <c r="B118" s="498"/>
      <c r="C118" s="525">
        <v>100</v>
      </c>
      <c r="D118" s="546">
        <v>101</v>
      </c>
      <c r="E118" s="525">
        <v>102</v>
      </c>
      <c r="F118" s="546">
        <v>103</v>
      </c>
      <c r="G118" s="525">
        <v>104</v>
      </c>
      <c r="H118" s="546">
        <v>105</v>
      </c>
      <c r="I118" s="525">
        <v>106</v>
      </c>
      <c r="J118" s="546"/>
      <c r="K118" s="546"/>
      <c r="L118" s="546"/>
      <c r="M118" s="547"/>
      <c r="N118" s="2980"/>
      <c r="O118" s="2980"/>
      <c r="P118" s="3004"/>
      <c r="Q118" s="2965"/>
      <c r="R118" s="2951"/>
      <c r="S118" s="2951"/>
      <c r="T118" s="2951"/>
      <c r="U118" s="2951"/>
      <c r="V118" s="2951"/>
      <c r="W118" s="2951"/>
      <c r="X118" s="2951"/>
      <c r="Y118" s="2951"/>
      <c r="Z118" s="2951"/>
      <c r="AA118" s="2951"/>
      <c r="AB118" s="2951"/>
      <c r="AC118" s="2951"/>
    </row>
    <row r="119" spans="1:29" ht="15" thickTop="1">
      <c r="A119" s="554"/>
      <c r="B119" s="493" t="s">
        <v>2611</v>
      </c>
      <c r="C119" s="538"/>
      <c r="D119" s="538"/>
      <c r="E119" s="538"/>
      <c r="F119" s="538"/>
      <c r="G119" s="538"/>
      <c r="H119" s="538"/>
      <c r="I119" s="538"/>
      <c r="J119" s="538"/>
      <c r="K119" s="539"/>
      <c r="L119" s="540"/>
      <c r="M119" s="541"/>
      <c r="N119" s="2979"/>
      <c r="O119" s="2979"/>
      <c r="P119" s="3004"/>
      <c r="Q119" s="2965"/>
      <c r="R119" s="2951"/>
      <c r="S119" s="2951"/>
      <c r="T119" s="2951"/>
      <c r="U119" s="2951"/>
      <c r="V119" s="2951"/>
      <c r="W119" s="2951"/>
      <c r="X119" s="2951"/>
      <c r="Y119" s="2951"/>
      <c r="Z119" s="2951"/>
      <c r="AA119" s="2951"/>
      <c r="AB119" s="2951"/>
      <c r="AC119" s="2951"/>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4"/>
      <c r="B121" s="493" t="s">
        <v>2612</v>
      </c>
      <c r="C121" s="509"/>
      <c r="D121" s="509"/>
      <c r="E121" s="509"/>
      <c r="F121" s="538"/>
      <c r="G121" s="538"/>
      <c r="H121" s="538"/>
      <c r="I121" s="538"/>
      <c r="J121" s="538"/>
      <c r="K121" s="539"/>
      <c r="L121" s="540"/>
      <c r="M121" s="541"/>
      <c r="N121" s="2979"/>
      <c r="O121" s="2979"/>
      <c r="P121" s="3004"/>
      <c r="Q121" s="2965"/>
      <c r="R121" s="2951"/>
      <c r="S121" s="2951"/>
      <c r="T121" s="2951"/>
      <c r="U121" s="2951"/>
      <c r="V121" s="2951"/>
      <c r="W121" s="2951"/>
      <c r="X121" s="2951"/>
      <c r="Y121" s="2951"/>
      <c r="Z121" s="2951"/>
      <c r="AA121" s="2951"/>
      <c r="AB121" s="2951"/>
      <c r="AC121" s="2951"/>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0"/>
      <c r="O122" s="2980"/>
      <c r="P122" s="3004"/>
      <c r="Q122" s="2965"/>
      <c r="R122" s="2951"/>
      <c r="S122" s="2951"/>
      <c r="T122" s="2951"/>
      <c r="U122" s="2951"/>
      <c r="V122" s="2951"/>
      <c r="W122" s="2951"/>
      <c r="X122" s="2951"/>
      <c r="Y122" s="2951"/>
      <c r="Z122" s="2951"/>
      <c r="AA122" s="2951"/>
      <c r="AB122" s="2951"/>
      <c r="AC122" s="2951"/>
    </row>
    <row r="123" spans="1:29" s="428" customFormat="1" ht="15" thickTop="1">
      <c r="A123" s="548"/>
      <c r="B123" s="493" t="s">
        <v>2613</v>
      </c>
      <c r="C123" s="509"/>
      <c r="D123" s="509"/>
      <c r="E123" s="509"/>
      <c r="F123" s="509"/>
      <c r="G123" s="509"/>
      <c r="H123" s="538"/>
      <c r="I123" s="538"/>
      <c r="J123" s="538"/>
      <c r="K123" s="539"/>
      <c r="L123" s="540"/>
      <c r="M123" s="541"/>
      <c r="N123" s="2981"/>
      <c r="O123" s="2981"/>
      <c r="P123" s="3005"/>
      <c r="Q123" s="2972"/>
      <c r="R123" s="2973"/>
      <c r="S123" s="2973"/>
      <c r="T123" s="2973"/>
      <c r="U123" s="2973"/>
      <c r="V123" s="2973"/>
      <c r="W123" s="2973"/>
      <c r="X123" s="2973"/>
      <c r="Y123" s="2973"/>
      <c r="Z123" s="2973"/>
      <c r="AA123" s="2973"/>
      <c r="AB123" s="2973"/>
      <c r="AC123" s="2973"/>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4"/>
      <c r="B125" s="493" t="s">
        <v>2614</v>
      </c>
      <c r="C125" s="509"/>
      <c r="D125" s="509"/>
      <c r="E125" s="538"/>
      <c r="F125" s="538"/>
      <c r="G125" s="538"/>
      <c r="H125" s="538"/>
      <c r="I125" s="538"/>
      <c r="J125" s="538"/>
      <c r="K125" s="539"/>
      <c r="L125" s="540"/>
      <c r="M125" s="541"/>
      <c r="N125" s="2979"/>
      <c r="O125" s="2979"/>
      <c r="P125" s="3004"/>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4"/>
      <c r="B127" s="493">
        <f>B43</f>
        <v>111</v>
      </c>
      <c r="C127" s="509"/>
      <c r="D127" s="509"/>
      <c r="E127" s="509"/>
      <c r="F127" s="509"/>
      <c r="G127" s="509"/>
      <c r="H127" s="538"/>
      <c r="I127" s="538"/>
      <c r="J127" s="538"/>
      <c r="K127" s="539"/>
      <c r="L127" s="540"/>
      <c r="M127" s="541"/>
      <c r="N127" s="2979"/>
      <c r="O127" s="2979"/>
      <c r="P127" s="3004"/>
      <c r="Q127" s="2965"/>
      <c r="R127" s="2951"/>
      <c r="S127" s="2951"/>
      <c r="T127" s="2951"/>
      <c r="U127" s="2951"/>
      <c r="V127" s="2951"/>
      <c r="W127" s="2951"/>
      <c r="X127" s="2951"/>
      <c r="Y127" s="2951"/>
      <c r="Z127" s="2951"/>
      <c r="AA127" s="2951"/>
      <c r="AB127" s="2951"/>
      <c r="AC127" s="2951"/>
    </row>
    <row r="128" spans="1:29" ht="15.75" thickBot="1">
      <c r="A128" s="489"/>
      <c r="B128" s="498"/>
      <c r="C128" s="515"/>
      <c r="D128" s="515"/>
      <c r="E128" s="515"/>
      <c r="F128" s="515"/>
      <c r="G128" s="491"/>
      <c r="H128" s="491"/>
      <c r="I128" s="491"/>
      <c r="J128" s="491"/>
      <c r="K128" s="491"/>
      <c r="L128" s="491"/>
      <c r="M128" s="492"/>
      <c r="N128" s="2980"/>
      <c r="O128" s="2980"/>
      <c r="P128" s="3004"/>
      <c r="Q128" s="2965"/>
      <c r="R128" s="2951"/>
      <c r="S128" s="2951"/>
      <c r="T128" s="2951"/>
      <c r="U128" s="2951"/>
      <c r="V128" s="2951"/>
      <c r="W128" s="2951"/>
      <c r="X128" s="2951"/>
      <c r="Y128" s="2951"/>
      <c r="Z128" s="2951"/>
      <c r="AA128" s="2951"/>
      <c r="AB128" s="2951"/>
      <c r="AC128" s="2951"/>
    </row>
    <row r="129" spans="1:29" ht="15" thickTop="1">
      <c r="A129" s="554"/>
      <c r="B129" s="493">
        <f>B44</f>
        <v>111</v>
      </c>
      <c r="C129" s="478"/>
      <c r="D129" s="478"/>
      <c r="E129" s="478"/>
      <c r="F129" s="478"/>
      <c r="G129" s="538"/>
      <c r="H129" s="538"/>
      <c r="I129" s="538"/>
      <c r="J129" s="538"/>
      <c r="K129" s="539"/>
      <c r="L129" s="540"/>
      <c r="M129" s="541"/>
      <c r="N129" s="2979"/>
      <c r="O129" s="2979"/>
      <c r="P129" s="3004"/>
      <c r="Q129" s="2965"/>
      <c r="R129" s="2951"/>
      <c r="S129" s="2951"/>
      <c r="T129" s="2951"/>
      <c r="U129" s="2951"/>
      <c r="V129" s="2951"/>
      <c r="W129" s="2951"/>
      <c r="X129" s="2951"/>
      <c r="Y129" s="2951"/>
      <c r="Z129" s="2951"/>
      <c r="AA129" s="2951"/>
      <c r="AB129" s="2951"/>
      <c r="AC129" s="2951"/>
    </row>
    <row r="130" spans="1:29" ht="15.75" thickBot="1">
      <c r="A130" s="489"/>
      <c r="B130" s="498"/>
      <c r="C130" s="525"/>
      <c r="D130" s="525"/>
      <c r="E130" s="525"/>
      <c r="F130" s="525"/>
      <c r="G130" s="491"/>
      <c r="H130" s="491"/>
      <c r="I130" s="491"/>
      <c r="J130" s="491"/>
      <c r="K130" s="491"/>
      <c r="L130" s="491"/>
      <c r="M130" s="492"/>
      <c r="N130" s="2980"/>
      <c r="O130" s="2980"/>
      <c r="P130" s="3004"/>
      <c r="Q130" s="2965"/>
      <c r="R130" s="2951"/>
      <c r="S130" s="2951"/>
      <c r="T130" s="2951"/>
      <c r="U130" s="2951"/>
      <c r="V130" s="2951"/>
      <c r="W130" s="2951"/>
      <c r="X130" s="2951"/>
      <c r="Y130" s="2951"/>
      <c r="Z130" s="2951"/>
      <c r="AA130" s="2951"/>
      <c r="AB130" s="2951"/>
      <c r="AC130" s="2951"/>
    </row>
    <row r="131" spans="1:29" s="428" customFormat="1" ht="15" thickTop="1">
      <c r="A131" s="548"/>
      <c r="B131" s="493">
        <f>B45</f>
        <v>111</v>
      </c>
      <c r="C131" s="478"/>
      <c r="D131" s="478"/>
      <c r="E131" s="478"/>
      <c r="F131" s="478"/>
      <c r="G131" s="510"/>
      <c r="H131" s="510"/>
      <c r="I131" s="510"/>
      <c r="J131" s="510"/>
      <c r="K131" s="510"/>
      <c r="L131" s="511"/>
      <c r="M131" s="512"/>
      <c r="N131" s="2981"/>
      <c r="O131" s="2981"/>
      <c r="P131" s="3005"/>
      <c r="Q131" s="2972"/>
      <c r="R131" s="2973"/>
      <c r="S131" s="2973"/>
      <c r="T131" s="2973"/>
      <c r="U131" s="2973"/>
      <c r="V131" s="2973"/>
      <c r="W131" s="2973"/>
      <c r="X131" s="2973"/>
      <c r="Y131" s="2973"/>
      <c r="Z131" s="2973"/>
      <c r="AA131" s="2973"/>
      <c r="AB131" s="2973"/>
      <c r="AC131" s="2973"/>
    </row>
    <row r="132" spans="1:29" s="428" customFormat="1" ht="15.75" thickBot="1">
      <c r="A132" s="523"/>
      <c r="B132" s="654"/>
      <c r="C132" s="525"/>
      <c r="D132" s="525"/>
      <c r="E132" s="525"/>
      <c r="F132" s="525"/>
      <c r="G132" s="546"/>
      <c r="H132" s="546"/>
      <c r="I132" s="546"/>
      <c r="J132" s="546"/>
      <c r="K132" s="546"/>
      <c r="L132" s="546"/>
      <c r="M132" s="547"/>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D8" sqref="D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2281</v>
      </c>
      <c r="B1" s="1351"/>
      <c r="C1" s="1352"/>
      <c r="D1" s="1350"/>
      <c r="E1" s="3034"/>
      <c r="F1" s="3034"/>
      <c r="G1" s="2897"/>
      <c r="H1" s="3034"/>
      <c r="I1" s="3034"/>
      <c r="J1" s="3034"/>
      <c r="K1" s="3035">
        <f>MATCH(C1,'数据-取费表'!A6:A16,0)+5</f>
        <v>8</v>
      </c>
    </row>
    <row r="2" spans="1:33" ht="18" customHeight="1">
      <c r="A2" s="205" t="s">
        <v>2149</v>
      </c>
      <c r="B2" s="208">
        <f ca="1">C32</f>
        <v>61369</v>
      </c>
      <c r="C2" s="280" t="s">
        <v>2282</v>
      </c>
      <c r="D2" s="280"/>
      <c r="E2" s="3034"/>
      <c r="F2" s="3034"/>
      <c r="G2" s="3034"/>
      <c r="H2" s="3034"/>
      <c r="I2" s="3034"/>
      <c r="J2" s="3034"/>
      <c r="K2" s="3034"/>
    </row>
    <row r="3" spans="1:33" ht="18" customHeight="1" thickBot="1">
      <c r="A3" s="207" t="s">
        <v>2151</v>
      </c>
      <c r="B3" s="208">
        <f ca="1">ROUND(B2*10000/IF(C1="",'数据-汇总表'!E3,INDIRECT("'数据-取费表'!K"&amp;$K$1)),0)</f>
        <v>4591</v>
      </c>
      <c r="C3" s="280" t="s">
        <v>2283</v>
      </c>
      <c r="D3" s="280"/>
      <c r="E3" s="3034"/>
      <c r="F3" s="3034"/>
      <c r="G3" s="3034"/>
      <c r="H3" s="3034"/>
      <c r="I3" s="3034"/>
      <c r="J3" s="3034"/>
      <c r="K3" s="3034"/>
    </row>
    <row r="4" spans="1:33" s="891" customFormat="1" ht="16.5" customHeight="1">
      <c r="A4" s="888" t="s">
        <v>2284</v>
      </c>
      <c r="B4" s="889"/>
      <c r="C4" s="931">
        <f ca="1">SUM(C8:K8)</f>
        <v>103759</v>
      </c>
      <c r="D4" s="889"/>
      <c r="E4" s="889"/>
      <c r="F4" s="889"/>
      <c r="G4" s="889"/>
      <c r="H4" s="889"/>
      <c r="I4" s="889"/>
      <c r="J4" s="889"/>
      <c r="K4" s="890"/>
    </row>
    <row r="5" spans="1:33" s="895" customFormat="1" ht="15">
      <c r="A5" s="892" t="s">
        <v>2285</v>
      </c>
      <c r="B5" s="893" t="s">
        <v>2286</v>
      </c>
      <c r="C5" s="2044" t="s">
        <v>3109</v>
      </c>
      <c r="D5" s="2044" t="s">
        <v>3110</v>
      </c>
      <c r="E5" s="2044"/>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2287</v>
      </c>
      <c r="C6" s="897">
        <f>'比较法-住宅'!C49</f>
        <v>8143</v>
      </c>
      <c r="D6" s="897">
        <f ca="1">收益法!C43</f>
        <v>2302</v>
      </c>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2288</v>
      </c>
      <c r="B7" s="134" t="s">
        <v>2289</v>
      </c>
      <c r="C7" s="281">
        <f>SUMIF('数据-汇总表'!$C19:$C33,假设开发法!C5,'数据-汇总表'!$E19:$E33)</f>
        <v>125054.78</v>
      </c>
      <c r="D7" s="281">
        <f>SUMIF('数据-汇总表'!$C19:$C33,假设开发法!D5,'数据-汇总表'!$E19:$E33)</f>
        <v>8370.0399999999991</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2290</v>
      </c>
      <c r="B8" s="167" t="s">
        <v>2291</v>
      </c>
      <c r="C8" s="932">
        <f>'比较法-住宅'!B2</f>
        <v>101832</v>
      </c>
      <c r="D8" s="932">
        <f ca="1">收益法!C40</f>
        <v>1927</v>
      </c>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2292</v>
      </c>
      <c r="B9" s="889"/>
      <c r="C9" s="889"/>
      <c r="D9" s="889"/>
      <c r="E9" s="889"/>
      <c r="F9" s="889"/>
      <c r="G9" s="889"/>
      <c r="H9" s="889"/>
      <c r="I9" s="889"/>
      <c r="J9" s="889"/>
      <c r="K9" s="890"/>
    </row>
    <row r="10" spans="1:33" s="905" customFormat="1" ht="13.5" customHeight="1">
      <c r="A10" s="892" t="s">
        <v>2293</v>
      </c>
      <c r="B10" s="8" t="s">
        <v>2294</v>
      </c>
      <c r="C10" s="901" t="s">
        <v>2295</v>
      </c>
      <c r="D10" s="902" t="s">
        <v>2296</v>
      </c>
      <c r="E10" s="902" t="s">
        <v>2297</v>
      </c>
      <c r="F10" s="902" t="s">
        <v>2298</v>
      </c>
      <c r="G10" s="8"/>
      <c r="H10" s="903"/>
      <c r="I10" s="903"/>
      <c r="J10" s="903"/>
      <c r="K10" s="904"/>
    </row>
    <row r="11" spans="1:33" s="910" customFormat="1" ht="13.5" customHeight="1">
      <c r="A11" s="906" t="s">
        <v>1300</v>
      </c>
      <c r="B11" s="907" t="s">
        <v>2299</v>
      </c>
      <c r="C11" s="283">
        <f ca="1">IF(C1="",'数据-取费表'!P16,INDIRECT("'数据-取费表'!p"&amp;$K$1)+INDIRECT("'数据-取费表'!ar"&amp;$K$1))</f>
        <v>17345</v>
      </c>
      <c r="D11" s="908"/>
      <c r="E11" s="333"/>
      <c r="F11" s="909">
        <f ca="1">1-IF('数据-取费表'!B24=0,1,IF(C1="",'数据-取费表'!N16,INDIRECT("'数据-取费表'!n"&amp;$K$1)))</f>
        <v>0.5</v>
      </c>
      <c r="G11" s="8"/>
      <c r="H11" s="903"/>
      <c r="I11" s="903"/>
      <c r="J11" s="903"/>
      <c r="K11" s="904"/>
    </row>
    <row r="12" spans="1:33" s="910" customFormat="1" ht="13.5" customHeight="1">
      <c r="A12" s="906" t="s">
        <v>1301</v>
      </c>
      <c r="B12" s="907" t="s">
        <v>2300</v>
      </c>
      <c r="C12" s="24">
        <f ca="1">ROUND(C11*F12,0)</f>
        <v>694</v>
      </c>
      <c r="D12" s="908"/>
      <c r="E12" s="333"/>
      <c r="F12" s="911">
        <f>'数据-取费表'!B33</f>
        <v>0.04</v>
      </c>
      <c r="G12" s="8" t="s">
        <v>2301</v>
      </c>
      <c r="H12" s="903"/>
      <c r="I12" s="903"/>
      <c r="J12" s="903"/>
      <c r="K12" s="904"/>
    </row>
    <row r="13" spans="1:33" s="910" customFormat="1" ht="13.5" customHeight="1">
      <c r="A13" s="906" t="s">
        <v>1302</v>
      </c>
      <c r="B13" s="907" t="s">
        <v>2302</v>
      </c>
      <c r="C13" s="24">
        <f ca="1">ROUND(IF(C1="",SUMIF('数据-取费表'!C:C,"住宅",'数据-取费表'!P:P)*F13,IF(INDIRECT("'数据-取费表'!c"&amp;$K$1)="住宅",INDIRECT("'数据-取费表'!P"&amp;$K$1)*F13,0)),0)</f>
        <v>813</v>
      </c>
      <c r="D13" s="953"/>
      <c r="E13" s="333"/>
      <c r="F13" s="911">
        <f>'数据-取费表'!B34</f>
        <v>0.05</v>
      </c>
      <c r="G13" s="8" t="s">
        <v>2303</v>
      </c>
      <c r="H13" s="903"/>
      <c r="I13" s="903"/>
      <c r="J13" s="903"/>
      <c r="K13" s="904"/>
    </row>
    <row r="14" spans="1:33" s="912" customFormat="1" ht="13.5" customHeight="1">
      <c r="A14" s="906" t="s">
        <v>1303</v>
      </c>
      <c r="B14" s="907" t="s">
        <v>2304</v>
      </c>
      <c r="C14" s="24">
        <f ca="1">ROUND(D14*E14*F11/10000,0)</f>
        <v>1337</v>
      </c>
      <c r="D14" s="953">
        <f ca="1">IF(C1="",'数据-汇总表'!E3,INDIRECT("'数据-取费表'!K"&amp;$K$1)+INDIRECT("'数据-取费表'!S"&amp;$K$1))</f>
        <v>133675.47</v>
      </c>
      <c r="E14" s="24">
        <f>'数据-取费表'!B35</f>
        <v>200</v>
      </c>
      <c r="F14" s="911"/>
      <c r="G14" s="8" t="s">
        <v>2305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2306</v>
      </c>
      <c r="C15" s="918">
        <f ca="1">ROUND(C11*F15,0)</f>
        <v>260</v>
      </c>
      <c r="D15" s="913"/>
      <c r="E15" s="918"/>
      <c r="F15" s="919">
        <f>'数据-取费表'!B36</f>
        <v>1.4999999999999999E-2</v>
      </c>
      <c r="G15" s="134" t="s">
        <v>2307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2308</v>
      </c>
      <c r="C16" s="918">
        <f ca="1">SUM(C11:C15)</f>
        <v>20449</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2309</v>
      </c>
      <c r="C17" s="24">
        <f ca="1">ROUND(D17*E17/10000,0)</f>
        <v>0</v>
      </c>
      <c r="D17" s="953">
        <f ca="1">D14</f>
        <v>133675.47</v>
      </c>
      <c r="E17" s="24">
        <f>'数据-取费表'!B32</f>
        <v>0</v>
      </c>
      <c r="F17" s="913"/>
      <c r="G17" s="134" t="s">
        <v>2310</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2311</v>
      </c>
      <c r="C18" s="24">
        <f ca="1">C19+C20-IF(C1="",'数据-取费表'!B29,IF(G18="已全部缴纳",C19+C20,H18))</f>
        <v>2173</v>
      </c>
      <c r="D18" s="953"/>
      <c r="E18" s="24"/>
      <c r="F18" s="911"/>
      <c r="G18" s="2046" t="s">
        <v>3916</v>
      </c>
      <c r="H18" s="1347"/>
      <c r="I18" s="2047" t="s">
        <v>2312</v>
      </c>
      <c r="J18" s="914"/>
      <c r="K18" s="915"/>
    </row>
    <row r="19" spans="1:33" s="910" customFormat="1" ht="13.5" customHeight="1">
      <c r="A19" s="906" t="s">
        <v>805</v>
      </c>
      <c r="B19" s="907" t="s">
        <v>2313</v>
      </c>
      <c r="C19" s="24">
        <f ca="1">ROUND(D19*E19/10000,0)</f>
        <v>2001</v>
      </c>
      <c r="D19" s="953">
        <f ca="1">IF(C1="",'数据-汇总表'!E5,IF(INDIRECT("'数据-取费表'!c"&amp;$K$1)="住宅",INDIRECT("'数据-取费表'!k"&amp;$K$1),0))</f>
        <v>125054.78</v>
      </c>
      <c r="E19" s="24">
        <f>'数据-取费表'!B27</f>
        <v>160</v>
      </c>
      <c r="F19" s="911"/>
      <c r="G19" s="15"/>
      <c r="H19" s="1349"/>
      <c r="I19" s="916"/>
      <c r="J19" s="916"/>
      <c r="K19" s="917"/>
    </row>
    <row r="20" spans="1:33" s="910" customFormat="1" ht="13.5" customHeight="1">
      <c r="A20" s="906" t="s">
        <v>806</v>
      </c>
      <c r="B20" s="907" t="s">
        <v>2314</v>
      </c>
      <c r="C20" s="24">
        <f ca="1">ROUND(D20*E20/10000,0)</f>
        <v>172</v>
      </c>
      <c r="D20" s="953">
        <f ca="1">IF(C1="",'数据-汇总表'!E6,IF(INDIRECT("'数据-取费表'!c"&amp;$K$1)="住宅",INDIRECT("'数据-取费表'!s"&amp;$K$1),INDIRECT("'数据-取费表'!k"&amp;$K$1)+INDIRECT("'数据-取费表'!s"&amp;$K$1)))</f>
        <v>8620.6900000000023</v>
      </c>
      <c r="E20" s="24">
        <f>'数据-取费表'!B28</f>
        <v>200</v>
      </c>
      <c r="F20" s="911"/>
      <c r="G20" s="15"/>
      <c r="H20" s="916"/>
      <c r="I20" s="916"/>
      <c r="J20" s="916"/>
      <c r="K20" s="917"/>
    </row>
    <row r="21" spans="1:33" s="910" customFormat="1" ht="13.5" customHeight="1">
      <c r="A21" s="896" t="s">
        <v>802</v>
      </c>
      <c r="B21" s="920" t="s">
        <v>2315</v>
      </c>
      <c r="C21" s="921">
        <f ca="1">C16+C17+C18</f>
        <v>22622</v>
      </c>
      <c r="D21" s="922"/>
      <c r="E21" s="285"/>
      <c r="F21" s="285"/>
      <c r="G21" s="134" t="s">
        <v>2316</v>
      </c>
      <c r="H21" s="914"/>
      <c r="I21" s="914"/>
      <c r="J21" s="914"/>
      <c r="K21" s="915"/>
    </row>
    <row r="22" spans="1:33" s="910" customFormat="1" ht="13.5" customHeight="1">
      <c r="A22" s="896" t="s">
        <v>2288</v>
      </c>
      <c r="B22" s="920" t="s">
        <v>2317</v>
      </c>
      <c r="C22" s="921">
        <f ca="1">ROUND(C21*F22,0)</f>
        <v>452</v>
      </c>
      <c r="D22" s="285"/>
      <c r="E22" s="285"/>
      <c r="F22" s="923">
        <f>'数据-取费表'!B37</f>
        <v>0.02</v>
      </c>
      <c r="G22" s="8" t="s">
        <v>2318</v>
      </c>
      <c r="H22" s="903"/>
      <c r="I22" s="903"/>
      <c r="J22" s="903"/>
      <c r="K22" s="904"/>
    </row>
    <row r="23" spans="1:33" s="910" customFormat="1" ht="13.5" customHeight="1">
      <c r="A23" s="896" t="s">
        <v>2290</v>
      </c>
      <c r="B23" s="920" t="s">
        <v>2319</v>
      </c>
      <c r="C23" s="921">
        <f ca="1">ROUND(C4*F23*F11,0)</f>
        <v>1038</v>
      </c>
      <c r="D23" s="285"/>
      <c r="E23" s="285"/>
      <c r="F23" s="923">
        <f>'数据-取费表'!B38</f>
        <v>0.02</v>
      </c>
      <c r="G23" s="8" t="s">
        <v>2320</v>
      </c>
      <c r="H23" s="903"/>
      <c r="I23" s="903"/>
      <c r="J23" s="903"/>
      <c r="K23" s="904"/>
    </row>
    <row r="24" spans="1:33" s="910" customFormat="1" ht="13.5" customHeight="1">
      <c r="A24" s="896" t="s">
        <v>2321</v>
      </c>
      <c r="B24" s="920" t="s">
        <v>2322</v>
      </c>
      <c r="C24" s="284">
        <f>ROUND(F24/(1+'数据-取费表'!C42),4)</f>
        <v>2.9000000000000001E-2</v>
      </c>
      <c r="D24" s="285" t="s">
        <v>15</v>
      </c>
      <c r="E24" s="285"/>
      <c r="F24" s="923">
        <f>IF(项目基本情况!B8="出让",0,'数据-取费表'!B48+'数据-取费表'!B49)</f>
        <v>3.0499999999999999E-2</v>
      </c>
      <c r="G24" s="8" t="s">
        <v>2323</v>
      </c>
      <c r="H24" s="925"/>
      <c r="I24" s="925"/>
      <c r="J24" s="925"/>
      <c r="K24" s="926"/>
    </row>
    <row r="25" spans="1:33" s="910" customFormat="1" ht="13.5" customHeight="1">
      <c r="A25" s="896" t="s">
        <v>2324</v>
      </c>
      <c r="B25" s="922" t="s">
        <v>2325</v>
      </c>
      <c r="C25" s="1264">
        <f ca="1">C27</f>
        <v>519</v>
      </c>
      <c r="D25" s="284">
        <f ca="1">C26</f>
        <v>4.48E-2</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2326</v>
      </c>
      <c r="C26" s="1265">
        <f ca="1">ROUND(IF('数据-取费表'!B22&lt;=1,(1+C24)*F25*'数据-取费表'!B24,(1+C24)*(POWER((1+F25),'数据-取费表'!B24)-1)),4)</f>
        <v>4.48E-2</v>
      </c>
      <c r="D26" s="288"/>
      <c r="E26" s="289"/>
      <c r="F26" s="290"/>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2327</v>
      </c>
      <c r="C27" s="1266">
        <f ca="1">ROUND(IF('数据-取费表'!B22&lt;=1,(C21+C22+C23)*F25*'数据-取费表'!B24/2,(C21+C22+C23)*(POWER((1+F25),'数据-取费表'!B24/2)-1)),0)</f>
        <v>519</v>
      </c>
      <c r="D27" s="288"/>
      <c r="E27" s="289"/>
      <c r="F27" s="290"/>
      <c r="G27" s="2048" t="str">
        <f>IF('数据-取费表'!B22&lt;=1,"（1）-（3）项×年利率×建设期÷2","（1）-（3）项×((1+年利率)^(建设期÷2)-1)")</f>
        <v>（1）-（3）项×((1+年利率)^(建设期÷2)-1)</v>
      </c>
      <c r="H27" s="914"/>
      <c r="I27" s="914"/>
      <c r="J27" s="914"/>
      <c r="K27" s="915"/>
    </row>
    <row r="28" spans="1:33" s="293" customFormat="1" ht="13.5" customHeight="1">
      <c r="A28" s="896" t="s">
        <v>2328</v>
      </c>
      <c r="B28" s="2049" t="s">
        <v>2329</v>
      </c>
      <c r="C28" s="291">
        <f ca="1">C30</f>
        <v>3376</v>
      </c>
      <c r="D28" s="284">
        <f ca="1">C29</f>
        <v>7.1999999999999995E-2</v>
      </c>
      <c r="E28" s="286" t="s">
        <v>15</v>
      </c>
      <c r="F28" s="292">
        <f ca="1">IF(C1="",'数据-取费表'!Q16,INDIRECT("'数据-取费表'!q"&amp;$K$1))</f>
        <v>0.14000000000000001</v>
      </c>
      <c r="G28" s="924"/>
      <c r="H28" s="925"/>
      <c r="I28" s="925"/>
      <c r="J28" s="925"/>
      <c r="K28" s="926"/>
    </row>
    <row r="29" spans="1:33" s="295" customFormat="1" ht="13.5" customHeight="1">
      <c r="A29" s="906" t="s">
        <v>803</v>
      </c>
      <c r="B29" s="929" t="s">
        <v>2330</v>
      </c>
      <c r="C29" s="288">
        <f ca="1">ROUND((1+C24)*F28*'数据-取费表'!B24/'数据-取费表'!B20,4)</f>
        <v>7.1999999999999995E-2</v>
      </c>
      <c r="D29" s="288"/>
      <c r="E29" s="289"/>
      <c r="F29" s="294"/>
      <c r="G29" s="134" t="s">
        <v>2331</v>
      </c>
      <c r="H29" s="914"/>
      <c r="I29" s="914"/>
      <c r="J29" s="914"/>
      <c r="K29" s="915"/>
    </row>
    <row r="30" spans="1:33" s="295" customFormat="1" ht="13.5" customHeight="1">
      <c r="A30" s="906" t="s">
        <v>804</v>
      </c>
      <c r="B30" s="929" t="s">
        <v>2332</v>
      </c>
      <c r="C30" s="296">
        <f ca="1">ROUND((C21+C22+C23)*F28,0)</f>
        <v>3376</v>
      </c>
      <c r="D30" s="288"/>
      <c r="E30" s="289"/>
      <c r="F30" s="294"/>
      <c r="G30" s="134"/>
      <c r="H30" s="914"/>
      <c r="I30" s="914"/>
      <c r="J30" s="914"/>
      <c r="K30" s="915"/>
    </row>
    <row r="31" spans="1:33" s="910" customFormat="1" ht="13.5" customHeight="1" thickBot="1">
      <c r="A31" s="2050" t="s">
        <v>2333</v>
      </c>
      <c r="B31" s="940" t="s">
        <v>2334</v>
      </c>
      <c r="C31" s="941">
        <f ca="1">ROUND(C4*F31/(1+'数据-取费表'!C42),0)</f>
        <v>5435</v>
      </c>
      <c r="D31" s="942"/>
      <c r="E31" s="943"/>
      <c r="F31" s="944">
        <f>'数据-取费表'!B41</f>
        <v>5.5000000000000007E-2</v>
      </c>
      <c r="G31" s="945" t="s">
        <v>2335</v>
      </c>
      <c r="H31" s="946"/>
      <c r="I31" s="946"/>
      <c r="J31" s="946"/>
      <c r="K31" s="947"/>
    </row>
    <row r="32" spans="1:33" s="905" customFormat="1" ht="13.5" customHeight="1" thickBot="1">
      <c r="A32" s="935" t="s">
        <v>2336</v>
      </c>
      <c r="B32" s="936"/>
      <c r="C32" s="937">
        <f ca="1">ROUND((C4-C21-C22-C23-C25-C28-C31)/(1+C24+D25+D28),0)</f>
        <v>61369</v>
      </c>
      <c r="D32" s="936"/>
      <c r="E32" s="936"/>
      <c r="F32" s="936"/>
      <c r="G32" s="938" t="s">
        <v>2337</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32" zoomScaleNormal="60" zoomScaleSheetLayoutView="100" workbookViewId="0">
      <selection activeCell="F45" sqref="F45"/>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2347</v>
      </c>
      <c r="B1" s="2062" t="s">
        <v>2348</v>
      </c>
      <c r="C1" s="1404" t="s">
        <v>2349</v>
      </c>
      <c r="D1" s="1391" t="s">
        <v>3109</v>
      </c>
      <c r="E1" s="2542"/>
      <c r="F1" s="2063" t="s">
        <v>2350</v>
      </c>
      <c r="G1" s="1401" t="s">
        <v>2351</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f>IF(C2="——",ROUND(C49*D3/10000,0),ROUND(C49*D3/10000,0)-D2)</f>
        <v>101832</v>
      </c>
      <c r="C2" s="2065" t="s">
        <v>70</v>
      </c>
      <c r="D2" s="1273" t="e">
        <f ca="1">SUMIF(INDIRECT("'"&amp;F2&amp;"'"&amp;"!A:A"),"承租人权益价值",INDIRECT("'"&amp;F2&amp;"'"&amp;"!c:c"))</f>
        <v>#REF!</v>
      </c>
      <c r="E2" s="2066" t="s">
        <v>2352</v>
      </c>
      <c r="F2" s="2067"/>
      <c r="G2" s="1036"/>
      <c r="H2" s="1036"/>
      <c r="I2" s="1036"/>
      <c r="J2" s="1036"/>
      <c r="K2" s="2068"/>
      <c r="L2" s="2939"/>
      <c r="M2" s="2940"/>
      <c r="N2" s="2940"/>
      <c r="O2" s="2940"/>
      <c r="P2" s="2069"/>
      <c r="Q2" s="2070"/>
      <c r="R2" s="2070"/>
      <c r="S2" s="2070"/>
      <c r="T2" s="2070"/>
      <c r="U2" s="2070"/>
      <c r="V2" s="2070"/>
      <c r="W2" s="2070"/>
      <c r="X2" s="2070"/>
      <c r="Y2" s="2070"/>
      <c r="Z2" s="2070"/>
      <c r="AA2" s="2070"/>
      <c r="AB2" s="2070"/>
      <c r="AC2" s="2071"/>
    </row>
    <row r="3" spans="1:29" s="351" customFormat="1" ht="28.5" customHeight="1" thickBot="1">
      <c r="A3" s="207" t="s">
        <v>1360</v>
      </c>
      <c r="B3" s="357">
        <f>IF(C2="——",C49,ROUND(B2*10000/D3,0))</f>
        <v>8143</v>
      </c>
      <c r="C3" s="358" t="s">
        <v>2353</v>
      </c>
      <c r="D3" s="357">
        <f>IF(D1="",'数据-汇总表'!E3,SUMIF('数据-汇总表'!$C19:$C33,D1,'数据-汇总表'!$E19:$E33))</f>
        <v>125054.78</v>
      </c>
      <c r="E3" s="1036"/>
      <c r="F3" s="2072"/>
      <c r="G3" s="1036"/>
      <c r="H3" s="1036"/>
      <c r="I3" s="1036"/>
      <c r="J3" s="1036"/>
      <c r="K3" s="2068"/>
      <c r="L3" s="2939"/>
      <c r="M3" s="2940"/>
      <c r="N3" s="2940"/>
      <c r="O3" s="2940"/>
      <c r="P3" s="2069"/>
      <c r="Q3" s="2070"/>
      <c r="R3" s="2070"/>
      <c r="S3" s="2070"/>
      <c r="T3" s="2070"/>
      <c r="U3" s="2070"/>
      <c r="V3" s="2070"/>
      <c r="W3" s="2070"/>
      <c r="X3" s="2070"/>
      <c r="Y3" s="2070"/>
      <c r="Z3" s="2070"/>
      <c r="AA3" s="2070"/>
      <c r="AB3" s="2070"/>
      <c r="AC3" s="1190"/>
    </row>
    <row r="4" spans="1:29" ht="15">
      <c r="A4" s="359" t="s">
        <v>2354</v>
      </c>
      <c r="B4" s="360"/>
      <c r="C4" s="3313" t="s">
        <v>2355</v>
      </c>
      <c r="D4" s="3326"/>
      <c r="E4" s="3327" t="s">
        <v>2356</v>
      </c>
      <c r="F4" s="3328"/>
      <c r="G4" s="3313" t="s">
        <v>2357</v>
      </c>
      <c r="H4" s="3326"/>
      <c r="I4" s="3313" t="s">
        <v>2358</v>
      </c>
      <c r="J4" s="3326"/>
      <c r="K4" s="2073" t="s">
        <v>2359</v>
      </c>
      <c r="L4" s="2941"/>
      <c r="M4" s="2942"/>
      <c r="N4" s="2942"/>
      <c r="O4" s="2942"/>
      <c r="P4" s="3329" t="s">
        <v>2360</v>
      </c>
      <c r="Q4" s="3330"/>
      <c r="R4" s="3335" t="s">
        <v>2356</v>
      </c>
      <c r="S4" s="3336"/>
      <c r="T4" s="3335" t="s">
        <v>2357</v>
      </c>
      <c r="U4" s="3336"/>
      <c r="V4" s="3322" t="s">
        <v>2358</v>
      </c>
      <c r="W4" s="3322"/>
      <c r="X4" s="1537"/>
      <c r="Y4" s="3335" t="s">
        <v>2360</v>
      </c>
      <c r="Z4" s="3336"/>
      <c r="AA4" s="3323" t="s">
        <v>2356</v>
      </c>
      <c r="AB4" s="3323" t="s">
        <v>2357</v>
      </c>
      <c r="AC4" s="3323" t="s">
        <v>2358</v>
      </c>
    </row>
    <row r="5" spans="1:29" ht="15">
      <c r="A5" s="362"/>
      <c r="B5" s="363"/>
      <c r="C5" s="3343" t="s">
        <v>2361</v>
      </c>
      <c r="D5" s="3344"/>
      <c r="E5" s="3361" t="s">
        <v>3923</v>
      </c>
      <c r="F5" s="3351"/>
      <c r="G5" s="3360" t="s">
        <v>3924</v>
      </c>
      <c r="H5" s="3344"/>
      <c r="I5" s="3360" t="s">
        <v>3925</v>
      </c>
      <c r="J5" s="3344"/>
      <c r="K5" s="2074"/>
      <c r="L5" s="2941"/>
      <c r="M5" s="2942"/>
      <c r="N5" s="2942"/>
      <c r="O5" s="2942"/>
      <c r="P5" s="3331"/>
      <c r="Q5" s="3332"/>
      <c r="R5" s="3337"/>
      <c r="S5" s="3338"/>
      <c r="T5" s="3337"/>
      <c r="U5" s="3338"/>
      <c r="V5" s="3322"/>
      <c r="W5" s="3322"/>
      <c r="X5" s="1537"/>
      <c r="Y5" s="3337"/>
      <c r="Z5" s="3338"/>
      <c r="AA5" s="3324"/>
      <c r="AB5" s="3324"/>
      <c r="AC5" s="3324"/>
    </row>
    <row r="6" spans="1:29" ht="15.75" thickBot="1">
      <c r="A6" s="364"/>
      <c r="B6" s="365"/>
      <c r="C6" s="3341" t="s">
        <v>2365</v>
      </c>
      <c r="D6" s="3342"/>
      <c r="E6" s="3348" t="s">
        <v>2365</v>
      </c>
      <c r="F6" s="3349"/>
      <c r="G6" s="3341" t="s">
        <v>2365</v>
      </c>
      <c r="H6" s="3342"/>
      <c r="I6" s="3341" t="s">
        <v>2365</v>
      </c>
      <c r="J6" s="3342"/>
      <c r="K6" s="2074" t="s">
        <v>2366</v>
      </c>
      <c r="L6" s="2941"/>
      <c r="M6" s="2942"/>
      <c r="N6" s="2942"/>
      <c r="O6" s="2942"/>
      <c r="P6" s="3333"/>
      <c r="Q6" s="3334"/>
      <c r="R6" s="3337"/>
      <c r="S6" s="3338"/>
      <c r="T6" s="3339"/>
      <c r="U6" s="3340"/>
      <c r="V6" s="3322"/>
      <c r="W6" s="3322"/>
      <c r="X6" s="1537"/>
      <c r="Y6" s="3339"/>
      <c r="Z6" s="3340"/>
      <c r="AA6" s="3325"/>
      <c r="AB6" s="3325"/>
      <c r="AC6" s="3325"/>
    </row>
    <row r="7" spans="1:29" s="112" customFormat="1" ht="15.75" thickBot="1">
      <c r="A7" s="366" t="s">
        <v>2367</v>
      </c>
      <c r="B7" s="367"/>
      <c r="C7" s="368">
        <f>'数据-取费表'!B2</f>
        <v>44311</v>
      </c>
      <c r="D7" s="369">
        <v>100</v>
      </c>
      <c r="E7" s="370">
        <f>C7</f>
        <v>44311</v>
      </c>
      <c r="F7" s="371">
        <f>SUMIF(58:58,YEAR(E7)&amp;"-"&amp;MONTH(E7),59:59)</f>
        <v>100</v>
      </c>
      <c r="G7" s="370">
        <f>E7</f>
        <v>44311</v>
      </c>
      <c r="H7" s="369">
        <f>SUMIF(58:58,YEAR(G7)&amp;"-"&amp;MONTH(G7),59:59)</f>
        <v>100</v>
      </c>
      <c r="I7" s="370">
        <f>G7</f>
        <v>44311</v>
      </c>
      <c r="J7" s="369">
        <f>SUMIF(58:58,YEAR(I7)&amp;"-"&amp;MONTH(I7),59:59)</f>
        <v>100</v>
      </c>
      <c r="K7" s="2075"/>
      <c r="L7" s="2943"/>
      <c r="M7" s="2944"/>
      <c r="N7" s="2944"/>
      <c r="O7" s="2944"/>
      <c r="P7" s="3345" t="s">
        <v>2368</v>
      </c>
      <c r="Q7" s="3347"/>
      <c r="R7" s="708" t="s">
        <v>23</v>
      </c>
      <c r="S7" s="709">
        <f t="shared" ref="S7:S15" si="0">F7</f>
        <v>100</v>
      </c>
      <c r="T7" s="708" t="s">
        <v>23</v>
      </c>
      <c r="U7" s="709">
        <f t="shared" ref="U7:U15" si="1">H7</f>
        <v>100</v>
      </c>
      <c r="V7" s="708" t="s">
        <v>23</v>
      </c>
      <c r="W7" s="709">
        <f t="shared" ref="W7:W15" si="2">J7</f>
        <v>100</v>
      </c>
      <c r="X7" s="710"/>
      <c r="Y7" s="3345" t="s">
        <v>2368</v>
      </c>
      <c r="Z7" s="3346"/>
      <c r="AA7" s="711">
        <f>D7/F7</f>
        <v>1</v>
      </c>
      <c r="AB7" s="711">
        <f>D7/H7</f>
        <v>1</v>
      </c>
      <c r="AC7" s="711">
        <f>D7/J7</f>
        <v>1</v>
      </c>
    </row>
    <row r="8" spans="1:29" s="112" customFormat="1" ht="15.75" thickBot="1">
      <c r="A8" s="366" t="s">
        <v>2369</v>
      </c>
      <c r="B8" s="367"/>
      <c r="C8" s="372" t="s">
        <v>2370</v>
      </c>
      <c r="D8" s="369">
        <v>100</v>
      </c>
      <c r="E8" s="2076" t="s">
        <v>3215</v>
      </c>
      <c r="F8" s="371">
        <f>SUMIF(61:61,E8,62:62)-SUMIF(61:61,C8,62:62)+100</f>
        <v>100</v>
      </c>
      <c r="G8" s="372" t="s">
        <v>3215</v>
      </c>
      <c r="H8" s="369">
        <f>SUMIF(61:61,G8,62:62)-SUMIF(61:61,C8,62:62)+100</f>
        <v>100</v>
      </c>
      <c r="I8" s="2076" t="s">
        <v>3215</v>
      </c>
      <c r="J8" s="369">
        <f>SUMIF(61:61,I8,62:62)-SUMIF(61:61,C8,62:62)+100</f>
        <v>100</v>
      </c>
      <c r="K8" s="2075"/>
      <c r="L8" s="2943"/>
      <c r="M8" s="2944"/>
      <c r="N8" s="2944"/>
      <c r="O8" s="2944"/>
      <c r="P8" s="3345" t="s">
        <v>2371</v>
      </c>
      <c r="Q8" s="3346"/>
      <c r="R8" s="708" t="s">
        <v>23</v>
      </c>
      <c r="S8" s="709">
        <f t="shared" si="0"/>
        <v>100</v>
      </c>
      <c r="T8" s="708" t="s">
        <v>23</v>
      </c>
      <c r="U8" s="709">
        <f t="shared" si="1"/>
        <v>100</v>
      </c>
      <c r="V8" s="708" t="s">
        <v>23</v>
      </c>
      <c r="W8" s="709">
        <f t="shared" si="2"/>
        <v>100</v>
      </c>
      <c r="X8" s="710"/>
      <c r="Y8" s="3345" t="s">
        <v>2371</v>
      </c>
      <c r="Z8" s="3346"/>
      <c r="AA8" s="711">
        <f t="shared" ref="AA8:AA19" si="3">D8/F8</f>
        <v>1</v>
      </c>
      <c r="AB8" s="711">
        <f t="shared" ref="AB8:AB19" si="4">D8/H8</f>
        <v>1</v>
      </c>
      <c r="AC8" s="711">
        <f t="shared" ref="AC8:AC19" si="5">D8/J8</f>
        <v>1</v>
      </c>
    </row>
    <row r="9" spans="1:29" s="112" customFormat="1">
      <c r="A9" s="373" t="s">
        <v>2372</v>
      </c>
      <c r="B9" s="67" t="s">
        <v>2373</v>
      </c>
      <c r="C9" s="3101" t="s">
        <v>3930</v>
      </c>
      <c r="D9" s="129">
        <v>100</v>
      </c>
      <c r="E9" s="3102" t="s">
        <v>3930</v>
      </c>
      <c r="F9" s="376">
        <f>SUMIF(63:63,E9,64:64)-SUMIF(63:63,C9,64:64)+100</f>
        <v>100</v>
      </c>
      <c r="G9" s="3102" t="s">
        <v>3930</v>
      </c>
      <c r="H9" s="129">
        <f>SUMIF(63:63,G9,64:64)-SUMIF(63:63,C9,64:64)+100</f>
        <v>100</v>
      </c>
      <c r="I9" s="3102" t="s">
        <v>3930</v>
      </c>
      <c r="J9" s="129">
        <f>SUMIF(63:63,I9,64:64)-SUMIF(63:63,C9,64:64)+100</f>
        <v>100</v>
      </c>
      <c r="K9" s="2075"/>
      <c r="L9" s="2943"/>
      <c r="M9" s="2944"/>
      <c r="N9" s="2944"/>
      <c r="O9" s="2944"/>
      <c r="P9" s="3315"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711">
        <f t="shared" si="5"/>
        <v>1</v>
      </c>
    </row>
    <row r="10" spans="1:29" s="384" customFormat="1" ht="27">
      <c r="A10" s="378"/>
      <c r="B10" s="379" t="s">
        <v>2376</v>
      </c>
      <c r="C10" s="380" t="s">
        <v>3931</v>
      </c>
      <c r="D10" s="130">
        <v>100</v>
      </c>
      <c r="E10" s="381" t="s">
        <v>3931</v>
      </c>
      <c r="F10" s="382">
        <f>SUMIF(65:65,E10,66:66)-SUMIF(65:65,C10,66:66)+100</f>
        <v>100</v>
      </c>
      <c r="G10" s="381" t="s">
        <v>3931</v>
      </c>
      <c r="H10" s="130">
        <f>SUMIF(65:65,G10,66:66)-SUMIF(65:65,C10,66:66)+100</f>
        <v>100</v>
      </c>
      <c r="I10" s="381" t="s">
        <v>3931</v>
      </c>
      <c r="J10" s="130">
        <f>SUMIF(65:65,I10,66:66)-SUMIF(65:65,C10,66:66)+100</f>
        <v>100</v>
      </c>
      <c r="K10" s="383">
        <v>2</v>
      </c>
      <c r="L10" s="2945"/>
      <c r="M10" s="2946"/>
      <c r="N10" s="2946"/>
      <c r="O10" s="2946"/>
      <c r="P10" s="3315"/>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75" thickBot="1">
      <c r="A11" s="385"/>
      <c r="B11" s="379" t="s">
        <v>2377</v>
      </c>
      <c r="C11" s="386">
        <v>2.8</v>
      </c>
      <c r="D11" s="130">
        <v>100</v>
      </c>
      <c r="E11" s="387">
        <v>2.6</v>
      </c>
      <c r="F11" s="382">
        <f>LOOKUP(E11,68:68,69:69)-LOOKUP(C11,68:68,69:69)+100</f>
        <v>100</v>
      </c>
      <c r="G11" s="386">
        <v>2.5</v>
      </c>
      <c r="H11" s="130">
        <f>LOOKUP(G11,68:68,69:69)-LOOKUP(C11,68:68,69:69)+100</f>
        <v>100</v>
      </c>
      <c r="I11" s="386">
        <v>2</v>
      </c>
      <c r="J11" s="130">
        <f>LOOKUP(I11,68:68,69:69)-LOOKUP(C11,68:68,69:69)+100</f>
        <v>102</v>
      </c>
      <c r="K11" s="383">
        <v>2</v>
      </c>
      <c r="L11" s="2947"/>
      <c r="M11" s="2942"/>
      <c r="N11" s="2942"/>
      <c r="O11" s="2942"/>
      <c r="P11" s="3315"/>
      <c r="Q11" s="1525" t="str">
        <f t="shared" si="6"/>
        <v>容积率</v>
      </c>
      <c r="R11" s="708" t="s">
        <v>21</v>
      </c>
      <c r="S11" s="709">
        <f t="shared" si="0"/>
        <v>100</v>
      </c>
      <c r="T11" s="708" t="s">
        <v>21</v>
      </c>
      <c r="U11" s="709">
        <f t="shared" si="1"/>
        <v>100</v>
      </c>
      <c r="V11" s="708" t="s">
        <v>21</v>
      </c>
      <c r="W11" s="709">
        <f t="shared" si="2"/>
        <v>102</v>
      </c>
      <c r="X11" s="710"/>
      <c r="Y11" s="3210"/>
      <c r="Z11" s="55" t="str">
        <f t="shared" si="7"/>
        <v>容积率</v>
      </c>
      <c r="AA11" s="711">
        <f t="shared" si="3"/>
        <v>1</v>
      </c>
      <c r="AB11" s="711">
        <f t="shared" si="4"/>
        <v>1</v>
      </c>
      <c r="AC11" s="711">
        <f t="shared" si="5"/>
        <v>0.98039215686274506</v>
      </c>
    </row>
    <row r="12" spans="1:29" s="112" customFormat="1" ht="15" hidden="1">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3"/>
      <c r="M12" s="2944"/>
      <c r="N12" s="2944"/>
      <c r="O12" s="2944"/>
      <c r="P12" s="3315"/>
      <c r="Q12" s="1525">
        <f t="shared" si="6"/>
        <v>111</v>
      </c>
      <c r="R12" s="708" t="s">
        <v>21</v>
      </c>
      <c r="S12" s="709">
        <f t="shared" si="0"/>
        <v>100</v>
      </c>
      <c r="T12" s="708" t="s">
        <v>21</v>
      </c>
      <c r="U12" s="709">
        <f t="shared" si="1"/>
        <v>100</v>
      </c>
      <c r="V12" s="708" t="s">
        <v>21</v>
      </c>
      <c r="W12" s="709">
        <f t="shared" si="2"/>
        <v>100</v>
      </c>
      <c r="X12" s="710"/>
      <c r="Y12" s="3210"/>
      <c r="Z12" s="55">
        <f t="shared" si="7"/>
        <v>111</v>
      </c>
      <c r="AA12" s="711">
        <f>D12/F12</f>
        <v>1</v>
      </c>
      <c r="AB12" s="711">
        <f>D12/H12</f>
        <v>1</v>
      </c>
      <c r="AC12" s="711">
        <f>D12/J12</f>
        <v>1</v>
      </c>
    </row>
    <row r="13" spans="1:29" ht="15" hidden="1">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8"/>
      <c r="M13" s="2942"/>
      <c r="N13" s="2942"/>
      <c r="O13" s="2942"/>
      <c r="P13" s="3315"/>
      <c r="Q13" s="1525">
        <f t="shared" si="6"/>
        <v>111</v>
      </c>
      <c r="R13" s="708" t="s">
        <v>21</v>
      </c>
      <c r="S13" s="709">
        <f t="shared" si="0"/>
        <v>100</v>
      </c>
      <c r="T13" s="708" t="s">
        <v>21</v>
      </c>
      <c r="U13" s="709">
        <f t="shared" si="1"/>
        <v>100</v>
      </c>
      <c r="V13" s="708" t="s">
        <v>21</v>
      </c>
      <c r="W13" s="709">
        <f t="shared" si="2"/>
        <v>100</v>
      </c>
      <c r="X13" s="710"/>
      <c r="Y13" s="3210"/>
      <c r="Z13" s="55">
        <f t="shared" si="7"/>
        <v>111</v>
      </c>
      <c r="AA13" s="711">
        <f t="shared" si="3"/>
        <v>1</v>
      </c>
      <c r="AB13" s="711">
        <f t="shared" si="4"/>
        <v>1</v>
      </c>
      <c r="AC13" s="711">
        <f t="shared" si="5"/>
        <v>1</v>
      </c>
    </row>
    <row r="14" spans="1:29" ht="15.75" hidden="1"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8"/>
      <c r="M14" s="2942"/>
      <c r="N14" s="2942"/>
      <c r="O14" s="2942"/>
      <c r="P14" s="3315"/>
      <c r="Q14" s="1525">
        <f t="shared" si="6"/>
        <v>111</v>
      </c>
      <c r="R14" s="708" t="s">
        <v>21</v>
      </c>
      <c r="S14" s="709">
        <f t="shared" si="0"/>
        <v>100</v>
      </c>
      <c r="T14" s="708" t="s">
        <v>21</v>
      </c>
      <c r="U14" s="709">
        <f t="shared" si="1"/>
        <v>100</v>
      </c>
      <c r="V14" s="708" t="s">
        <v>21</v>
      </c>
      <c r="W14" s="709">
        <f t="shared" si="2"/>
        <v>100</v>
      </c>
      <c r="X14" s="710"/>
      <c r="Y14" s="3210"/>
      <c r="Z14" s="55">
        <f t="shared" si="7"/>
        <v>111</v>
      </c>
      <c r="AA14" s="711">
        <f t="shared" si="3"/>
        <v>1</v>
      </c>
      <c r="AB14" s="711">
        <f t="shared" si="4"/>
        <v>1</v>
      </c>
      <c r="AC14" s="711">
        <f t="shared" si="5"/>
        <v>1</v>
      </c>
    </row>
    <row r="15" spans="1:29" ht="99.75">
      <c r="A15" s="397" t="s">
        <v>2378</v>
      </c>
      <c r="B15" s="65" t="s">
        <v>1944</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8"/>
      <c r="M15" s="2942"/>
      <c r="N15" s="2942"/>
      <c r="O15" s="2942"/>
      <c r="P15" s="3358" t="s">
        <v>2379</v>
      </c>
      <c r="Q15" s="1534" t="str">
        <f t="shared" si="6"/>
        <v>居住社区成熟度</v>
      </c>
      <c r="R15" s="712" t="s">
        <v>21</v>
      </c>
      <c r="S15" s="713">
        <f t="shared" si="0"/>
        <v>100</v>
      </c>
      <c r="T15" s="712" t="s">
        <v>21</v>
      </c>
      <c r="U15" s="713">
        <f t="shared" si="1"/>
        <v>100</v>
      </c>
      <c r="V15" s="712" t="s">
        <v>21</v>
      </c>
      <c r="W15" s="713">
        <f t="shared" si="2"/>
        <v>100</v>
      </c>
      <c r="X15" s="1537"/>
      <c r="Y15" s="3318" t="s">
        <v>2379</v>
      </c>
      <c r="Z15" s="1538" t="str">
        <f t="shared" si="7"/>
        <v>居住社区成熟度</v>
      </c>
      <c r="AA15" s="1535">
        <f t="shared" si="3"/>
        <v>1</v>
      </c>
      <c r="AB15" s="1535">
        <f t="shared" si="4"/>
        <v>1</v>
      </c>
      <c r="AC15" s="1535">
        <f t="shared" si="5"/>
        <v>1</v>
      </c>
    </row>
    <row r="16" spans="1:29" ht="15">
      <c r="A16" s="385"/>
      <c r="B16" s="403"/>
      <c r="C16" s="404" t="s">
        <v>3106</v>
      </c>
      <c r="D16" s="405"/>
      <c r="E16" s="404" t="s">
        <v>3106</v>
      </c>
      <c r="F16" s="405"/>
      <c r="G16" s="404" t="s">
        <v>3106</v>
      </c>
      <c r="H16" s="407"/>
      <c r="I16" s="404" t="s">
        <v>3106</v>
      </c>
      <c r="J16" s="405"/>
      <c r="K16" s="2083"/>
      <c r="L16" s="2948"/>
      <c r="M16" s="2942"/>
      <c r="N16" s="2942"/>
      <c r="O16" s="2942"/>
      <c r="P16" s="3359"/>
      <c r="Q16" s="1534"/>
      <c r="R16" s="712"/>
      <c r="S16" s="713"/>
      <c r="T16" s="712"/>
      <c r="U16" s="713"/>
      <c r="V16" s="712"/>
      <c r="W16" s="713"/>
      <c r="X16" s="1537"/>
      <c r="Y16" s="3319"/>
      <c r="Z16" s="1538"/>
      <c r="AA16" s="1535">
        <v>1</v>
      </c>
      <c r="AB16" s="1535">
        <v>1</v>
      </c>
      <c r="AC16" s="1535">
        <v>1</v>
      </c>
    </row>
    <row r="17" spans="1:29" ht="85.5">
      <c r="A17" s="385"/>
      <c r="B17" s="408" t="s">
        <v>1946</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8"/>
      <c r="M17" s="2942"/>
      <c r="N17" s="2942"/>
      <c r="O17" s="2942"/>
      <c r="P17" s="3359"/>
      <c r="Q17" s="1534" t="str">
        <f>B17</f>
        <v>交通便捷度</v>
      </c>
      <c r="R17" s="712" t="s">
        <v>21</v>
      </c>
      <c r="S17" s="713">
        <f>F17</f>
        <v>100</v>
      </c>
      <c r="T17" s="712" t="s">
        <v>21</v>
      </c>
      <c r="U17" s="713">
        <f>H17</f>
        <v>100</v>
      </c>
      <c r="V17" s="712" t="s">
        <v>21</v>
      </c>
      <c r="W17" s="713">
        <f>J17</f>
        <v>100</v>
      </c>
      <c r="X17" s="1537"/>
      <c r="Y17" s="3319"/>
      <c r="Z17" s="1538" t="str">
        <f>Q17</f>
        <v>交通便捷度</v>
      </c>
      <c r="AA17" s="1535">
        <f t="shared" si="3"/>
        <v>1</v>
      </c>
      <c r="AB17" s="1535">
        <f t="shared" si="4"/>
        <v>1</v>
      </c>
      <c r="AC17" s="1535">
        <f t="shared" si="5"/>
        <v>1</v>
      </c>
    </row>
    <row r="18" spans="1:29" ht="15">
      <c r="A18" s="385"/>
      <c r="B18" s="413"/>
      <c r="C18" s="404" t="s">
        <v>3106</v>
      </c>
      <c r="D18" s="407"/>
      <c r="E18" s="404" t="s">
        <v>3106</v>
      </c>
      <c r="F18" s="407"/>
      <c r="G18" s="404" t="s">
        <v>3106</v>
      </c>
      <c r="H18" s="405"/>
      <c r="I18" s="404" t="s">
        <v>3106</v>
      </c>
      <c r="J18" s="405"/>
      <c r="K18" s="2083"/>
      <c r="L18" s="2948"/>
      <c r="M18" s="2942"/>
      <c r="N18" s="2942"/>
      <c r="O18" s="2942"/>
      <c r="P18" s="3359"/>
      <c r="Q18" s="1534"/>
      <c r="R18" s="712"/>
      <c r="S18" s="713"/>
      <c r="T18" s="712"/>
      <c r="U18" s="713"/>
      <c r="V18" s="712"/>
      <c r="W18" s="713"/>
      <c r="X18" s="1537"/>
      <c r="Y18" s="3319"/>
      <c r="Z18" s="1538"/>
      <c r="AA18" s="1535">
        <v>1</v>
      </c>
      <c r="AB18" s="1535">
        <v>1</v>
      </c>
      <c r="AC18" s="1535">
        <v>1</v>
      </c>
    </row>
    <row r="19" spans="1:29" ht="42.75">
      <c r="A19" s="385"/>
      <c r="B19" s="408" t="s">
        <v>1945</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8"/>
      <c r="M19" s="2942"/>
      <c r="N19" s="2942"/>
      <c r="O19" s="2942"/>
      <c r="P19" s="3359"/>
      <c r="Q19" s="1534" t="str">
        <f>B19</f>
        <v>公共配套设施</v>
      </c>
      <c r="R19" s="712" t="s">
        <v>21</v>
      </c>
      <c r="S19" s="713">
        <f>F19</f>
        <v>100</v>
      </c>
      <c r="T19" s="712" t="s">
        <v>21</v>
      </c>
      <c r="U19" s="713">
        <f>H19</f>
        <v>100</v>
      </c>
      <c r="V19" s="712" t="s">
        <v>21</v>
      </c>
      <c r="W19" s="713">
        <f>J19</f>
        <v>100</v>
      </c>
      <c r="X19" s="1537"/>
      <c r="Y19" s="3319"/>
      <c r="Z19" s="1538" t="str">
        <f>Q19</f>
        <v>公共配套设施</v>
      </c>
      <c r="AA19" s="1535">
        <f t="shared" si="3"/>
        <v>1</v>
      </c>
      <c r="AB19" s="1535">
        <f t="shared" si="4"/>
        <v>1</v>
      </c>
      <c r="AC19" s="1535">
        <f t="shared" si="5"/>
        <v>1</v>
      </c>
    </row>
    <row r="20" spans="1:29" ht="15">
      <c r="A20" s="385"/>
      <c r="B20" s="413"/>
      <c r="C20" s="404" t="s">
        <v>3106</v>
      </c>
      <c r="D20" s="405"/>
      <c r="E20" s="404" t="s">
        <v>3106</v>
      </c>
      <c r="F20" s="405"/>
      <c r="G20" s="404" t="s">
        <v>3106</v>
      </c>
      <c r="H20" s="405"/>
      <c r="I20" s="404" t="s">
        <v>3106</v>
      </c>
      <c r="J20" s="405"/>
      <c r="K20" s="2083"/>
      <c r="L20" s="2948"/>
      <c r="M20" s="2942"/>
      <c r="N20" s="2942"/>
      <c r="O20" s="2942"/>
      <c r="P20" s="3359"/>
      <c r="Q20" s="1534"/>
      <c r="R20" s="712"/>
      <c r="S20" s="713"/>
      <c r="T20" s="712"/>
      <c r="U20" s="713"/>
      <c r="V20" s="712"/>
      <c r="W20" s="713"/>
      <c r="X20" s="1537"/>
      <c r="Y20" s="3319"/>
      <c r="Z20" s="1538"/>
      <c r="AA20" s="1535">
        <v>1</v>
      </c>
      <c r="AB20" s="1535">
        <v>1</v>
      </c>
      <c r="AC20" s="1535">
        <v>1</v>
      </c>
    </row>
    <row r="21" spans="1:29" ht="28.5">
      <c r="A21" s="385"/>
      <c r="B21" s="1291" t="s">
        <v>1947</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8"/>
      <c r="M21" s="2942"/>
      <c r="N21" s="2942"/>
      <c r="O21" s="2942"/>
      <c r="P21" s="3359"/>
      <c r="Q21" s="1534" t="str">
        <f>B21</f>
        <v>基础设施水平</v>
      </c>
      <c r="R21" s="712" t="s">
        <v>17</v>
      </c>
      <c r="S21" s="713">
        <f>F21</f>
        <v>100</v>
      </c>
      <c r="T21" s="712" t="s">
        <v>17</v>
      </c>
      <c r="U21" s="713">
        <f>H21</f>
        <v>100</v>
      </c>
      <c r="V21" s="712" t="s">
        <v>17</v>
      </c>
      <c r="W21" s="713">
        <f>J21</f>
        <v>100</v>
      </c>
      <c r="X21" s="1537"/>
      <c r="Y21" s="3319"/>
      <c r="Z21" s="1538" t="str">
        <f>Q21</f>
        <v>基础设施水平</v>
      </c>
      <c r="AA21" s="1535">
        <f t="shared" ref="AA21" si="8">D21/F21</f>
        <v>1</v>
      </c>
      <c r="AB21" s="1535">
        <f t="shared" ref="AB21" si="9">D21/H21</f>
        <v>1</v>
      </c>
      <c r="AC21" s="1535">
        <f t="shared" ref="AC21" si="10">D21/J21</f>
        <v>1</v>
      </c>
    </row>
    <row r="22" spans="1:29" ht="15">
      <c r="A22" s="385"/>
      <c r="B22" s="1291"/>
      <c r="C22" s="2085" t="s">
        <v>3932</v>
      </c>
      <c r="D22" s="405"/>
      <c r="E22" s="2085" t="s">
        <v>3932</v>
      </c>
      <c r="F22" s="405"/>
      <c r="G22" s="2085" t="s">
        <v>3932</v>
      </c>
      <c r="H22" s="405"/>
      <c r="I22" s="2085" t="s">
        <v>3932</v>
      </c>
      <c r="J22" s="405"/>
      <c r="K22" s="2089"/>
      <c r="L22" s="2948"/>
      <c r="M22" s="2942"/>
      <c r="N22" s="2942"/>
      <c r="O22" s="2942"/>
      <c r="P22" s="3359"/>
      <c r="Q22" s="1534"/>
      <c r="R22" s="712"/>
      <c r="S22" s="713"/>
      <c r="T22" s="712"/>
      <c r="U22" s="713"/>
      <c r="V22" s="712"/>
      <c r="W22" s="713"/>
      <c r="X22" s="1537"/>
      <c r="Y22" s="3319"/>
      <c r="Z22" s="1538"/>
      <c r="AA22" s="1535">
        <v>1</v>
      </c>
      <c r="AB22" s="1535">
        <v>1</v>
      </c>
      <c r="AC22" s="1535">
        <v>1</v>
      </c>
    </row>
    <row r="23" spans="1:29" ht="57">
      <c r="A23" s="385"/>
      <c r="B23" s="408" t="s">
        <v>1948</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8"/>
      <c r="M23" s="2942"/>
      <c r="N23" s="2942"/>
      <c r="O23" s="2942"/>
      <c r="P23" s="3359"/>
      <c r="Q23" s="1534" t="str">
        <f>B23</f>
        <v>自然及人文环境</v>
      </c>
      <c r="R23" s="712" t="s">
        <v>21</v>
      </c>
      <c r="S23" s="713">
        <f>F23</f>
        <v>100</v>
      </c>
      <c r="T23" s="712" t="s">
        <v>21</v>
      </c>
      <c r="U23" s="713">
        <f>H23</f>
        <v>100</v>
      </c>
      <c r="V23" s="712" t="s">
        <v>21</v>
      </c>
      <c r="W23" s="713">
        <f>J23</f>
        <v>100</v>
      </c>
      <c r="X23" s="1537"/>
      <c r="Y23" s="3319"/>
      <c r="Z23" s="1538" t="str">
        <f>Q23</f>
        <v>自然及人文环境</v>
      </c>
      <c r="AA23" s="1535">
        <f>D23/F23</f>
        <v>1</v>
      </c>
      <c r="AB23" s="1535">
        <f>D23/H23</f>
        <v>1</v>
      </c>
      <c r="AC23" s="1535">
        <f>D23/J23</f>
        <v>1</v>
      </c>
    </row>
    <row r="24" spans="1:29" ht="15.75" thickBot="1">
      <c r="A24" s="385"/>
      <c r="B24" s="413"/>
      <c r="C24" s="404" t="s">
        <v>3106</v>
      </c>
      <c r="D24" s="405"/>
      <c r="E24" s="404" t="s">
        <v>3106</v>
      </c>
      <c r="F24" s="405"/>
      <c r="G24" s="404" t="s">
        <v>3106</v>
      </c>
      <c r="H24" s="405"/>
      <c r="I24" s="404" t="s">
        <v>3106</v>
      </c>
      <c r="J24" s="405"/>
      <c r="K24" s="2083"/>
      <c r="L24" s="2948"/>
      <c r="M24" s="2942"/>
      <c r="N24" s="2942"/>
      <c r="O24" s="2942"/>
      <c r="P24" s="3359"/>
      <c r="Q24" s="1534"/>
      <c r="R24" s="712"/>
      <c r="S24" s="713"/>
      <c r="T24" s="712"/>
      <c r="U24" s="713"/>
      <c r="V24" s="712"/>
      <c r="W24" s="713"/>
      <c r="X24" s="1537"/>
      <c r="Y24" s="3319"/>
      <c r="Z24" s="1538"/>
      <c r="AA24" s="1535">
        <v>1</v>
      </c>
      <c r="AB24" s="1535">
        <v>1</v>
      </c>
      <c r="AC24" s="1535">
        <v>1</v>
      </c>
    </row>
    <row r="25" spans="1:29" ht="15" hidden="1">
      <c r="A25" s="385"/>
      <c r="B25" s="379" t="s">
        <v>2380</v>
      </c>
      <c r="C25" s="417"/>
      <c r="D25" s="392">
        <v>100</v>
      </c>
      <c r="E25" s="2090"/>
      <c r="F25" s="392">
        <f>SUMIF(86:86,E25,87:87)-SUMIF(86:86,C25,87:87)+100</f>
        <v>100</v>
      </c>
      <c r="G25" s="2091"/>
      <c r="H25" s="392">
        <f>SUMIF(86:86,G25,87:87)-SUMIF(86:86,C25,87:87)+100</f>
        <v>100</v>
      </c>
      <c r="I25" s="2091"/>
      <c r="J25" s="392">
        <f>SUMIF(86:86,I25,87:87)-SUMIF(86:86,C25,87:87)+100</f>
        <v>100</v>
      </c>
      <c r="K25" s="383"/>
      <c r="L25" s="2948"/>
      <c r="M25" s="2942"/>
      <c r="N25" s="2942"/>
      <c r="O25" s="2942"/>
      <c r="P25" s="3359"/>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19"/>
      <c r="Z25" s="1538" t="str">
        <f>Q25</f>
        <v>楼层-1</v>
      </c>
      <c r="AA25" s="1535">
        <f t="shared" ref="AA25:AA46" si="15">D25/F25</f>
        <v>1</v>
      </c>
      <c r="AB25" s="1535">
        <f t="shared" ref="AB25:AB46" si="16">D25/H25</f>
        <v>1</v>
      </c>
      <c r="AC25" s="1535">
        <f t="shared" ref="AC25:AC46" si="17">D25/J25</f>
        <v>1</v>
      </c>
    </row>
    <row r="26" spans="1:29" ht="15" hidden="1">
      <c r="A26" s="385"/>
      <c r="B26" s="379" t="s">
        <v>2381</v>
      </c>
      <c r="C26" s="417"/>
      <c r="D26" s="392">
        <v>100</v>
      </c>
      <c r="E26" s="2090"/>
      <c r="F26" s="392">
        <f>SUMIF(88:88,E26,89:89)-SUMIF(88:88,C26,89:89)+100</f>
        <v>100</v>
      </c>
      <c r="G26" s="2091"/>
      <c r="H26" s="392">
        <f>SUMIF(88:88,G26,89:89)-SUMIF(88:88,C26,89:89)+100</f>
        <v>100</v>
      </c>
      <c r="I26" s="2091"/>
      <c r="J26" s="392">
        <f>SUMIF(88:88,I26,89:89)-SUMIF(88:88,C26,89:89)+100</f>
        <v>100</v>
      </c>
      <c r="K26" s="383"/>
      <c r="L26" s="2948"/>
      <c r="M26" s="2942"/>
      <c r="N26" s="2942"/>
      <c r="O26" s="2942"/>
      <c r="P26" s="3359"/>
      <c r="Q26" s="1534" t="str">
        <f t="shared" si="11"/>
        <v>朝向</v>
      </c>
      <c r="R26" s="712" t="s">
        <v>21</v>
      </c>
      <c r="S26" s="713">
        <f t="shared" si="12"/>
        <v>100</v>
      </c>
      <c r="T26" s="712" t="s">
        <v>21</v>
      </c>
      <c r="U26" s="713">
        <f t="shared" si="13"/>
        <v>100</v>
      </c>
      <c r="V26" s="712" t="s">
        <v>21</v>
      </c>
      <c r="W26" s="713">
        <f t="shared" si="14"/>
        <v>100</v>
      </c>
      <c r="X26" s="1537"/>
      <c r="Y26" s="3319"/>
      <c r="Z26" s="1538" t="str">
        <f>Q26</f>
        <v>朝向</v>
      </c>
      <c r="AA26" s="1535">
        <f t="shared" si="15"/>
        <v>1</v>
      </c>
      <c r="AB26" s="1535">
        <f t="shared" si="16"/>
        <v>1</v>
      </c>
      <c r="AC26" s="1535">
        <f t="shared" si="17"/>
        <v>1</v>
      </c>
    </row>
    <row r="27" spans="1:29" s="112" customFormat="1" ht="15" hidden="1">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3"/>
      <c r="M27" s="2944"/>
      <c r="N27" s="2944"/>
      <c r="O27" s="2944"/>
      <c r="P27" s="3359"/>
      <c r="Q27" s="1525">
        <f t="shared" si="11"/>
        <v>111</v>
      </c>
      <c r="R27" s="708" t="s">
        <v>21</v>
      </c>
      <c r="S27" s="709">
        <f t="shared" si="12"/>
        <v>100</v>
      </c>
      <c r="T27" s="708" t="s">
        <v>21</v>
      </c>
      <c r="U27" s="709">
        <f t="shared" si="13"/>
        <v>100</v>
      </c>
      <c r="V27" s="708" t="s">
        <v>21</v>
      </c>
      <c r="W27" s="709">
        <f t="shared" si="14"/>
        <v>100</v>
      </c>
      <c r="X27" s="710"/>
      <c r="Y27" s="3319"/>
      <c r="Z27" s="55">
        <f>Q27</f>
        <v>111</v>
      </c>
      <c r="AA27" s="1535">
        <f t="shared" si="15"/>
        <v>1</v>
      </c>
      <c r="AB27" s="1535">
        <f t="shared" si="16"/>
        <v>1</v>
      </c>
      <c r="AC27" s="1535">
        <f t="shared" si="17"/>
        <v>1</v>
      </c>
    </row>
    <row r="28" spans="1:29" ht="15" hidden="1">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8"/>
      <c r="M28" s="2942"/>
      <c r="N28" s="2942"/>
      <c r="O28" s="2942"/>
      <c r="P28" s="3359"/>
      <c r="Q28" s="1534">
        <f t="shared" si="11"/>
        <v>111</v>
      </c>
      <c r="R28" s="712" t="s">
        <v>21</v>
      </c>
      <c r="S28" s="713">
        <f t="shared" si="12"/>
        <v>100</v>
      </c>
      <c r="T28" s="712" t="s">
        <v>21</v>
      </c>
      <c r="U28" s="713">
        <f t="shared" si="13"/>
        <v>100</v>
      </c>
      <c r="V28" s="712" t="s">
        <v>21</v>
      </c>
      <c r="W28" s="713">
        <f t="shared" si="14"/>
        <v>100</v>
      </c>
      <c r="X28" s="1537"/>
      <c r="Y28" s="3319"/>
      <c r="Z28" s="1538">
        <f t="shared" ref="Z28:Z46" si="18">Q28</f>
        <v>111</v>
      </c>
      <c r="AA28" s="1535">
        <f t="shared" si="15"/>
        <v>1</v>
      </c>
      <c r="AB28" s="1535">
        <f t="shared" si="16"/>
        <v>1</v>
      </c>
      <c r="AC28" s="1535">
        <f t="shared" si="17"/>
        <v>1</v>
      </c>
    </row>
    <row r="29" spans="1:29" ht="15" hidden="1">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8"/>
      <c r="M29" s="2942"/>
      <c r="N29" s="2942"/>
      <c r="O29" s="2942"/>
      <c r="P29" s="3359"/>
      <c r="Q29" s="1534">
        <f t="shared" si="11"/>
        <v>111</v>
      </c>
      <c r="R29" s="712" t="s">
        <v>21</v>
      </c>
      <c r="S29" s="713">
        <f t="shared" si="12"/>
        <v>100</v>
      </c>
      <c r="T29" s="712" t="s">
        <v>21</v>
      </c>
      <c r="U29" s="713">
        <f t="shared" si="13"/>
        <v>100</v>
      </c>
      <c r="V29" s="712" t="s">
        <v>21</v>
      </c>
      <c r="W29" s="713">
        <f t="shared" si="14"/>
        <v>100</v>
      </c>
      <c r="X29" s="1537"/>
      <c r="Y29" s="3319"/>
      <c r="Z29" s="1538">
        <f t="shared" si="18"/>
        <v>111</v>
      </c>
      <c r="AA29" s="1535">
        <f t="shared" si="15"/>
        <v>1</v>
      </c>
      <c r="AB29" s="1535">
        <f t="shared" si="16"/>
        <v>1</v>
      </c>
      <c r="AC29" s="1535">
        <f t="shared" si="17"/>
        <v>1</v>
      </c>
    </row>
    <row r="30" spans="1:29" ht="15" hidden="1">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8"/>
      <c r="M30" s="2942"/>
      <c r="N30" s="2942"/>
      <c r="O30" s="2942"/>
      <c r="P30" s="3359"/>
      <c r="Q30" s="1534">
        <f t="shared" si="11"/>
        <v>111</v>
      </c>
      <c r="R30" s="712" t="s">
        <v>21</v>
      </c>
      <c r="S30" s="713">
        <f t="shared" si="12"/>
        <v>100</v>
      </c>
      <c r="T30" s="712" t="s">
        <v>21</v>
      </c>
      <c r="U30" s="713">
        <f t="shared" si="13"/>
        <v>100</v>
      </c>
      <c r="V30" s="712" t="s">
        <v>21</v>
      </c>
      <c r="W30" s="713">
        <f t="shared" si="14"/>
        <v>100</v>
      </c>
      <c r="X30" s="1537"/>
      <c r="Y30" s="3319"/>
      <c r="Z30" s="1538">
        <f t="shared" si="18"/>
        <v>111</v>
      </c>
      <c r="AA30" s="1535">
        <f t="shared" si="15"/>
        <v>1</v>
      </c>
      <c r="AB30" s="1535">
        <f t="shared" si="16"/>
        <v>1</v>
      </c>
      <c r="AC30" s="1535">
        <f t="shared" si="17"/>
        <v>1</v>
      </c>
    </row>
    <row r="31" spans="1:29" ht="15.75" hidden="1"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8"/>
      <c r="M31" s="2942"/>
      <c r="N31" s="2942"/>
      <c r="O31" s="2942"/>
      <c r="P31" s="3359"/>
      <c r="Q31" s="1534">
        <f t="shared" si="11"/>
        <v>111</v>
      </c>
      <c r="R31" s="712" t="s">
        <v>21</v>
      </c>
      <c r="S31" s="713">
        <f t="shared" si="12"/>
        <v>100</v>
      </c>
      <c r="T31" s="712" t="s">
        <v>21</v>
      </c>
      <c r="U31" s="713">
        <f t="shared" si="13"/>
        <v>100</v>
      </c>
      <c r="V31" s="712" t="s">
        <v>21</v>
      </c>
      <c r="W31" s="713">
        <f t="shared" si="14"/>
        <v>100</v>
      </c>
      <c r="X31" s="1537"/>
      <c r="Y31" s="3319"/>
      <c r="Z31" s="1538">
        <f t="shared" si="18"/>
        <v>111</v>
      </c>
      <c r="AA31" s="1535">
        <f t="shared" si="15"/>
        <v>1</v>
      </c>
      <c r="AB31" s="1535">
        <f t="shared" si="16"/>
        <v>1</v>
      </c>
      <c r="AC31" s="1535">
        <f t="shared" si="17"/>
        <v>1</v>
      </c>
    </row>
    <row r="32" spans="1:29" ht="15">
      <c r="A32" s="397" t="s">
        <v>2382</v>
      </c>
      <c r="B32" s="3116" t="s">
        <v>2383</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8"/>
      <c r="M32" s="2942"/>
      <c r="N32" s="2942"/>
      <c r="O32" s="2942"/>
      <c r="P32" s="3354" t="s">
        <v>2384</v>
      </c>
      <c r="Q32" s="1534" t="str">
        <f t="shared" si="11"/>
        <v>建筑类型</v>
      </c>
      <c r="R32" s="712" t="s">
        <v>21</v>
      </c>
      <c r="S32" s="713">
        <f t="shared" si="12"/>
        <v>100</v>
      </c>
      <c r="T32" s="712" t="s">
        <v>21</v>
      </c>
      <c r="U32" s="713">
        <f t="shared" si="13"/>
        <v>100</v>
      </c>
      <c r="V32" s="712" t="s">
        <v>21</v>
      </c>
      <c r="W32" s="713">
        <f t="shared" si="14"/>
        <v>100</v>
      </c>
      <c r="X32" s="1537"/>
      <c r="Y32" s="3321" t="s">
        <v>2384</v>
      </c>
      <c r="Z32" s="1538" t="str">
        <f t="shared" si="18"/>
        <v>建筑类型</v>
      </c>
      <c r="AA32" s="1535">
        <f t="shared" si="15"/>
        <v>1</v>
      </c>
      <c r="AB32" s="1535">
        <f t="shared" si="16"/>
        <v>1</v>
      </c>
      <c r="AC32" s="1535">
        <f t="shared" si="17"/>
        <v>1</v>
      </c>
    </row>
    <row r="33" spans="1:29" s="428" customFormat="1" ht="15">
      <c r="A33" s="425"/>
      <c r="B33" s="3115" t="s">
        <v>2385</v>
      </c>
      <c r="C33" s="426"/>
      <c r="D33" s="130">
        <v>100</v>
      </c>
      <c r="E33" s="387"/>
      <c r="F33" s="382">
        <f>LOOKUP(E33,103:103,104:104)-LOOKUP(C33,103:103,104:104)+100</f>
        <v>100</v>
      </c>
      <c r="G33" s="386"/>
      <c r="H33" s="130">
        <f>LOOKUP(G33,103:103,104:104)-LOOKUP(C33,103:103,104:104)+100</f>
        <v>100</v>
      </c>
      <c r="I33" s="387"/>
      <c r="J33" s="130">
        <f>LOOKUP(I33,103:103,104:104)-LOOKUP(C33,103:103,104:104)+100</f>
        <v>100</v>
      </c>
      <c r="K33" s="2078"/>
      <c r="L33" s="2947"/>
      <c r="M33" s="2949"/>
      <c r="N33" s="2949"/>
      <c r="O33" s="2949"/>
      <c r="P33" s="3355"/>
      <c r="Q33" s="714" t="str">
        <f t="shared" si="11"/>
        <v>项目建筑规模</v>
      </c>
      <c r="R33" s="715" t="s">
        <v>21</v>
      </c>
      <c r="S33" s="716">
        <f t="shared" si="12"/>
        <v>100</v>
      </c>
      <c r="T33" s="715" t="s">
        <v>21</v>
      </c>
      <c r="U33" s="716">
        <f t="shared" si="13"/>
        <v>100</v>
      </c>
      <c r="V33" s="715" t="s">
        <v>21</v>
      </c>
      <c r="W33" s="716">
        <f t="shared" si="14"/>
        <v>100</v>
      </c>
      <c r="X33" s="717"/>
      <c r="Y33" s="3321"/>
      <c r="Z33" s="718" t="str">
        <f t="shared" si="18"/>
        <v>项目建筑规模</v>
      </c>
      <c r="AA33" s="1535">
        <f t="shared" si="15"/>
        <v>1</v>
      </c>
      <c r="AB33" s="1535">
        <f t="shared" si="16"/>
        <v>1</v>
      </c>
      <c r="AC33" s="1535">
        <f t="shared" si="17"/>
        <v>1</v>
      </c>
    </row>
    <row r="34" spans="1:29" ht="15">
      <c r="A34" s="429"/>
      <c r="B34" s="379" t="s">
        <v>2386</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8"/>
      <c r="M34" s="2942"/>
      <c r="N34" s="2942"/>
      <c r="O34" s="2942"/>
      <c r="P34" s="3355"/>
      <c r="Q34" s="1534" t="str">
        <f t="shared" si="11"/>
        <v>建筑结构</v>
      </c>
      <c r="R34" s="712" t="s">
        <v>21</v>
      </c>
      <c r="S34" s="713">
        <f t="shared" si="12"/>
        <v>100</v>
      </c>
      <c r="T34" s="712" t="s">
        <v>21</v>
      </c>
      <c r="U34" s="713">
        <f t="shared" si="13"/>
        <v>100</v>
      </c>
      <c r="V34" s="712" t="s">
        <v>21</v>
      </c>
      <c r="W34" s="713">
        <f t="shared" si="14"/>
        <v>100</v>
      </c>
      <c r="X34" s="1537"/>
      <c r="Y34" s="3321"/>
      <c r="Z34" s="1538" t="str">
        <f t="shared" si="18"/>
        <v>建筑结构</v>
      </c>
      <c r="AA34" s="1535">
        <f t="shared" si="15"/>
        <v>1</v>
      </c>
      <c r="AB34" s="1535">
        <f t="shared" si="16"/>
        <v>1</v>
      </c>
      <c r="AC34" s="1535">
        <f t="shared" si="17"/>
        <v>1</v>
      </c>
    </row>
    <row r="35" spans="1:29" ht="15">
      <c r="A35" s="429"/>
      <c r="B35" s="379" t="s">
        <v>2387</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8"/>
      <c r="M35" s="2942"/>
      <c r="N35" s="2942"/>
      <c r="O35" s="2942"/>
      <c r="P35" s="3355"/>
      <c r="Q35" s="1534" t="str">
        <f t="shared" si="11"/>
        <v>建筑品质</v>
      </c>
      <c r="R35" s="712" t="s">
        <v>21</v>
      </c>
      <c r="S35" s="713">
        <f t="shared" si="12"/>
        <v>100</v>
      </c>
      <c r="T35" s="712" t="s">
        <v>21</v>
      </c>
      <c r="U35" s="713">
        <f t="shared" si="13"/>
        <v>100</v>
      </c>
      <c r="V35" s="712" t="s">
        <v>21</v>
      </c>
      <c r="W35" s="713">
        <f t="shared" si="14"/>
        <v>100</v>
      </c>
      <c r="X35" s="1537"/>
      <c r="Y35" s="3321"/>
      <c r="Z35" s="1538" t="str">
        <f t="shared" si="18"/>
        <v>建筑品质</v>
      </c>
      <c r="AA35" s="1535">
        <f t="shared" si="15"/>
        <v>1</v>
      </c>
      <c r="AB35" s="1535">
        <f t="shared" si="16"/>
        <v>1</v>
      </c>
      <c r="AC35" s="1535">
        <f t="shared" si="17"/>
        <v>1</v>
      </c>
    </row>
    <row r="36" spans="1:29" ht="15">
      <c r="A36" s="429"/>
      <c r="B36" s="379" t="s">
        <v>2388</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8"/>
      <c r="M36" s="2942"/>
      <c r="N36" s="2942"/>
      <c r="O36" s="2942"/>
      <c r="P36" s="3355"/>
      <c r="Q36" s="1534" t="str">
        <f t="shared" si="11"/>
        <v>公共部分装修</v>
      </c>
      <c r="R36" s="712" t="s">
        <v>21</v>
      </c>
      <c r="S36" s="713">
        <f t="shared" si="12"/>
        <v>100</v>
      </c>
      <c r="T36" s="712" t="s">
        <v>21</v>
      </c>
      <c r="U36" s="713">
        <f t="shared" si="13"/>
        <v>100</v>
      </c>
      <c r="V36" s="712" t="s">
        <v>21</v>
      </c>
      <c r="W36" s="713">
        <f t="shared" si="14"/>
        <v>100</v>
      </c>
      <c r="X36" s="1537"/>
      <c r="Y36" s="3321"/>
      <c r="Z36" s="1538" t="str">
        <f t="shared" si="18"/>
        <v>公共部分装修</v>
      </c>
      <c r="AA36" s="1535">
        <f t="shared" si="15"/>
        <v>1</v>
      </c>
      <c r="AB36" s="1535">
        <f t="shared" si="16"/>
        <v>1</v>
      </c>
      <c r="AC36" s="1535">
        <f t="shared" si="17"/>
        <v>1</v>
      </c>
    </row>
    <row r="37" spans="1:29" s="112" customFormat="1" ht="15">
      <c r="A37" s="430"/>
      <c r="B37" s="379" t="s">
        <v>2389</v>
      </c>
      <c r="C37" s="431">
        <v>1</v>
      </c>
      <c r="D37" s="130">
        <v>100</v>
      </c>
      <c r="E37" s="431">
        <v>1</v>
      </c>
      <c r="F37" s="382">
        <f>LOOKUP(E37,112:112,113:113)-LOOKUP(C37,112:112,113:113)+100</f>
        <v>100</v>
      </c>
      <c r="G37" s="433">
        <v>1</v>
      </c>
      <c r="H37" s="130">
        <f>LOOKUP(G37,112:112,113:113)-LOOKUP(C37,112:112,113:113)+100</f>
        <v>100</v>
      </c>
      <c r="I37" s="432">
        <v>1</v>
      </c>
      <c r="J37" s="130">
        <f>LOOKUP(I37,112:112,113:113)-LOOKUP(C37,112:112,113:113)+100</f>
        <v>100</v>
      </c>
      <c r="K37" s="383"/>
      <c r="L37" s="2943"/>
      <c r="M37" s="2944"/>
      <c r="N37" s="2944"/>
      <c r="O37" s="2944"/>
      <c r="P37" s="3355"/>
      <c r="Q37" s="1525" t="str">
        <f t="shared" si="11"/>
        <v>成新度</v>
      </c>
      <c r="R37" s="708" t="s">
        <v>21</v>
      </c>
      <c r="S37" s="709">
        <f t="shared" si="12"/>
        <v>100</v>
      </c>
      <c r="T37" s="708" t="s">
        <v>21</v>
      </c>
      <c r="U37" s="709">
        <f t="shared" si="13"/>
        <v>100</v>
      </c>
      <c r="V37" s="708" t="s">
        <v>21</v>
      </c>
      <c r="W37" s="709">
        <f t="shared" si="14"/>
        <v>100</v>
      </c>
      <c r="X37" s="710"/>
      <c r="Y37" s="3321"/>
      <c r="Z37" s="55" t="str">
        <f t="shared" si="18"/>
        <v>成新度</v>
      </c>
      <c r="AA37" s="711">
        <f t="shared" si="15"/>
        <v>1</v>
      </c>
      <c r="AB37" s="711">
        <f t="shared" si="16"/>
        <v>1</v>
      </c>
      <c r="AC37" s="711">
        <f t="shared" si="17"/>
        <v>1</v>
      </c>
    </row>
    <row r="38" spans="1:29" ht="15">
      <c r="A38" s="429"/>
      <c r="B38" s="379" t="s">
        <v>2390</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8"/>
      <c r="M38" s="2942"/>
      <c r="N38" s="2942"/>
      <c r="O38" s="2942"/>
      <c r="P38" s="3355" t="s">
        <v>2384</v>
      </c>
      <c r="Q38" s="1534" t="str">
        <f t="shared" si="11"/>
        <v>物业管理</v>
      </c>
      <c r="R38" s="712" t="s">
        <v>21</v>
      </c>
      <c r="S38" s="713">
        <f t="shared" si="12"/>
        <v>100</v>
      </c>
      <c r="T38" s="712" t="s">
        <v>21</v>
      </c>
      <c r="U38" s="713">
        <f t="shared" si="13"/>
        <v>100</v>
      </c>
      <c r="V38" s="712" t="s">
        <v>21</v>
      </c>
      <c r="W38" s="713">
        <f t="shared" si="14"/>
        <v>100</v>
      </c>
      <c r="X38" s="1537"/>
      <c r="Y38" s="3321" t="s">
        <v>2384</v>
      </c>
      <c r="Z38" s="1538" t="str">
        <f t="shared" si="18"/>
        <v>物业管理</v>
      </c>
      <c r="AA38" s="1535">
        <f t="shared" si="15"/>
        <v>1</v>
      </c>
      <c r="AB38" s="1535">
        <f t="shared" si="16"/>
        <v>1</v>
      </c>
      <c r="AC38" s="1535">
        <f t="shared" si="17"/>
        <v>1</v>
      </c>
    </row>
    <row r="39" spans="1:29" ht="15">
      <c r="A39" s="429"/>
      <c r="B39" s="379" t="s">
        <v>2391</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8"/>
      <c r="M39" s="2942"/>
      <c r="N39" s="2942"/>
      <c r="O39" s="2942"/>
      <c r="P39" s="3355"/>
      <c r="Q39" s="1534" t="str">
        <f t="shared" si="11"/>
        <v>市政基础设施</v>
      </c>
      <c r="R39" s="712" t="s">
        <v>21</v>
      </c>
      <c r="S39" s="713">
        <f t="shared" si="12"/>
        <v>100</v>
      </c>
      <c r="T39" s="712" t="s">
        <v>21</v>
      </c>
      <c r="U39" s="713">
        <f t="shared" si="13"/>
        <v>100</v>
      </c>
      <c r="V39" s="712" t="s">
        <v>21</v>
      </c>
      <c r="W39" s="713">
        <f t="shared" si="14"/>
        <v>100</v>
      </c>
      <c r="X39" s="1537"/>
      <c r="Y39" s="3321"/>
      <c r="Z39" s="1538" t="str">
        <f t="shared" si="18"/>
        <v>市政基础设施</v>
      </c>
      <c r="AA39" s="1535">
        <f t="shared" si="15"/>
        <v>1</v>
      </c>
      <c r="AB39" s="1535">
        <f t="shared" si="16"/>
        <v>1</v>
      </c>
      <c r="AC39" s="1535">
        <f t="shared" si="17"/>
        <v>1</v>
      </c>
    </row>
    <row r="40" spans="1:29" ht="15">
      <c r="A40" s="429"/>
      <c r="B40" s="379" t="s">
        <v>2392</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8"/>
      <c r="M40" s="2942"/>
      <c r="N40" s="2942"/>
      <c r="O40" s="2942"/>
      <c r="P40" s="3355"/>
      <c r="Q40" s="1534" t="str">
        <f t="shared" si="11"/>
        <v>房型</v>
      </c>
      <c r="R40" s="712" t="s">
        <v>21</v>
      </c>
      <c r="S40" s="713">
        <f t="shared" si="12"/>
        <v>100</v>
      </c>
      <c r="T40" s="712" t="s">
        <v>21</v>
      </c>
      <c r="U40" s="713">
        <f t="shared" si="13"/>
        <v>100</v>
      </c>
      <c r="V40" s="712" t="s">
        <v>21</v>
      </c>
      <c r="W40" s="713">
        <f t="shared" si="14"/>
        <v>100</v>
      </c>
      <c r="X40" s="1537"/>
      <c r="Y40" s="3321"/>
      <c r="Z40" s="1538" t="str">
        <f t="shared" si="18"/>
        <v>房型</v>
      </c>
      <c r="AA40" s="1535">
        <f t="shared" si="15"/>
        <v>1</v>
      </c>
      <c r="AB40" s="1535">
        <f t="shared" si="16"/>
        <v>1</v>
      </c>
      <c r="AC40" s="1535">
        <f t="shared" si="17"/>
        <v>1</v>
      </c>
    </row>
    <row r="41" spans="1:29" s="428" customFormat="1" ht="28.5">
      <c r="A41" s="425"/>
      <c r="B41" s="379" t="s">
        <v>2393</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7"/>
      <c r="M41" s="2949"/>
      <c r="N41" s="2949"/>
      <c r="O41" s="2949"/>
      <c r="P41" s="3355"/>
      <c r="Q41" s="714" t="str">
        <f t="shared" si="11"/>
        <v>单套/主力户型建筑面积</v>
      </c>
      <c r="R41" s="715" t="s">
        <v>21</v>
      </c>
      <c r="S41" s="716">
        <f t="shared" si="12"/>
        <v>100</v>
      </c>
      <c r="T41" s="715" t="s">
        <v>21</v>
      </c>
      <c r="U41" s="716">
        <f t="shared" si="13"/>
        <v>100</v>
      </c>
      <c r="V41" s="715" t="s">
        <v>21</v>
      </c>
      <c r="W41" s="716">
        <f t="shared" si="14"/>
        <v>100</v>
      </c>
      <c r="X41" s="717"/>
      <c r="Y41" s="3321"/>
      <c r="Z41" s="718" t="str">
        <f t="shared" si="18"/>
        <v>单套/主力户型建筑面积</v>
      </c>
      <c r="AA41" s="1535">
        <f t="shared" si="15"/>
        <v>1</v>
      </c>
      <c r="AB41" s="1535">
        <f t="shared" si="16"/>
        <v>1</v>
      </c>
      <c r="AC41" s="1535">
        <f t="shared" si="17"/>
        <v>1</v>
      </c>
    </row>
    <row r="42" spans="1:29" ht="15">
      <c r="A42" s="429"/>
      <c r="B42" s="379" t="s">
        <v>2394</v>
      </c>
      <c r="C42" s="3099" t="s">
        <v>3929</v>
      </c>
      <c r="D42" s="392">
        <v>100</v>
      </c>
      <c r="E42" s="3099" t="s">
        <v>3929</v>
      </c>
      <c r="F42" s="418">
        <f>SUMIF(122:122,E42,123:123)-SUMIF(122:122,C42,123:123)+100</f>
        <v>100</v>
      </c>
      <c r="G42" s="3099" t="s">
        <v>3929</v>
      </c>
      <c r="H42" s="392">
        <f>SUMIF(122:122,G42,123:123)-SUMIF(122:122,C42,123:123)+100</f>
        <v>100</v>
      </c>
      <c r="I42" s="3099" t="s">
        <v>3929</v>
      </c>
      <c r="J42" s="392">
        <f>SUMIF(122:122,I42,123:123)-SUMIF(122:122,C42,123:123)+100</f>
        <v>100</v>
      </c>
      <c r="K42" s="383"/>
      <c r="L42" s="2948"/>
      <c r="M42" s="2942"/>
      <c r="N42" s="2942"/>
      <c r="O42" s="2942"/>
      <c r="P42" s="3355"/>
      <c r="Q42" s="1534" t="str">
        <f t="shared" si="11"/>
        <v>内部装修</v>
      </c>
      <c r="R42" s="712" t="s">
        <v>21</v>
      </c>
      <c r="S42" s="713">
        <f t="shared" si="12"/>
        <v>100</v>
      </c>
      <c r="T42" s="712" t="s">
        <v>21</v>
      </c>
      <c r="U42" s="713">
        <f t="shared" si="13"/>
        <v>100</v>
      </c>
      <c r="V42" s="712" t="s">
        <v>21</v>
      </c>
      <c r="W42" s="713">
        <f t="shared" si="14"/>
        <v>100</v>
      </c>
      <c r="X42" s="1537"/>
      <c r="Y42" s="3321"/>
      <c r="Z42" s="1538" t="str">
        <f t="shared" si="18"/>
        <v>内部装修</v>
      </c>
      <c r="AA42" s="1535">
        <f t="shared" si="15"/>
        <v>1</v>
      </c>
      <c r="AB42" s="1535">
        <f t="shared" si="16"/>
        <v>1</v>
      </c>
      <c r="AC42" s="1535">
        <f t="shared" si="17"/>
        <v>1</v>
      </c>
    </row>
    <row r="43" spans="1:29" ht="15">
      <c r="A43" s="429"/>
      <c r="B43" s="379" t="s">
        <v>2395</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8"/>
      <c r="M43" s="2942"/>
      <c r="N43" s="2942"/>
      <c r="O43" s="2942"/>
      <c r="P43" s="3355"/>
      <c r="Q43" s="1534" t="str">
        <f t="shared" si="11"/>
        <v>内部装修维护情况</v>
      </c>
      <c r="R43" s="712" t="s">
        <v>21</v>
      </c>
      <c r="S43" s="713">
        <f t="shared" si="12"/>
        <v>100</v>
      </c>
      <c r="T43" s="712" t="s">
        <v>21</v>
      </c>
      <c r="U43" s="713">
        <f t="shared" si="13"/>
        <v>100</v>
      </c>
      <c r="V43" s="712" t="s">
        <v>21</v>
      </c>
      <c r="W43" s="713">
        <f t="shared" si="14"/>
        <v>100</v>
      </c>
      <c r="X43" s="1537"/>
      <c r="Y43" s="3321"/>
      <c r="Z43" s="1538" t="str">
        <f t="shared" si="18"/>
        <v>内部装修维护情况</v>
      </c>
      <c r="AA43" s="1535">
        <f t="shared" si="15"/>
        <v>1</v>
      </c>
      <c r="AB43" s="1535">
        <f t="shared" si="16"/>
        <v>1</v>
      </c>
      <c r="AC43" s="1535">
        <f t="shared" si="17"/>
        <v>1</v>
      </c>
    </row>
    <row r="44" spans="1:29" s="112" customFormat="1" ht="15">
      <c r="A44" s="430"/>
      <c r="B44" s="3097" t="s">
        <v>3927</v>
      </c>
      <c r="C44" s="3098" t="s">
        <v>3928</v>
      </c>
      <c r="D44" s="130">
        <v>100</v>
      </c>
      <c r="E44" s="3098" t="s">
        <v>3927</v>
      </c>
      <c r="F44" s="382">
        <f>SUMIF(126:126,E44,127:127)-SUMIF(126:126,C44,127:127)+100</f>
        <v>105</v>
      </c>
      <c r="G44" s="3098" t="s">
        <v>3928</v>
      </c>
      <c r="H44" s="130">
        <f>SUMIF(126:126,G44,127:127)-SUMIF(126:126,C44,127:127)+100</f>
        <v>100</v>
      </c>
      <c r="I44" s="3098" t="s">
        <v>3928</v>
      </c>
      <c r="J44" s="130">
        <f>SUMIF(126:126,I44,127:127)-SUMIF(126:126,C44,127:127)+100</f>
        <v>100</v>
      </c>
      <c r="K44" s="2078"/>
      <c r="L44" s="2943"/>
      <c r="M44" s="2944"/>
      <c r="N44" s="2944"/>
      <c r="O44" s="2944"/>
      <c r="P44" s="3355"/>
      <c r="Q44" s="1525" t="str">
        <f t="shared" si="11"/>
        <v>现房</v>
      </c>
      <c r="R44" s="708" t="s">
        <v>21</v>
      </c>
      <c r="S44" s="709">
        <f t="shared" si="12"/>
        <v>105</v>
      </c>
      <c r="T44" s="708" t="s">
        <v>21</v>
      </c>
      <c r="U44" s="709">
        <f t="shared" si="13"/>
        <v>100</v>
      </c>
      <c r="V44" s="708" t="s">
        <v>21</v>
      </c>
      <c r="W44" s="709">
        <f t="shared" si="14"/>
        <v>100</v>
      </c>
      <c r="X44" s="710"/>
      <c r="Y44" s="3321"/>
      <c r="Z44" s="55" t="str">
        <f t="shared" si="18"/>
        <v>现房</v>
      </c>
      <c r="AA44" s="711">
        <f t="shared" si="15"/>
        <v>0.95238095238095233</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8"/>
      <c r="M45" s="2942"/>
      <c r="N45" s="2942"/>
      <c r="O45" s="2942"/>
      <c r="P45" s="3355"/>
      <c r="Q45" s="1534">
        <f t="shared" si="11"/>
        <v>111</v>
      </c>
      <c r="R45" s="712" t="s">
        <v>21</v>
      </c>
      <c r="S45" s="713">
        <f t="shared" si="12"/>
        <v>100</v>
      </c>
      <c r="T45" s="712" t="s">
        <v>21</v>
      </c>
      <c r="U45" s="713">
        <f t="shared" si="13"/>
        <v>100</v>
      </c>
      <c r="V45" s="712" t="s">
        <v>21</v>
      </c>
      <c r="W45" s="713">
        <f t="shared" si="14"/>
        <v>100</v>
      </c>
      <c r="X45" s="1537"/>
      <c r="Y45" s="3321"/>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8"/>
      <c r="M46" s="2942"/>
      <c r="N46" s="2942"/>
      <c r="O46" s="2942"/>
      <c r="P46" s="3356"/>
      <c r="Q46" s="1534">
        <f t="shared" si="11"/>
        <v>111</v>
      </c>
      <c r="R46" s="712" t="s">
        <v>20</v>
      </c>
      <c r="S46" s="713">
        <f t="shared" si="12"/>
        <v>100</v>
      </c>
      <c r="T46" s="712" t="s">
        <v>20</v>
      </c>
      <c r="U46" s="713">
        <f t="shared" si="13"/>
        <v>100</v>
      </c>
      <c r="V46" s="712" t="s">
        <v>20</v>
      </c>
      <c r="W46" s="713">
        <f t="shared" si="14"/>
        <v>100</v>
      </c>
      <c r="X46" s="1537"/>
      <c r="Y46" s="3357"/>
      <c r="Z46" s="1538">
        <f t="shared" si="18"/>
        <v>111</v>
      </c>
      <c r="AA46" s="1535">
        <f t="shared" si="15"/>
        <v>1</v>
      </c>
      <c r="AB46" s="1535">
        <f t="shared" si="16"/>
        <v>1</v>
      </c>
      <c r="AC46" s="1535">
        <f t="shared" si="17"/>
        <v>1</v>
      </c>
    </row>
    <row r="47" spans="1:29" ht="15">
      <c r="A47" s="436" t="s">
        <v>2396</v>
      </c>
      <c r="B47" s="437"/>
      <c r="C47" s="1314" t="s">
        <v>19</v>
      </c>
      <c r="D47" s="1315"/>
      <c r="E47" s="1316">
        <v>8500</v>
      </c>
      <c r="F47" s="1317"/>
      <c r="G47" s="1318">
        <v>8000</v>
      </c>
      <c r="H47" s="1319"/>
      <c r="I47" s="1316">
        <v>8500</v>
      </c>
      <c r="J47" s="1319"/>
      <c r="K47" s="2098"/>
      <c r="L47" s="2950"/>
      <c r="M47" s="2951"/>
      <c r="N47" s="2942"/>
      <c r="O47" s="2951"/>
      <c r="P47" s="3316" t="str">
        <f>A47</f>
        <v>成交单价（元/平方米）</v>
      </c>
      <c r="Q47" s="3316"/>
      <c r="R47" s="3353">
        <f>E47</f>
        <v>8500</v>
      </c>
      <c r="S47" s="3353"/>
      <c r="T47" s="3353">
        <f>G47</f>
        <v>8000</v>
      </c>
      <c r="U47" s="3353"/>
      <c r="V47" s="3353">
        <f>I47</f>
        <v>8500</v>
      </c>
      <c r="W47" s="3353"/>
      <c r="X47" s="697"/>
      <c r="Y47" s="719"/>
      <c r="Z47" s="697"/>
      <c r="AA47" s="697"/>
      <c r="AB47" s="697"/>
      <c r="AC47" s="697"/>
    </row>
    <row r="48" spans="1:29" ht="15.75" thickBot="1">
      <c r="A48" s="443" t="s">
        <v>2397</v>
      </c>
      <c r="B48" s="444"/>
      <c r="C48" s="1320">
        <f>R49</f>
        <v>8143</v>
      </c>
      <c r="D48" s="2536" t="s">
        <v>2878</v>
      </c>
      <c r="E48" s="1321">
        <f>R48</f>
        <v>8095</v>
      </c>
      <c r="F48" s="2537"/>
      <c r="G48" s="1320">
        <f>T48</f>
        <v>8000</v>
      </c>
      <c r="H48" s="2537"/>
      <c r="I48" s="1321">
        <f>V48</f>
        <v>8333</v>
      </c>
      <c r="J48" s="2537"/>
      <c r="K48" s="2538">
        <f>F48+H48+J48</f>
        <v>0</v>
      </c>
      <c r="L48" s="2950"/>
      <c r="M48" s="2951"/>
      <c r="N48" s="2951"/>
      <c r="O48" s="2951"/>
      <c r="P48" s="3316" t="str">
        <f>A48</f>
        <v>比较价值（元/平方米）</v>
      </c>
      <c r="Q48" s="3316"/>
      <c r="R48" s="3353">
        <f>IF(F1="售价",ROUND(PRODUCT(R47,AA7:AA46),0),ROUND(PRODUCT(R47,AA7:AA46),1))</f>
        <v>8095</v>
      </c>
      <c r="S48" s="3353"/>
      <c r="T48" s="3353">
        <f>IF(F1="售价",ROUND(PRODUCT(T47,AB7:AB46),0),ROUND(PRODUCT(T47,AB7:AB46),1))</f>
        <v>8000</v>
      </c>
      <c r="U48" s="3353"/>
      <c r="V48" s="3353">
        <f>IF(F1="售价",ROUND(PRODUCT(V47,AC7:AC46),0),ROUND(PRODUCT(V47,AC7:AC46),1))</f>
        <v>8333</v>
      </c>
      <c r="W48" s="3353"/>
      <c r="X48" s="697"/>
      <c r="Y48" s="697"/>
      <c r="Z48" s="697"/>
      <c r="AA48" s="697"/>
      <c r="AB48" s="697"/>
      <c r="AC48" s="697"/>
    </row>
    <row r="49" spans="1:29" ht="15.75" thickBot="1">
      <c r="A49" s="447" t="s">
        <v>2398</v>
      </c>
      <c r="B49" s="448"/>
      <c r="C49" s="1322">
        <f>R49</f>
        <v>8143</v>
      </c>
      <c r="D49" s="1323"/>
      <c r="E49" s="1323"/>
      <c r="F49" s="1323"/>
      <c r="G49" s="1323"/>
      <c r="H49" s="1323"/>
      <c r="I49" s="1323"/>
      <c r="J49" s="1323"/>
      <c r="K49" s="2099"/>
      <c r="L49" s="2950"/>
      <c r="M49" s="2951"/>
      <c r="N49" s="2951"/>
      <c r="O49" s="2951"/>
      <c r="P49" s="3310" t="str">
        <f>A49</f>
        <v>估价对象XX用房的比较价值（楼面单价，元/平方米）</v>
      </c>
      <c r="Q49" s="3311"/>
      <c r="R49" s="3352">
        <f>IF(F1="售价",ROUND(IF(D48="简单平均",AVERAGE(R48:V48),R48*F48+T48*H48+V48*J48),0),ROUND(IF(D48="简单平均",AVERAGE(R48:V48),R48*F48+T48*H48+V48*J48),1))</f>
        <v>8143</v>
      </c>
      <c r="S49" s="3352"/>
      <c r="T49" s="3352"/>
      <c r="U49" s="3352"/>
      <c r="V49" s="3352"/>
      <c r="W49" s="3352"/>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2" t="s">
        <v>2399</v>
      </c>
      <c r="D52" s="453"/>
      <c r="E52" s="454">
        <f>IF(E47&lt;E48,E48/E47-1,E47/E48-1)</f>
        <v>5.0030883261272363E-2</v>
      </c>
      <c r="F52" s="455" t="str">
        <f>IF(OR(E52&gt;=0.3,E52&lt;=-0.3),"超过30%","")</f>
        <v/>
      </c>
      <c r="G52" s="454">
        <f>IF(G47&lt;G48,G48/G47-1,G47/G48-1)</f>
        <v>0</v>
      </c>
      <c r="H52" s="455" t="str">
        <f>IF(OR(G52&gt;=0.3,G52&lt;=-0.3),"超过30%","")</f>
        <v/>
      </c>
      <c r="I52" s="454">
        <f>IF(I47&lt;I48,I48/I47-1,I47/I48-1)</f>
        <v>2.004080163206523E-2</v>
      </c>
      <c r="J52" s="455" t="str">
        <f>IF(OR(I52&gt;=0.3,I52&lt;=-0.3),"超过30%","")</f>
        <v/>
      </c>
      <c r="K52" s="2956"/>
      <c r="L52" s="2952"/>
      <c r="M52" s="2951"/>
      <c r="N52" s="2951"/>
      <c r="O52" s="2951"/>
    </row>
    <row r="53" spans="1:29" ht="13.5" customHeight="1">
      <c r="A53" s="2951"/>
      <c r="B53" s="2951"/>
      <c r="C53" s="452" t="s">
        <v>2400</v>
      </c>
      <c r="D53" s="456"/>
      <c r="E53" s="454">
        <f>IF(E48&lt;G48,G48/E48-1,E48/G48-1)</f>
        <v>1.187500000000008E-2</v>
      </c>
      <c r="F53" s="455" t="str">
        <f>IF(OR(E53&gt;=0.2,E53&lt;=-0.2),"超过20%","")</f>
        <v/>
      </c>
      <c r="G53" s="454">
        <f>IF(G48&lt;I48,I48/G48-1,G48/I48-1)</f>
        <v>4.1625000000000023E-2</v>
      </c>
      <c r="H53" s="455" t="str">
        <f>IF(OR(G53&gt;=0.2,G53&lt;=-0.2),"超过20%","")</f>
        <v/>
      </c>
      <c r="I53" s="454">
        <f>IF(I48&lt;E48,E48/I48-1,I48/E48-1)</f>
        <v>2.9400864731315535E-2</v>
      </c>
      <c r="J53" s="455" t="str">
        <f>IF(OR(I53&gt;=0.2,I53&lt;=-0.2),"超过20%","")</f>
        <v/>
      </c>
      <c r="K53" s="2956"/>
      <c r="L53" s="2952"/>
      <c r="M53" s="2951"/>
      <c r="N53" s="2951"/>
      <c r="O53" s="2951"/>
    </row>
    <row r="54" spans="1:29" s="457" customFormat="1" ht="13.5" customHeight="1">
      <c r="A54" s="2954"/>
      <c r="B54" s="2954"/>
      <c r="C54" s="452" t="s">
        <v>2401</v>
      </c>
      <c r="D54" s="456"/>
      <c r="E54" s="454">
        <f>IF(E47&lt;G47,G47/E47-1,E47/G47-1)</f>
        <v>6.25E-2</v>
      </c>
      <c r="F54" s="455" t="str">
        <f>IF(OR(E54&gt;=0.3,E54&lt;=-0.3),"超过30%","")</f>
        <v/>
      </c>
      <c r="G54" s="454">
        <f>IF(G47&lt;I47,I47/G47-1,G47/I47-1)</f>
        <v>6.25E-2</v>
      </c>
      <c r="H54" s="455" t="str">
        <f>IF(OR(G54&gt;=0.3,G54&lt;=-0.3),"超过30%","")</f>
        <v/>
      </c>
      <c r="I54" s="454">
        <f>IF(I47&lt;E47,E47/I47-1,I47/E47-1)</f>
        <v>0</v>
      </c>
      <c r="J54" s="455" t="str">
        <f>IF(OR(I54&gt;=0.3,I54&lt;=-0.3),"超过30%","")</f>
        <v/>
      </c>
      <c r="K54" s="2959"/>
      <c r="L54" s="2953"/>
      <c r="M54" s="2954"/>
      <c r="N54" s="2954"/>
      <c r="O54" s="2954"/>
      <c r="P54" s="2101"/>
    </row>
    <row r="55" spans="1:29" s="457" customFormat="1">
      <c r="A55" s="2954"/>
      <c r="B55" s="2957"/>
      <c r="C55" s="2958"/>
      <c r="D55" s="2954"/>
      <c r="E55" s="2954"/>
      <c r="F55" s="2954"/>
      <c r="G55" s="2954"/>
      <c r="H55" s="2954"/>
      <c r="I55" s="2954"/>
      <c r="J55" s="2954"/>
      <c r="K55" s="2959"/>
      <c r="L55" s="2953"/>
      <c r="M55" s="2954"/>
      <c r="N55" s="2954"/>
      <c r="O55" s="2954"/>
      <c r="P55" s="2101"/>
    </row>
    <row r="56" spans="1:29">
      <c r="A56" s="2951"/>
      <c r="B56" s="2957"/>
      <c r="C56" s="2958"/>
      <c r="D56" s="2951"/>
      <c r="E56" s="2951"/>
      <c r="F56" s="2951"/>
      <c r="G56" s="2951"/>
      <c r="H56" s="2951"/>
      <c r="I56" s="2951"/>
      <c r="J56" s="2951"/>
      <c r="K56" s="2956"/>
      <c r="L56" s="2952"/>
      <c r="M56" s="2951"/>
      <c r="N56" s="2951"/>
      <c r="O56" s="2951"/>
    </row>
    <row r="57" spans="1:29" ht="21.75" thickBot="1">
      <c r="A57" s="701" t="s">
        <v>2402</v>
      </c>
      <c r="B57" s="697"/>
      <c r="C57" s="702"/>
      <c r="D57" s="702"/>
      <c r="E57" s="702"/>
      <c r="F57" s="703"/>
      <c r="G57" s="703"/>
      <c r="H57" s="702"/>
      <c r="I57" s="702"/>
      <c r="J57" s="702"/>
      <c r="K57" s="1070"/>
      <c r="L57" s="1071"/>
      <c r="M57" s="1069"/>
      <c r="N57" s="1069"/>
      <c r="O57" s="1069"/>
      <c r="P57" s="2102"/>
      <c r="Q57" s="459"/>
    </row>
    <row r="58" spans="1:29" s="463" customFormat="1" ht="15">
      <c r="A58" s="460" t="s">
        <v>2403</v>
      </c>
      <c r="B58" s="461"/>
      <c r="C58" s="1346" t="str">
        <f>YEAR(C7)&amp;"-"&amp;MONTH(C7)</f>
        <v>2021-4</v>
      </c>
      <c r="D58" s="1345">
        <f>EDATE(C58,-1)</f>
        <v>44256</v>
      </c>
      <c r="E58" s="1345">
        <f>EDATE(D58,-1)</f>
        <v>44228</v>
      </c>
      <c r="F58" s="1345">
        <f t="shared" ref="F58:O58" si="19">EDATE(E58,-1)</f>
        <v>44197</v>
      </c>
      <c r="G58" s="1345">
        <f t="shared" si="19"/>
        <v>44166</v>
      </c>
      <c r="H58" s="1345">
        <f t="shared" si="19"/>
        <v>44136</v>
      </c>
      <c r="I58" s="1345">
        <f t="shared" si="19"/>
        <v>44105</v>
      </c>
      <c r="J58" s="1345">
        <f t="shared" si="19"/>
        <v>44075</v>
      </c>
      <c r="K58" s="1345">
        <f t="shared" si="19"/>
        <v>44044</v>
      </c>
      <c r="L58" s="1345">
        <f t="shared" si="19"/>
        <v>44013</v>
      </c>
      <c r="M58" s="1345">
        <f t="shared" si="19"/>
        <v>43983</v>
      </c>
      <c r="N58" s="1345">
        <f t="shared" si="19"/>
        <v>43952</v>
      </c>
      <c r="O58" s="1345">
        <f t="shared" si="19"/>
        <v>43922</v>
      </c>
      <c r="P58" s="1341"/>
    </row>
    <row r="59" spans="1:29" s="112" customFormat="1" ht="15">
      <c r="A59" s="464"/>
      <c r="B59" s="2103"/>
      <c r="C59" s="1343">
        <v>100</v>
      </c>
      <c r="D59" s="466"/>
      <c r="E59" s="467"/>
      <c r="F59" s="467"/>
      <c r="G59" s="467"/>
      <c r="H59" s="467"/>
      <c r="I59" s="467"/>
      <c r="J59" s="467"/>
      <c r="K59" s="467"/>
      <c r="L59" s="467"/>
      <c r="M59" s="468"/>
      <c r="N59" s="467"/>
      <c r="O59" s="468"/>
      <c r="P59" s="2104"/>
    </row>
    <row r="60" spans="1:29" s="112" customFormat="1" ht="15.75" thickBot="1">
      <c r="A60" s="470" t="s">
        <v>2404</v>
      </c>
      <c r="B60" s="471"/>
      <c r="C60" s="472"/>
      <c r="D60" s="473"/>
      <c r="E60" s="473"/>
      <c r="F60" s="473"/>
      <c r="G60" s="473"/>
      <c r="H60" s="473"/>
      <c r="I60" s="473"/>
      <c r="J60" s="473"/>
      <c r="K60" s="473"/>
      <c r="L60" s="473"/>
      <c r="M60" s="474"/>
      <c r="N60" s="473"/>
      <c r="O60" s="474"/>
      <c r="P60" s="2104"/>
      <c r="Q60" s="459"/>
    </row>
    <row r="61" spans="1:29" s="112" customFormat="1" ht="15">
      <c r="A61" s="476" t="s">
        <v>2405</v>
      </c>
      <c r="B61" s="465"/>
      <c r="C61" s="477" t="s">
        <v>2406</v>
      </c>
      <c r="D61" s="478"/>
      <c r="E61" s="478"/>
      <c r="F61" s="478"/>
      <c r="G61" s="478"/>
      <c r="H61" s="478"/>
      <c r="I61" s="478"/>
      <c r="J61" s="478"/>
      <c r="K61" s="478"/>
      <c r="L61" s="479"/>
      <c r="M61" s="480"/>
      <c r="N61" s="1061"/>
      <c r="O61" s="1061"/>
      <c r="P61" s="2105"/>
      <c r="Q61" s="459"/>
    </row>
    <row r="62" spans="1:29" s="112"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2407</v>
      </c>
      <c r="B63" s="483" t="s">
        <v>2373</v>
      </c>
      <c r="C63" s="484" t="str">
        <f>C9</f>
        <v>住宅</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2376</v>
      </c>
      <c r="C65" s="494" t="s">
        <v>2408</v>
      </c>
      <c r="D65" s="494" t="s">
        <v>2409</v>
      </c>
      <c r="E65" s="494" t="s">
        <v>2410</v>
      </c>
      <c r="F65" s="494" t="s">
        <v>2411</v>
      </c>
      <c r="G65" s="494" t="s">
        <v>2412</v>
      </c>
      <c r="H65" s="494" t="s">
        <v>2413</v>
      </c>
      <c r="I65" s="494" t="s">
        <v>2414</v>
      </c>
      <c r="J65" s="494"/>
      <c r="K65" s="495"/>
      <c r="L65" s="496"/>
      <c r="M65" s="497"/>
      <c r="N65" s="1062"/>
      <c r="O65" s="1062"/>
      <c r="P65" s="2106"/>
      <c r="Q65" s="459"/>
    </row>
    <row r="66" spans="1:17" ht="15.75" thickBot="1">
      <c r="A66" s="489"/>
      <c r="B66" s="498"/>
      <c r="C66" s="499">
        <v>100</v>
      </c>
      <c r="D66" s="499">
        <f t="shared" ref="D66:I66" si="20">C66-$K10</f>
        <v>98</v>
      </c>
      <c r="E66" s="499">
        <f t="shared" si="20"/>
        <v>96</v>
      </c>
      <c r="F66" s="499">
        <f t="shared" si="20"/>
        <v>94</v>
      </c>
      <c r="G66" s="499">
        <f t="shared" si="20"/>
        <v>92</v>
      </c>
      <c r="H66" s="499">
        <f t="shared" si="20"/>
        <v>90</v>
      </c>
      <c r="I66" s="499">
        <f t="shared" si="20"/>
        <v>88</v>
      </c>
      <c r="J66" s="499"/>
      <c r="K66" s="499"/>
      <c r="L66" s="499"/>
      <c r="M66" s="500"/>
      <c r="N66" s="1063"/>
      <c r="O66" s="1063"/>
      <c r="P66" s="2106"/>
      <c r="Q66" s="459"/>
    </row>
    <row r="67" spans="1:17" ht="15.75" thickTop="1">
      <c r="A67" s="489"/>
      <c r="B67" s="501" t="s">
        <v>2377</v>
      </c>
      <c r="C67" s="502" t="str">
        <f>C68&amp;"（含）"&amp;"-"&amp;D68</f>
        <v>0（含）-0.5</v>
      </c>
      <c r="D67" s="502" t="str">
        <f t="shared" ref="D67:L67" si="21">D68&amp;"（含）"&amp;"-"&amp;E68</f>
        <v>0.5（含）-1</v>
      </c>
      <c r="E67" s="502" t="str">
        <f t="shared" si="21"/>
        <v>1（含）-1.5</v>
      </c>
      <c r="F67" s="502" t="str">
        <f t="shared" si="21"/>
        <v>1.5（含）-2</v>
      </c>
      <c r="G67" s="502" t="str">
        <f t="shared" si="21"/>
        <v>2（含）-2.5</v>
      </c>
      <c r="H67" s="502" t="str">
        <f t="shared" si="21"/>
        <v>2.5（含）-3</v>
      </c>
      <c r="I67" s="502" t="str">
        <f t="shared" si="21"/>
        <v>3（含）-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v>0</v>
      </c>
      <c r="D68" s="504">
        <v>0.5</v>
      </c>
      <c r="E68" s="504">
        <v>1</v>
      </c>
      <c r="F68" s="504">
        <v>1.5</v>
      </c>
      <c r="G68" s="504">
        <v>2</v>
      </c>
      <c r="H68" s="504">
        <v>2.5</v>
      </c>
      <c r="I68" s="504">
        <v>3</v>
      </c>
      <c r="J68" s="504"/>
      <c r="K68" s="505"/>
      <c r="L68" s="506"/>
      <c r="M68" s="507"/>
      <c r="N68" s="1062"/>
      <c r="O68" s="1062"/>
      <c r="P68" s="2106"/>
      <c r="Q68" s="459"/>
    </row>
    <row r="69" spans="1:17" ht="15.75" thickBot="1">
      <c r="A69" s="489"/>
      <c r="B69" s="490"/>
      <c r="C69" s="499">
        <v>100</v>
      </c>
      <c r="D69" s="499">
        <f t="shared" ref="D69:M69" si="22">C69-$K11</f>
        <v>98</v>
      </c>
      <c r="E69" s="499">
        <f t="shared" si="22"/>
        <v>96</v>
      </c>
      <c r="F69" s="499">
        <f t="shared" si="22"/>
        <v>94</v>
      </c>
      <c r="G69" s="499">
        <f t="shared" si="22"/>
        <v>92</v>
      </c>
      <c r="H69" s="499">
        <f t="shared" si="22"/>
        <v>90</v>
      </c>
      <c r="I69" s="499">
        <f t="shared" si="22"/>
        <v>88</v>
      </c>
      <c r="J69" s="499">
        <f t="shared" si="22"/>
        <v>86</v>
      </c>
      <c r="K69" s="499">
        <f t="shared" si="22"/>
        <v>84</v>
      </c>
      <c r="L69" s="499">
        <f t="shared" si="22"/>
        <v>82</v>
      </c>
      <c r="M69" s="500">
        <f t="shared" si="22"/>
        <v>80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2378</v>
      </c>
      <c r="B76" s="483" t="s">
        <v>2415</v>
      </c>
      <c r="C76" s="528" t="s">
        <v>2416</v>
      </c>
      <c r="D76" s="528" t="s">
        <v>2417</v>
      </c>
      <c r="E76" s="528" t="s">
        <v>2418</v>
      </c>
      <c r="F76" s="528" t="s">
        <v>2419</v>
      </c>
      <c r="G76" s="528" t="s">
        <v>2420</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2421</v>
      </c>
      <c r="C78" s="533" t="s">
        <v>2416</v>
      </c>
      <c r="D78" s="533" t="s">
        <v>2417</v>
      </c>
      <c r="E78" s="533" t="s">
        <v>2418</v>
      </c>
      <c r="F78" s="533" t="s">
        <v>2419</v>
      </c>
      <c r="G78" s="533" t="s">
        <v>2420</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2422</v>
      </c>
      <c r="C80" s="533" t="s">
        <v>2416</v>
      </c>
      <c r="D80" s="533" t="s">
        <v>2417</v>
      </c>
      <c r="E80" s="533" t="s">
        <v>2418</v>
      </c>
      <c r="F80" s="533" t="s">
        <v>2419</v>
      </c>
      <c r="G80" s="533" t="s">
        <v>2420</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1947</v>
      </c>
      <c r="C82" s="494" t="s">
        <v>2423</v>
      </c>
      <c r="D82" s="494" t="s">
        <v>2424</v>
      </c>
      <c r="E82" s="494" t="s">
        <v>2425</v>
      </c>
      <c r="F82" s="494" t="s">
        <v>2426</v>
      </c>
      <c r="G82" s="494" t="s">
        <v>2427</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2428</v>
      </c>
      <c r="C84" s="533" t="s">
        <v>2416</v>
      </c>
      <c r="D84" s="533" t="s">
        <v>2417</v>
      </c>
      <c r="E84" s="533" t="s">
        <v>2418</v>
      </c>
      <c r="F84" s="533" t="s">
        <v>2419</v>
      </c>
      <c r="G84" s="533" t="s">
        <v>2420</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2" customFormat="1" ht="15.75" thickTop="1">
      <c r="A86" s="534"/>
      <c r="B86" s="493" t="s">
        <v>2429</v>
      </c>
      <c r="C86" s="509"/>
      <c r="D86" s="509"/>
      <c r="E86" s="509"/>
      <c r="F86" s="509"/>
      <c r="G86" s="509"/>
      <c r="H86" s="509"/>
      <c r="I86" s="509"/>
      <c r="J86" s="509"/>
      <c r="K86" s="509"/>
      <c r="L86" s="535"/>
      <c r="M86" s="536"/>
      <c r="N86" s="1061"/>
      <c r="O86" s="1061"/>
      <c r="P86" s="2106"/>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2" customFormat="1" ht="15.75" thickTop="1">
      <c r="A88" s="534"/>
      <c r="B88" s="493" t="s">
        <v>2430</v>
      </c>
      <c r="C88" s="509"/>
      <c r="D88" s="509"/>
      <c r="E88" s="509"/>
      <c r="F88" s="2111"/>
      <c r="G88" s="509"/>
      <c r="H88" s="509"/>
      <c r="I88" s="509"/>
      <c r="J88" s="509"/>
      <c r="K88" s="509"/>
      <c r="L88" s="509"/>
      <c r="M88" s="536"/>
      <c r="N88" s="1061"/>
      <c r="O88" s="1061"/>
      <c r="P88" s="2106"/>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2382</v>
      </c>
      <c r="B100" s="483" t="s">
        <v>2431</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2432</v>
      </c>
      <c r="C102" s="533" t="str">
        <f>C103&amp;"(含)"&amp;"-"&amp;D103</f>
        <v>0(含)-100</v>
      </c>
      <c r="D102" s="533" t="str">
        <f t="shared" ref="D102:L102" si="27">D103&amp;"(含)"&amp;"-"&amp;E103</f>
        <v>100(含)-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v>0</v>
      </c>
      <c r="D103" s="550">
        <v>100</v>
      </c>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2433</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2434</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2435</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1877</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2436</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2437</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2438</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2393</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2439</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2440</v>
      </c>
      <c r="C124" s="533" t="s">
        <v>2416</v>
      </c>
      <c r="D124" s="533" t="s">
        <v>2417</v>
      </c>
      <c r="E124" s="533" t="s">
        <v>2418</v>
      </c>
      <c r="F124" s="533" t="s">
        <v>2419</v>
      </c>
      <c r="G124" s="533" t="s">
        <v>2420</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t="str">
        <f>B44</f>
        <v>现房</v>
      </c>
      <c r="C126" s="3100" t="s">
        <v>3927</v>
      </c>
      <c r="D126" s="3100" t="s">
        <v>3928</v>
      </c>
      <c r="E126" s="509"/>
      <c r="F126" s="509"/>
      <c r="G126" s="509"/>
      <c r="H126" s="510"/>
      <c r="I126" s="510"/>
      <c r="J126" s="510"/>
      <c r="K126" s="510"/>
      <c r="L126" s="511"/>
      <c r="M126" s="512"/>
      <c r="N126" s="1064"/>
      <c r="O126" s="1064"/>
      <c r="P126" s="2107"/>
      <c r="Q126" s="514"/>
    </row>
    <row r="127" spans="1:17" s="428" customFormat="1" ht="15.75" thickBot="1">
      <c r="A127" s="508"/>
      <c r="B127" s="498"/>
      <c r="C127" s="515">
        <v>105</v>
      </c>
      <c r="D127" s="491">
        <v>100</v>
      </c>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2441</v>
      </c>
    </row>
    <row r="137" spans="1:17" ht="15">
      <c r="B137" s="2114" t="s">
        <v>2442</v>
      </c>
      <c r="C137" s="2115"/>
      <c r="D137" s="2115"/>
      <c r="E137" s="2115"/>
      <c r="F137" s="2115"/>
      <c r="G137" s="2116"/>
      <c r="H137" s="2117"/>
      <c r="I137" s="2118" t="s">
        <v>2443</v>
      </c>
      <c r="J137" s="2115"/>
      <c r="K137" s="2119"/>
    </row>
    <row r="138" spans="1:17" ht="15">
      <c r="B138" s="2120"/>
      <c r="C138" s="140" t="s">
        <v>2444</v>
      </c>
      <c r="D138" s="140" t="s">
        <v>2445</v>
      </c>
      <c r="E138" s="2121" t="s">
        <v>2446</v>
      </c>
      <c r="F138" s="2122" t="s">
        <v>2447</v>
      </c>
      <c r="G138" s="140" t="s">
        <v>2445</v>
      </c>
      <c r="H138" s="141" t="s">
        <v>2446</v>
      </c>
      <c r="I138" s="2123"/>
      <c r="J138" s="140" t="s">
        <v>2448</v>
      </c>
      <c r="K138" s="141" t="s">
        <v>2449</v>
      </c>
    </row>
    <row r="139" spans="1:17" ht="15">
      <c r="B139" s="996">
        <v>6</v>
      </c>
      <c r="C139" s="997">
        <v>96</v>
      </c>
      <c r="D139" s="2124" t="s">
        <v>2450</v>
      </c>
      <c r="E139" s="998">
        <v>100</v>
      </c>
      <c r="F139" s="999">
        <v>102.5</v>
      </c>
      <c r="G139" s="2124" t="s">
        <v>2450</v>
      </c>
      <c r="H139" s="1000">
        <v>105</v>
      </c>
      <c r="I139" s="2125" t="s">
        <v>2451</v>
      </c>
      <c r="J139" s="997">
        <v>20</v>
      </c>
      <c r="K139" s="1001">
        <f>C145/(J139-2)</f>
        <v>4.0555555555555553E-3</v>
      </c>
    </row>
    <row r="140" spans="1:17" ht="15">
      <c r="B140" s="1002">
        <v>5</v>
      </c>
      <c r="C140" s="1003">
        <v>100</v>
      </c>
      <c r="D140" s="1003"/>
      <c r="E140" s="1004"/>
      <c r="F140" s="1005">
        <v>102</v>
      </c>
      <c r="G140" s="1003"/>
      <c r="H140" s="1006"/>
      <c r="I140" s="2126" t="s">
        <v>2452</v>
      </c>
      <c r="J140" s="275">
        <f>ROUNDUP((J139-1)/2,0)</f>
        <v>10</v>
      </c>
      <c r="K140" s="1007">
        <v>100</v>
      </c>
    </row>
    <row r="141" spans="1:17" ht="15">
      <c r="B141" s="1002">
        <v>4</v>
      </c>
      <c r="C141" s="1003">
        <v>102</v>
      </c>
      <c r="D141" s="1003"/>
      <c r="E141" s="1004"/>
      <c r="F141" s="1005">
        <v>101.5</v>
      </c>
      <c r="G141" s="1003"/>
      <c r="H141" s="1006"/>
      <c r="I141" s="2126" t="s">
        <v>2453</v>
      </c>
      <c r="J141" s="275">
        <v>1</v>
      </c>
      <c r="K141" s="1008">
        <f>ROUND(100+(J141-J140)*K139*100,1)</f>
        <v>96.4</v>
      </c>
    </row>
    <row r="142" spans="1:17" ht="15">
      <c r="B142" s="1002">
        <v>3</v>
      </c>
      <c r="C142" s="1003">
        <v>103</v>
      </c>
      <c r="D142" s="1003"/>
      <c r="E142" s="1004"/>
      <c r="F142" s="1005">
        <v>101</v>
      </c>
      <c r="G142" s="1003"/>
      <c r="H142" s="1006"/>
      <c r="I142" s="2126" t="s">
        <v>2454</v>
      </c>
      <c r="J142" s="275">
        <f>J139</f>
        <v>20</v>
      </c>
      <c r="K142" s="1009">
        <v>95</v>
      </c>
    </row>
    <row r="143" spans="1:17" ht="15">
      <c r="B143" s="1002">
        <v>2</v>
      </c>
      <c r="C143" s="1003">
        <v>100</v>
      </c>
      <c r="D143" s="1003"/>
      <c r="E143" s="1004"/>
      <c r="F143" s="1005">
        <v>100.5</v>
      </c>
      <c r="G143" s="1003"/>
      <c r="H143" s="1006"/>
      <c r="I143" s="2126" t="s">
        <v>2455</v>
      </c>
      <c r="J143" s="1003">
        <v>15</v>
      </c>
      <c r="K143" s="1008">
        <f>ROUND(100+(J143-J140)*K139*100,1)</f>
        <v>102</v>
      </c>
    </row>
    <row r="144" spans="1:17" ht="15">
      <c r="B144" s="1002">
        <v>1</v>
      </c>
      <c r="C144" s="1003">
        <v>98</v>
      </c>
      <c r="D144" s="2127" t="s">
        <v>2456</v>
      </c>
      <c r="E144" s="1004">
        <v>102</v>
      </c>
      <c r="F144" s="1010">
        <v>100</v>
      </c>
      <c r="G144" s="2127" t="s">
        <v>2456</v>
      </c>
      <c r="H144" s="1006">
        <v>105</v>
      </c>
      <c r="I144" s="2126" t="s">
        <v>2455</v>
      </c>
      <c r="J144" s="1003">
        <v>18</v>
      </c>
      <c r="K144" s="1008">
        <f>ROUND(100+(J144-J140)*K139*100,1)</f>
        <v>103.2</v>
      </c>
    </row>
    <row r="145" spans="2:11" ht="15.75" thickBot="1">
      <c r="B145" s="2128" t="s">
        <v>2457</v>
      </c>
      <c r="C145" s="1011">
        <f>ROUND(MAX(C139:C144)/MIN(C139:C144)-1,3)</f>
        <v>7.2999999999999995E-2</v>
      </c>
      <c r="D145" s="1012"/>
      <c r="E145" s="1012"/>
      <c r="F145" s="2129" t="s">
        <v>2458</v>
      </c>
      <c r="G145" s="2130"/>
      <c r="H145" s="2131"/>
      <c r="I145" s="2132" t="s">
        <v>2455</v>
      </c>
      <c r="J145" s="1013">
        <v>8</v>
      </c>
      <c r="K145" s="1014">
        <f>ROUND(100+(J145-J140)*K139*100,1)</f>
        <v>99.2</v>
      </c>
    </row>
    <row r="147" spans="2:11">
      <c r="B147" s="2113" t="s">
        <v>2459</v>
      </c>
    </row>
    <row r="148" spans="2:11">
      <c r="B148" s="2113"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G8" sqref="G8"/>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3110</v>
      </c>
      <c r="D1" s="1544" t="s">
        <v>3072</v>
      </c>
      <c r="E1" s="1545" t="s">
        <v>1352</v>
      </c>
      <c r="F1" s="1191">
        <f ca="1">J53</f>
        <v>48.37</v>
      </c>
      <c r="G1" s="1560">
        <f>MATCH(C1,'数据-取费表'!A6:A16,0)+5</f>
        <v>7</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1927</v>
      </c>
      <c r="C2" s="1569" t="s">
        <v>1481</v>
      </c>
      <c r="D2" s="1569"/>
      <c r="E2" s="1570"/>
      <c r="F2" s="1571"/>
      <c r="G2" s="2932"/>
      <c r="H2" s="2921"/>
      <c r="I2" s="2921"/>
      <c r="J2" s="2921"/>
      <c r="K2" s="2922"/>
      <c r="L2" s="2921"/>
      <c r="M2" s="2921"/>
    </row>
    <row r="3" spans="1:37" ht="18" customHeight="1" thickBot="1">
      <c r="A3" s="1572" t="s">
        <v>1482</v>
      </c>
      <c r="B3" s="1573">
        <f ca="1">IF(ISERROR(B2*10000/F43),0,ROUND(B2*10000/F43,0))</f>
        <v>2302</v>
      </c>
      <c r="C3" s="1569" t="s">
        <v>1483</v>
      </c>
      <c r="D3" s="1569"/>
      <c r="E3" s="1570"/>
      <c r="F3" s="1571"/>
      <c r="G3" s="2932"/>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137</v>
      </c>
      <c r="D5" s="1546" t="s">
        <v>1367</v>
      </c>
      <c r="E5" s="1201"/>
      <c r="F5" s="1202"/>
      <c r="G5" s="1566"/>
      <c r="H5" s="303">
        <v>1</v>
      </c>
      <c r="I5" s="304" t="s">
        <v>1366</v>
      </c>
      <c r="J5" s="1200">
        <f ca="1">J6+J10+J12</f>
        <v>0</v>
      </c>
      <c r="K5" s="1546" t="s">
        <v>1367</v>
      </c>
      <c r="L5" s="1201"/>
      <c r="M5" s="1202"/>
    </row>
    <row r="6" spans="1:37" ht="18" customHeight="1">
      <c r="A6" s="1199" t="s">
        <v>1003</v>
      </c>
      <c r="B6" s="3364" t="s">
        <v>1368</v>
      </c>
      <c r="C6" s="1204">
        <f ca="1">ROUND(F6*F8*F7*(1-F9)/10000,0)</f>
        <v>137</v>
      </c>
      <c r="D6" s="158" t="s">
        <v>2848</v>
      </c>
      <c r="E6" s="306" t="s">
        <v>1370</v>
      </c>
      <c r="F6" s="307">
        <f ca="1">INDIRECT("'数据-取费表'!u"&amp;$G$1)</f>
        <v>0.5</v>
      </c>
      <c r="G6" s="1566"/>
      <c r="H6" s="1199" t="s">
        <v>1003</v>
      </c>
      <c r="I6" s="3364" t="s">
        <v>1368</v>
      </c>
      <c r="J6" s="305">
        <f ca="1">ROUND(M6*M8*M7*(1-M9)/10000,0)</f>
        <v>0</v>
      </c>
      <c r="K6" s="158" t="s">
        <v>2847</v>
      </c>
      <c r="L6" s="306" t="s">
        <v>1370</v>
      </c>
      <c r="M6" s="307">
        <f ca="1">INDIRECT("'数据-取费表'!z"&amp;$G$1)</f>
        <v>0</v>
      </c>
    </row>
    <row r="7" spans="1:37" ht="18" customHeight="1">
      <c r="A7" s="1203"/>
      <c r="B7" s="3365"/>
      <c r="C7" s="1205"/>
      <c r="D7" s="311"/>
      <c r="E7" s="1206" t="s">
        <v>1371</v>
      </c>
      <c r="F7" s="307">
        <f ca="1">IF(INDIRECT("'数据-取费表'!ah"&amp;$G$1)="",INDIRECT("'数据-取费表'!k"&amp;$G$1),INDIRECT("'数据-取费表'!ah"&amp;$G$1))</f>
        <v>8370.0399999999991</v>
      </c>
      <c r="G7" s="1566"/>
      <c r="H7" s="308"/>
      <c r="I7" s="3365"/>
      <c r="J7" s="310"/>
      <c r="K7" s="311"/>
      <c r="L7" s="306" t="s">
        <v>1371</v>
      </c>
      <c r="M7" s="307">
        <f ca="1">F7</f>
        <v>8370.0399999999991</v>
      </c>
    </row>
    <row r="8" spans="1:37" ht="18" customHeight="1">
      <c r="A8" s="308"/>
      <c r="B8" s="3365"/>
      <c r="C8" s="310"/>
      <c r="D8" s="311"/>
      <c r="E8" s="306" t="s">
        <v>1372</v>
      </c>
      <c r="F8" s="307">
        <f ca="1">INDIRECT("'数据-取费表'!ai"&amp;$G$1)</f>
        <v>365</v>
      </c>
      <c r="G8" s="1566"/>
      <c r="H8" s="308"/>
      <c r="I8" s="3365"/>
      <c r="J8" s="310"/>
      <c r="K8" s="311"/>
      <c r="L8" s="306" t="s">
        <v>1372</v>
      </c>
      <c r="M8" s="307">
        <f ca="1">INDIRECT("'数据-取费表'!ai"&amp;$G$1)</f>
        <v>365</v>
      </c>
    </row>
    <row r="9" spans="1:37" ht="18" customHeight="1">
      <c r="A9" s="308"/>
      <c r="B9" s="3366"/>
      <c r="C9" s="310"/>
      <c r="D9" s="311"/>
      <c r="E9" s="306" t="s">
        <v>1373</v>
      </c>
      <c r="F9" s="316">
        <f ca="1">INDIRECT("'数据-取费表'!w"&amp;$G$1)</f>
        <v>0.1</v>
      </c>
      <c r="G9" s="1566"/>
      <c r="H9" s="308"/>
      <c r="I9" s="3366"/>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2856</v>
      </c>
      <c r="E10" s="317" t="s">
        <v>1375</v>
      </c>
      <c r="F10" s="1274" t="s">
        <v>3933</v>
      </c>
      <c r="G10" s="1566"/>
      <c r="H10" s="1199" t="s">
        <v>1007</v>
      </c>
      <c r="I10" s="1547" t="s">
        <v>1374</v>
      </c>
      <c r="J10" s="305">
        <f ca="1">ROUND(IF(M10="押一",J6/12*M11,IF(M10="押二",J6/12*2*M11,IF(M10="押三",J6/12*3*M11,J11*M11))),0)</f>
        <v>0</v>
      </c>
      <c r="K10" s="1548" t="s">
        <v>2855</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2967</v>
      </c>
      <c r="D13" s="1239" t="s">
        <v>1380</v>
      </c>
      <c r="E13" s="1239"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2176</v>
      </c>
      <c r="D14" s="1527" t="s">
        <v>1383</v>
      </c>
      <c r="E14" s="1524"/>
      <c r="F14" s="323"/>
      <c r="G14" s="1566"/>
      <c r="H14" s="1111" t="s">
        <v>1003</v>
      </c>
      <c r="I14" s="306" t="s">
        <v>1384</v>
      </c>
      <c r="J14" s="24">
        <f ca="1">C29</f>
        <v>2967</v>
      </c>
      <c r="K14" s="15"/>
      <c r="L14" s="914"/>
      <c r="M14" s="915"/>
    </row>
    <row r="15" spans="1:37" s="1579" customFormat="1" ht="18" customHeight="1" thickBot="1">
      <c r="A15" s="1111" t="s">
        <v>1004</v>
      </c>
      <c r="B15" s="306" t="s">
        <v>1385</v>
      </c>
      <c r="C15" s="24">
        <f ca="1">ROUND(C14*F15,0)</f>
        <v>87</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42</v>
      </c>
      <c r="K16" s="1245" t="s">
        <v>1390</v>
      </c>
      <c r="L16" s="1246"/>
      <c r="M16" s="1202"/>
    </row>
    <row r="17" spans="1:37" s="1579" customFormat="1" ht="18" customHeight="1">
      <c r="A17" s="1111" t="s">
        <v>1355</v>
      </c>
      <c r="B17" s="306" t="s">
        <v>1391</v>
      </c>
      <c r="C17" s="24">
        <f ca="1">ROUND(F17*(F43+INDIRECT("'数据-取费表'!S"&amp;$G$1))/10000,0)</f>
        <v>167</v>
      </c>
      <c r="D17" s="306" t="s">
        <v>1392</v>
      </c>
      <c r="E17" s="306" t="s">
        <v>1393</v>
      </c>
      <c r="F17" s="26">
        <f>'数据-取费表'!B35</f>
        <v>200</v>
      </c>
      <c r="G17" s="1578"/>
      <c r="H17" s="1111" t="s">
        <v>1003</v>
      </c>
      <c r="I17" s="306" t="s">
        <v>1394</v>
      </c>
      <c r="J17" s="2532">
        <f ca="1">ROUND(IF(AND(项目基本情况!B11="自然人",项目基本情况!B10="北京市"),J6*M17/(1+'数据-取费表'!C42),J18+J19+J20),0)</f>
        <v>27</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33</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2463</v>
      </c>
      <c r="D19" s="134" t="s">
        <v>1401</v>
      </c>
      <c r="E19" s="1542"/>
      <c r="F19" s="26"/>
      <c r="G19" s="1566"/>
      <c r="H19" s="1111" t="s">
        <v>1004</v>
      </c>
      <c r="I19" s="306" t="s">
        <v>1402</v>
      </c>
      <c r="J19" s="24">
        <f ca="1">IF(K19="按租金收入计税",ROUND(J6*M19/(1+'数据-取费表'!C42),2),ROUND(C29*M19*0.7,2))</f>
        <v>24.92</v>
      </c>
      <c r="K19" s="1552" t="s">
        <v>1403</v>
      </c>
      <c r="L19" s="306" t="s">
        <v>1387</v>
      </c>
      <c r="M19" s="326">
        <f>IF(K19="按租金收入计税",'数据-取费表'!B51,'数据-取费表'!B50)</f>
        <v>1.2E-2</v>
      </c>
    </row>
    <row r="20" spans="1:37" s="1579" customFormat="1" ht="18" customHeight="1">
      <c r="A20" s="1111" t="s">
        <v>1007</v>
      </c>
      <c r="B20" s="306" t="s">
        <v>1404</v>
      </c>
      <c r="C20" s="24">
        <f ca="1">ROUND(C19*F20,0)</f>
        <v>49</v>
      </c>
      <c r="D20" s="327" t="s">
        <v>1405</v>
      </c>
      <c r="E20" s="306" t="s">
        <v>1387</v>
      </c>
      <c r="F20" s="326">
        <f>'数据-取费表'!B37</f>
        <v>0.02</v>
      </c>
      <c r="G20" s="1578"/>
      <c r="H20" s="1111" t="s">
        <v>1354</v>
      </c>
      <c r="I20" s="158" t="s">
        <v>1406</v>
      </c>
      <c r="J20" s="25">
        <f ca="1">ROUND(M20*M21/10000,2)</f>
        <v>2</v>
      </c>
      <c r="K20" s="328" t="s">
        <v>1407</v>
      </c>
      <c r="L20" s="306" t="s">
        <v>1408</v>
      </c>
      <c r="M20" s="329">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2501.27</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ROUND(J14*M22,1)</f>
        <v>14.8</v>
      </c>
      <c r="K22" s="1526" t="s">
        <v>1415</v>
      </c>
      <c r="L22" s="306" t="s">
        <v>1387</v>
      </c>
      <c r="M22" s="332">
        <f ca="1">INDIRECT("'数据-取费表'!Ak"&amp;$G$1)</f>
        <v>5.0000000000000001E-3</v>
      </c>
    </row>
    <row r="23" spans="1:37" s="1579" customFormat="1" ht="18" customHeight="1">
      <c r="A23" s="1111" t="s">
        <v>1002</v>
      </c>
      <c r="B23" s="306" t="s">
        <v>1416</v>
      </c>
      <c r="C23" s="24">
        <f ca="1">IF('数据-取费表'!B22&lt;=1,ROUND(C19*F24*F23/2,0)+ROUND(C20*F24*F23/2,0),ROUND(C19*(POWER((1+F24),F23/2)-1),0)+ROUND(C20*(POWER((1+F24),F23/2)-1),0))</f>
        <v>109</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-42</v>
      </c>
      <c r="K25" s="1253" t="s">
        <v>1429</v>
      </c>
      <c r="L25" s="1254"/>
      <c r="M25" s="1255"/>
    </row>
    <row r="26" spans="1:37">
      <c r="A26" s="1111" t="s">
        <v>1002</v>
      </c>
      <c r="B26" s="306" t="s">
        <v>1430</v>
      </c>
      <c r="C26" s="24">
        <f ca="1">ROUND((C19+C20)*F26,0)</f>
        <v>126</v>
      </c>
      <c r="D26" s="327" t="s">
        <v>1431</v>
      </c>
      <c r="E26" s="317" t="s">
        <v>1432</v>
      </c>
      <c r="F26" s="316">
        <f ca="1">INDIRECT("'数据-取费表'!q"&amp;$G$1)</f>
        <v>0.05</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1E-3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2967</v>
      </c>
      <c r="D29" s="1250"/>
      <c r="E29" s="1248"/>
      <c r="F29" s="1251"/>
      <c r="G29" s="1578"/>
      <c r="H29" s="338" t="s">
        <v>1001</v>
      </c>
      <c r="I29" s="339" t="s">
        <v>1444</v>
      </c>
      <c r="J29" s="340">
        <f ca="1">ROUND(J26/(1+F40)^F41,0)</f>
        <v>0</v>
      </c>
      <c r="K29" s="341" t="s">
        <v>1445</v>
      </c>
      <c r="L29" s="342"/>
      <c r="M29" s="343">
        <f ca="1">INDIRECT("'数据-取费表'!k"&amp;$G$1)</f>
        <v>8370.0399999999991</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46</v>
      </c>
      <c r="D30" s="1245" t="s">
        <v>1390</v>
      </c>
      <c r="E30" s="1246"/>
      <c r="F30" s="1202"/>
      <c r="G30" s="1566"/>
      <c r="H30" s="2923"/>
      <c r="I30" s="1580"/>
      <c r="J30" s="1581"/>
      <c r="K30" s="2699"/>
      <c r="L30" s="2924"/>
      <c r="M30" s="2925"/>
    </row>
    <row r="31" spans="1:37" ht="18" customHeight="1">
      <c r="A31" s="1111" t="s">
        <v>1003</v>
      </c>
      <c r="B31" s="306" t="s">
        <v>1394</v>
      </c>
      <c r="C31" s="2532">
        <f ca="1">ROUND(IF(AND(项目基本情况!B11="自然人",项目基本情况!B10="北京市"),C6*F31/(1+'数据-取费表'!C42),C32+C33+C34),0)</f>
        <v>25</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9"/>
      <c r="L31" s="2924"/>
      <c r="M31" s="2925"/>
    </row>
    <row r="32" spans="1:37" ht="18" customHeight="1">
      <c r="A32" s="1111" t="s">
        <v>1002</v>
      </c>
      <c r="B32" s="306" t="s">
        <v>1398</v>
      </c>
      <c r="C32" s="24">
        <f ca="1">IF(项目基本情况!B11="自然人","——",ROUND(C6*F32/(1+'数据-取费表'!C42),2))</f>
        <v>7.18</v>
      </c>
      <c r="D32" s="1526" t="s">
        <v>1399</v>
      </c>
      <c r="E32" s="306" t="s">
        <v>1387</v>
      </c>
      <c r="F32" s="335">
        <f>'数据-取费表'!B41</f>
        <v>5.5000000000000007E-2</v>
      </c>
      <c r="G32" s="1566"/>
      <c r="H32" s="2923"/>
      <c r="I32" s="1580"/>
      <c r="J32" s="1581"/>
      <c r="K32" s="2699"/>
      <c r="L32" s="2924"/>
      <c r="M32" s="2925"/>
    </row>
    <row r="33" spans="1:18" ht="18" customHeight="1">
      <c r="A33" s="1111" t="s">
        <v>1004</v>
      </c>
      <c r="B33" s="306" t="s">
        <v>1402</v>
      </c>
      <c r="C33" s="24">
        <f ca="1">IF(项目基本情况!B11="自然人","——",IF(D33="按租金收入计税",ROUND(C6*F33/(1+'数据-取费表'!C42),2),IF(D33="按房产原值计税",ROUND(C29*F33*0.7,2),INDIRECT("'数据-取费表'!Aj"&amp;$G$1))))</f>
        <v>15.66</v>
      </c>
      <c r="D33" s="1552" t="s">
        <v>3073</v>
      </c>
      <c r="E33" s="306" t="s">
        <v>1387</v>
      </c>
      <c r="F33" s="326">
        <f>IF(D33="按票据","——",IF(D33="按租金收入计税",'数据-取费表'!B51,'数据-取费表'!B50))</f>
        <v>0.12</v>
      </c>
      <c r="G33" s="1566"/>
      <c r="H33" s="2926"/>
      <c r="I33" s="1580"/>
      <c r="J33" s="1581"/>
      <c r="K33" s="2927"/>
      <c r="L33" s="2926"/>
      <c r="M33" s="2926"/>
    </row>
    <row r="34" spans="1:18" ht="18" customHeight="1">
      <c r="A34" s="1199" t="s">
        <v>1354</v>
      </c>
      <c r="B34" s="158" t="s">
        <v>1406</v>
      </c>
      <c r="C34" s="25">
        <f ca="1">IF(项目基本情况!B11="自然人","——",ROUND(F34*F35/10000,2))</f>
        <v>2</v>
      </c>
      <c r="D34" s="328" t="s">
        <v>1407</v>
      </c>
      <c r="E34" s="306" t="s">
        <v>1408</v>
      </c>
      <c r="F34" s="329">
        <f>'数据-取费表'!B52</f>
        <v>8</v>
      </c>
      <c r="G34" s="1566"/>
      <c r="H34" s="2923"/>
      <c r="I34" s="1580"/>
      <c r="J34" s="1581"/>
      <c r="K34" s="2928"/>
      <c r="L34" s="2929"/>
      <c r="M34" s="2929"/>
    </row>
    <row r="35" spans="1:18" ht="18" customHeight="1">
      <c r="A35" s="1261"/>
      <c r="B35" s="1259"/>
      <c r="C35" s="29"/>
      <c r="D35" s="331"/>
      <c r="E35" s="306" t="s">
        <v>1412</v>
      </c>
      <c r="F35" s="307">
        <f ca="1">INDIRECT("'数据-取费表'!r"&amp;$G$1)</f>
        <v>2501.27</v>
      </c>
      <c r="G35" s="1566"/>
      <c r="H35" s="2923"/>
      <c r="I35" s="1580"/>
      <c r="J35" s="1581"/>
      <c r="K35" s="2927"/>
      <c r="L35" s="2926"/>
      <c r="M35" s="2926"/>
    </row>
    <row r="36" spans="1:18" ht="18" customHeight="1">
      <c r="A36" s="1260" t="s">
        <v>1007</v>
      </c>
      <c r="B36" s="306" t="s">
        <v>1414</v>
      </c>
      <c r="C36" s="24">
        <f ca="1">ROUND(C29*F36,1)</f>
        <v>14.8</v>
      </c>
      <c r="D36" s="1526" t="s">
        <v>1447</v>
      </c>
      <c r="E36" s="306" t="s">
        <v>1387</v>
      </c>
      <c r="F36" s="332">
        <f ca="1">INDIRECT("'数据-取费表'!Ak"&amp;$G$1)</f>
        <v>5.0000000000000001E-3</v>
      </c>
      <c r="G36" s="1566"/>
      <c r="H36" s="2926"/>
      <c r="I36" s="1580"/>
      <c r="J36" s="1581"/>
      <c r="K36" s="2768"/>
      <c r="L36" s="2926"/>
      <c r="M36" s="2926"/>
    </row>
    <row r="37" spans="1:18" ht="18" customHeight="1">
      <c r="A37" s="1111" t="s">
        <v>1043</v>
      </c>
      <c r="B37" s="306" t="s">
        <v>1418</v>
      </c>
      <c r="C37" s="24">
        <f ca="1">ROUND(C13*F37,1)</f>
        <v>4.5</v>
      </c>
      <c r="D37" s="1526" t="s">
        <v>1419</v>
      </c>
      <c r="E37" s="306" t="s">
        <v>1420</v>
      </c>
      <c r="F37" s="334">
        <f ca="1">INDIRECT("'数据-取费表'!Al"&amp;$G$1)</f>
        <v>1.5E-3</v>
      </c>
      <c r="G37" s="1566"/>
      <c r="H37" s="2926"/>
      <c r="I37" s="1580"/>
      <c r="J37" s="1581"/>
      <c r="K37" s="2768"/>
      <c r="L37" s="2926"/>
      <c r="M37" s="2926"/>
    </row>
    <row r="38" spans="1:18" ht="18" customHeight="1" thickBot="1">
      <c r="A38" s="1247" t="s">
        <v>1358</v>
      </c>
      <c r="B38" s="1248" t="s">
        <v>1404</v>
      </c>
      <c r="C38" s="1249">
        <f ca="1">ROUND(C5*F38,1)</f>
        <v>1.4</v>
      </c>
      <c r="D38" s="1250" t="s">
        <v>1424</v>
      </c>
      <c r="E38" s="1248" t="s">
        <v>1420</v>
      </c>
      <c r="F38" s="1244">
        <f ca="1">INDIRECT("'数据-取费表'!Am"&amp;$G$1)</f>
        <v>0.01</v>
      </c>
      <c r="G38" s="1566"/>
      <c r="H38" s="2926"/>
      <c r="I38" s="1580"/>
      <c r="J38" s="1581"/>
      <c r="K38" s="2930"/>
      <c r="L38" s="2926"/>
      <c r="M38" s="2926"/>
    </row>
    <row r="39" spans="1:18" ht="24.6" customHeight="1" thickTop="1">
      <c r="A39" s="1237" t="s">
        <v>999</v>
      </c>
      <c r="B39" s="1252" t="s">
        <v>1448</v>
      </c>
      <c r="C39" s="314">
        <f ca="1">C5-C30</f>
        <v>91</v>
      </c>
      <c r="D39" s="1253" t="s">
        <v>1449</v>
      </c>
      <c r="E39" s="1254"/>
      <c r="F39" s="1255"/>
      <c r="G39" s="1566"/>
      <c r="H39" s="2926"/>
      <c r="I39" s="1580"/>
      <c r="J39" s="1581"/>
      <c r="K39" s="2930"/>
      <c r="L39" s="2926"/>
      <c r="M39" s="2926"/>
    </row>
    <row r="40" spans="1:18" ht="18" customHeight="1">
      <c r="A40" s="303" t="s">
        <v>1000</v>
      </c>
      <c r="B40" s="304" t="s">
        <v>1450</v>
      </c>
      <c r="C40" s="305">
        <f ca="1">ROUND(C39*(1-((1+F42)/(1+F40))^F41)/(F40-F42),0)</f>
        <v>1927</v>
      </c>
      <c r="D40" s="328" t="s">
        <v>1434</v>
      </c>
      <c r="E40" s="306" t="s">
        <v>1435</v>
      </c>
      <c r="F40" s="316">
        <f ca="1">INDIRECT("'数据-取费表'!I"&amp;$G$1)</f>
        <v>0.05</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48.37</v>
      </c>
      <c r="G41" s="1566"/>
      <c r="H41" s="1351"/>
      <c r="I41" s="1580"/>
      <c r="J41" s="1581"/>
      <c r="K41" s="2768"/>
      <c r="L41" s="1351"/>
      <c r="M41" s="1351"/>
    </row>
    <row r="42" spans="1:18" ht="18" customHeight="1">
      <c r="A42" s="312"/>
      <c r="B42" s="313"/>
      <c r="C42" s="314"/>
      <c r="D42" s="331"/>
      <c r="E42" s="306" t="s">
        <v>1442</v>
      </c>
      <c r="F42" s="316">
        <f ca="1">INDIRECT("'数据-取费表'!v"&amp;$G$1)</f>
        <v>0.01</v>
      </c>
      <c r="G42" s="1566"/>
      <c r="H42" s="1351"/>
      <c r="I42" s="1580"/>
      <c r="J42" s="1581"/>
      <c r="K42" s="2768"/>
      <c r="L42" s="1351"/>
      <c r="M42" s="1351"/>
    </row>
    <row r="43" spans="1:18" ht="18" customHeight="1" thickBot="1">
      <c r="A43" s="338" t="s">
        <v>1001</v>
      </c>
      <c r="B43" s="339" t="s">
        <v>1452</v>
      </c>
      <c r="C43" s="340">
        <f ca="1">ROUND(C40*10000/F43,0)</f>
        <v>2302</v>
      </c>
      <c r="D43" s="341" t="s">
        <v>1453</v>
      </c>
      <c r="E43" s="342" t="s">
        <v>1454</v>
      </c>
      <c r="F43" s="343">
        <f ca="1">INDIRECT("'数据-取费表'!k"&amp;$G$1)</f>
        <v>8370.0399999999991</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1" t="s">
        <v>1484</v>
      </c>
      <c r="P45" s="1643"/>
      <c r="Q45" s="1643"/>
      <c r="R45" s="1643"/>
    </row>
    <row r="46" spans="1:18" s="1566" customFormat="1" ht="13.5" thickBot="1">
      <c r="A46" s="1586" t="s">
        <v>1485</v>
      </c>
      <c r="C46" s="1587">
        <f ca="1">C68-C40</f>
        <v>-6817</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3074</v>
      </c>
      <c r="K47" s="1598" t="s">
        <v>1492</v>
      </c>
      <c r="L47" s="1599">
        <f ca="1">INDIRECT("'数据-取费表'!d"&amp;$G$1)</f>
        <v>50</v>
      </c>
      <c r="M47" s="1562" t="str">
        <f>IF(ISNUMBER(FIND("住宅",C1)),"住宅","非住宅")</f>
        <v>非住宅</v>
      </c>
      <c r="O47" s="1600" t="s">
        <v>1008</v>
      </c>
      <c r="P47" s="1601" t="s">
        <v>1493</v>
      </c>
      <c r="Q47" s="1602">
        <f ca="1">C40+J29</f>
        <v>1927</v>
      </c>
      <c r="R47" s="1602" t="s">
        <v>1494</v>
      </c>
    </row>
    <row r="48" spans="1:18" s="1566" customFormat="1" ht="28.5" thickBot="1">
      <c r="A48" s="1268" t="s">
        <v>1103</v>
      </c>
      <c r="B48" s="304" t="s">
        <v>1366</v>
      </c>
      <c r="C48" s="1541">
        <f ca="1">C49+C53+C55</f>
        <v>0</v>
      </c>
      <c r="D48" s="1270"/>
      <c r="E48" s="1271"/>
      <c r="F48" s="1091"/>
      <c r="G48" s="729"/>
      <c r="H48" s="730"/>
      <c r="I48" s="1603" t="s">
        <v>1495</v>
      </c>
      <c r="J48" s="1604" t="s">
        <v>3075</v>
      </c>
      <c r="K48" s="1605" t="s">
        <v>1496</v>
      </c>
      <c r="L48" s="1606">
        <f ca="1">INDIRECT("'数据-取费表'!f"&amp;$G$1)</f>
        <v>49.37</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2849</v>
      </c>
      <c r="E49" s="1554" t="s">
        <v>1456</v>
      </c>
      <c r="F49" s="1189"/>
      <c r="G49" s="1607"/>
      <c r="H49" s="730"/>
      <c r="I49" s="1603" t="s">
        <v>1499</v>
      </c>
      <c r="J49" s="1608">
        <v>2022</v>
      </c>
      <c r="K49" s="1605" t="s">
        <v>1500</v>
      </c>
      <c r="L49" s="1609"/>
      <c r="O49" s="1610" t="s">
        <v>1010</v>
      </c>
      <c r="P49" s="1601" t="s">
        <v>1501</v>
      </c>
      <c r="Q49" s="1602">
        <f ca="1">C29</f>
        <v>2967</v>
      </c>
      <c r="R49" s="1602" t="s">
        <v>1494</v>
      </c>
    </row>
    <row r="50" spans="1:18" s="1566" customFormat="1" ht="13.5" thickBot="1">
      <c r="A50" s="1105"/>
      <c r="B50" s="1108"/>
      <c r="C50" s="1276"/>
      <c r="D50" s="1082"/>
      <c r="E50" s="1185" t="s">
        <v>1371</v>
      </c>
      <c r="F50" s="1186">
        <f ca="1">F7</f>
        <v>8370.0399999999991</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61</v>
      </c>
      <c r="K51" s="1616" t="s">
        <v>1506</v>
      </c>
      <c r="L51" s="1617">
        <f ca="1">ROUND(-PV(INDIRECT("'数据-取费表'!h"&amp;$G$1),J51,(C39-C13*C76),0),0)</f>
        <v>-3031</v>
      </c>
      <c r="M51" s="1618"/>
      <c r="O51" s="1610" t="s">
        <v>1012</v>
      </c>
      <c r="P51" s="1601" t="s">
        <v>1507</v>
      </c>
      <c r="Q51" s="1613">
        <f>J52</f>
        <v>0.08</v>
      </c>
      <c r="R51" s="1602"/>
    </row>
    <row r="52" spans="1:18" s="1566" customFormat="1" ht="13.5" thickBot="1">
      <c r="A52" s="1106"/>
      <c r="B52" s="1108"/>
      <c r="C52" s="1109"/>
      <c r="D52" s="1082"/>
      <c r="E52" s="1110" t="s">
        <v>1373</v>
      </c>
      <c r="F52" s="1183"/>
      <c r="I52" s="1619" t="s">
        <v>1508</v>
      </c>
      <c r="J52" s="1620">
        <v>0.08</v>
      </c>
      <c r="K52" s="1619" t="s">
        <v>1509</v>
      </c>
      <c r="L52" s="1620"/>
      <c r="O52" s="1610" t="s">
        <v>1013</v>
      </c>
      <c r="P52" s="1601" t="s">
        <v>1510</v>
      </c>
      <c r="Q52" s="1602">
        <f ca="1">J53</f>
        <v>48.37</v>
      </c>
      <c r="R52" s="1602" t="s">
        <v>1511</v>
      </c>
    </row>
    <row r="53" spans="1:18" s="1566" customFormat="1" ht="24.75" thickBot="1">
      <c r="A53" s="1312" t="s">
        <v>1105</v>
      </c>
      <c r="B53" s="1555" t="s">
        <v>1374</v>
      </c>
      <c r="C53" s="320">
        <f ca="1">ROUND(IF(F53="押一",C49/12*F11,IF(F53="押二",C49/12*2*F11,IF(F53="押三",C49/12*3*F11,C54*F11))),0)</f>
        <v>0</v>
      </c>
      <c r="D53" s="1548" t="s">
        <v>2855</v>
      </c>
      <c r="E53" s="317" t="s">
        <v>1375</v>
      </c>
      <c r="F53" s="1274"/>
      <c r="I53" s="1621" t="s">
        <v>1512</v>
      </c>
      <c r="J53" s="2384">
        <f ca="1">IF(M47="住宅",IF(D1="——",MAX(J51,L48),MAX(J51,L48-'数据-取费表'!B24)),IF(D1="——",MIN(J51,L48),MIN(J51,L48-'数据-取费表'!B24)))</f>
        <v>48.37</v>
      </c>
      <c r="K53" s="3362" t="s">
        <v>1513</v>
      </c>
      <c r="L53" s="3363"/>
      <c r="O53" s="1600" t="s">
        <v>1014</v>
      </c>
      <c r="P53" s="1601" t="s">
        <v>1514</v>
      </c>
      <c r="Q53" s="1602">
        <f ca="1">Q47+Q48</f>
        <v>1927</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2967</v>
      </c>
      <c r="D56" s="1629"/>
      <c r="E56" s="1630"/>
      <c r="F56" s="1622"/>
      <c r="I56" s="1631" t="s">
        <v>1519</v>
      </c>
      <c r="J56" s="1632" t="s">
        <v>3068</v>
      </c>
      <c r="K56" s="1603" t="s">
        <v>1520</v>
      </c>
      <c r="L56" s="1606" t="str">
        <f ca="1">IF(L48&lt;J51,"——",L48-J53)</f>
        <v>——</v>
      </c>
      <c r="O56" s="1600" t="s">
        <v>1008</v>
      </c>
      <c r="P56" s="1601" t="s">
        <v>1493</v>
      </c>
      <c r="Q56" s="1602">
        <f ca="1">C40+J29</f>
        <v>1927</v>
      </c>
      <c r="R56" s="1602" t="s">
        <v>1494</v>
      </c>
    </row>
    <row r="57" spans="1:18" s="1566" customFormat="1" ht="24.75" thickBot="1">
      <c r="A57" s="1633"/>
      <c r="B57" s="1079" t="s">
        <v>1443</v>
      </c>
      <c r="C57" s="242">
        <f ca="1">C29</f>
        <v>2967</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270</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251</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IF(项目基本情况!B11="自然人","——",IF(D61="按租金收入计税",ROUND(C48*F61,2),IF(D61="按房产原值计税",ROUND(C57*F61*0.7,2),INDIRECT("'数据-取费表'!Aj"&amp;$G$1))))</f>
        <v>249.23</v>
      </c>
      <c r="D61" s="1552" t="s">
        <v>1403</v>
      </c>
      <c r="E61" s="1079" t="s">
        <v>1459</v>
      </c>
      <c r="F61" s="326">
        <f t="shared" si="0"/>
        <v>0.12</v>
      </c>
      <c r="I61" s="1643"/>
      <c r="J61" s="1643"/>
      <c r="K61" s="1643"/>
      <c r="L61" s="1643"/>
      <c r="O61" s="1610" t="s">
        <v>1013</v>
      </c>
      <c r="P61" s="1601" t="str">
        <f>K59</f>
        <v>续建工期及建筑物耐用年限下的土地年期修正系数Kn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2</v>
      </c>
      <c r="D62" s="1094" t="s">
        <v>1462</v>
      </c>
      <c r="E62" s="1079" t="s">
        <v>1463</v>
      </c>
      <c r="F62" s="329">
        <f t="shared" si="0"/>
        <v>8</v>
      </c>
      <c r="I62" s="1644" t="s">
        <v>1535</v>
      </c>
      <c r="J62" s="1645" t="s">
        <v>1536</v>
      </c>
      <c r="K62" s="1645" t="s">
        <v>1537</v>
      </c>
      <c r="L62" s="1645" t="s">
        <v>1538</v>
      </c>
      <c r="M62" s="1646" t="s">
        <v>1539</v>
      </c>
      <c r="O62" s="1600" t="s">
        <v>1014</v>
      </c>
      <c r="P62" s="1601" t="s">
        <v>1540</v>
      </c>
      <c r="Q62" s="1602">
        <f ca="1">Q56+Q57</f>
        <v>1927</v>
      </c>
      <c r="R62" s="1602" t="s">
        <v>1015</v>
      </c>
    </row>
    <row r="63" spans="1:18" s="1566" customFormat="1" ht="13.5" thickBot="1">
      <c r="A63" s="330"/>
      <c r="B63" s="1085"/>
      <c r="C63" s="29"/>
      <c r="D63" s="1095"/>
      <c r="E63" s="1079" t="s">
        <v>1464</v>
      </c>
      <c r="F63" s="307">
        <f t="shared" ca="1" si="0"/>
        <v>2501.27</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14.8</v>
      </c>
      <c r="D64" s="1093" t="s">
        <v>1467</v>
      </c>
      <c r="E64" s="1079" t="s">
        <v>1459</v>
      </c>
      <c r="F64" s="332">
        <f t="shared" ca="1" si="0"/>
        <v>5.0000000000000001E-3</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4.5</v>
      </c>
      <c r="D65" s="1093" t="s">
        <v>1419</v>
      </c>
      <c r="E65" s="1079" t="s">
        <v>1420</v>
      </c>
      <c r="F65" s="334">
        <f t="shared" ca="1" si="0"/>
        <v>1.5E-3</v>
      </c>
      <c r="I65" s="1644" t="s">
        <v>1544</v>
      </c>
      <c r="J65" s="1645">
        <v>40</v>
      </c>
      <c r="K65" s="1645">
        <v>30</v>
      </c>
      <c r="L65" s="1645">
        <v>50</v>
      </c>
      <c r="M65" s="1647">
        <v>0.02</v>
      </c>
      <c r="O65" s="1600" t="s">
        <v>1008</v>
      </c>
      <c r="P65" s="1601" t="s">
        <v>1545</v>
      </c>
      <c r="Q65" s="1602">
        <f ca="1">C40+J29</f>
        <v>1927</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-270</v>
      </c>
      <c r="D67" s="1092" t="s">
        <v>1429</v>
      </c>
      <c r="E67" s="1097"/>
      <c r="F67" s="1098"/>
      <c r="O67" s="1610" t="s">
        <v>1010</v>
      </c>
      <c r="P67" s="1601" t="s">
        <v>1527</v>
      </c>
      <c r="Q67" s="1648">
        <f ca="1">L51</f>
        <v>-3031</v>
      </c>
      <c r="R67" s="1602" t="s">
        <v>1547</v>
      </c>
    </row>
    <row r="68" spans="1:18" s="1566" customFormat="1" ht="16.5" thickBot="1">
      <c r="A68" s="1076" t="s">
        <v>1000</v>
      </c>
      <c r="B68" s="1077" t="s">
        <v>1450</v>
      </c>
      <c r="C68" s="305">
        <f ca="1">ROUND(C67*(1-((1+F70)/(1+F68))^F69)/(F68-F70),0)</f>
        <v>-4890</v>
      </c>
      <c r="D68" s="1094" t="s">
        <v>1434</v>
      </c>
      <c r="E68" s="1079" t="s">
        <v>1435</v>
      </c>
      <c r="F68" s="316">
        <f ca="1">F40</f>
        <v>0.05</v>
      </c>
      <c r="O68" s="1610" t="s">
        <v>1011</v>
      </c>
      <c r="P68" s="1649" t="s">
        <v>1548</v>
      </c>
      <c r="Q68" s="1602">
        <f ca="1">ROUND(Q69-Q70*Q71,0)</f>
        <v>-146</v>
      </c>
      <c r="R68" s="1602" t="s">
        <v>1019</v>
      </c>
    </row>
    <row r="69" spans="1:18" s="1566" customFormat="1" ht="13.5" thickBot="1">
      <c r="A69" s="1080"/>
      <c r="B69" s="1081"/>
      <c r="C69" s="310"/>
      <c r="D69" s="1099" t="s">
        <v>1438</v>
      </c>
      <c r="E69" s="1079" t="s">
        <v>1439</v>
      </c>
      <c r="F69" s="337">
        <f ca="1">F41</f>
        <v>48.37</v>
      </c>
      <c r="O69" s="1610" t="s">
        <v>1016</v>
      </c>
      <c r="P69" s="1649" t="s">
        <v>1549</v>
      </c>
      <c r="Q69" s="1602">
        <f ca="1">C39</f>
        <v>91</v>
      </c>
      <c r="R69" s="1602" t="s">
        <v>1494</v>
      </c>
    </row>
    <row r="70" spans="1:18" s="1566" customFormat="1" ht="13.5" thickBot="1">
      <c r="A70" s="1083"/>
      <c r="B70" s="1084"/>
      <c r="C70" s="314"/>
      <c r="D70" s="1095"/>
      <c r="E70" s="1079" t="s">
        <v>1442</v>
      </c>
      <c r="F70" s="1183"/>
      <c r="O70" s="1610" t="s">
        <v>1017</v>
      </c>
      <c r="P70" s="1649" t="s">
        <v>1550</v>
      </c>
      <c r="Q70" s="1602">
        <f ca="1">C13</f>
        <v>2967</v>
      </c>
      <c r="R70" s="1602" t="s">
        <v>1494</v>
      </c>
    </row>
    <row r="71" spans="1:18" s="1566" customFormat="1" ht="13.5" thickBot="1">
      <c r="A71" s="1100" t="s">
        <v>1001</v>
      </c>
      <c r="B71" s="1101" t="s">
        <v>1452</v>
      </c>
      <c r="C71" s="340">
        <f ca="1">ROUND(C68*10000/F71,0)</f>
        <v>-5842</v>
      </c>
      <c r="D71" s="1102" t="s">
        <v>1453</v>
      </c>
      <c r="E71" s="1103" t="s">
        <v>1454</v>
      </c>
      <c r="F71" s="343">
        <f ca="1">F43</f>
        <v>8370.0399999999991</v>
      </c>
      <c r="O71" s="1610" t="s">
        <v>1018</v>
      </c>
      <c r="P71" s="1649" t="s">
        <v>1551</v>
      </c>
      <c r="Q71" s="1613">
        <f ca="1">C76</f>
        <v>0.08</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续建工期及建筑物耐用年限下的土地年期修正系数Kn</v>
      </c>
      <c r="Q74" s="1602" t="e">
        <f ca="1">L59</f>
        <v>#DIV/0!</v>
      </c>
      <c r="R74" s="1602" t="s">
        <v>1534</v>
      </c>
    </row>
    <row r="75" spans="1:18" ht="13.5" thickBot="1">
      <c r="A75" s="1566"/>
      <c r="B75" s="344" t="s">
        <v>1471</v>
      </c>
      <c r="C75" s="345">
        <f ca="1">ROUND(C13*C76,0)</f>
        <v>237</v>
      </c>
      <c r="D75" s="1566"/>
      <c r="E75" s="1566"/>
      <c r="F75" s="1566"/>
      <c r="K75" s="1584"/>
      <c r="L75" s="1566"/>
      <c r="O75" s="1600" t="s">
        <v>1014</v>
      </c>
      <c r="P75" s="1601" t="s">
        <v>1514</v>
      </c>
      <c r="Q75" s="1602">
        <f ca="1">Q65+Q66</f>
        <v>1927</v>
      </c>
      <c r="R75" s="1602" t="s">
        <v>1015</v>
      </c>
    </row>
    <row r="76" spans="1:18">
      <c r="B76" s="346" t="s">
        <v>1472</v>
      </c>
      <c r="C76" s="347">
        <f ca="1">INDIRECT("'数据-取费表'!j"&amp;$G$1)</f>
        <v>0.08</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-1.6040000000000001</v>
      </c>
    </row>
    <row r="80" spans="1:18">
      <c r="B80" s="344" t="s">
        <v>1476</v>
      </c>
      <c r="C80" s="278">
        <f ca="1">ROUND(C75/C39,3)</f>
        <v>2.6040000000000001</v>
      </c>
    </row>
    <row r="81" spans="2:3">
      <c r="B81" s="274" t="s">
        <v>1477</v>
      </c>
      <c r="C81" s="242"/>
    </row>
    <row r="82" spans="2:3">
      <c r="B82" s="277" t="s">
        <v>1478</v>
      </c>
      <c r="C82" s="279">
        <f ca="1">1-C83</f>
        <v>-0.54</v>
      </c>
    </row>
    <row r="83" spans="2:3">
      <c r="B83" s="277" t="s">
        <v>1479</v>
      </c>
      <c r="C83" s="278">
        <f ca="1">ROUND(C13/C40,3)</f>
        <v>1.54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-1</v>
      </c>
      <c r="G1" s="1560">
        <f>MATCH(C1,'数据-取费表'!A6:A16,0)+5</f>
        <v>8</v>
      </c>
      <c r="H1" s="2918"/>
      <c r="I1" s="2919"/>
      <c r="J1" s="2919"/>
      <c r="K1" s="2920"/>
      <c r="L1" s="2919"/>
      <c r="M1" s="2919"/>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364" t="s">
        <v>1368</v>
      </c>
      <c r="C6" s="1204">
        <f ca="1">ROUND(F6*F8*F7*(1-F9),0)</f>
        <v>0</v>
      </c>
      <c r="D6" s="158" t="s">
        <v>2845</v>
      </c>
      <c r="E6" s="306" t="s">
        <v>1370</v>
      </c>
      <c r="F6" s="307">
        <f ca="1">INDIRECT("'数据-取费表'!u"&amp;$G$1)</f>
        <v>0</v>
      </c>
      <c r="G6" s="1566"/>
      <c r="H6" s="1199" t="s">
        <v>1003</v>
      </c>
      <c r="I6" s="3364" t="s">
        <v>1368</v>
      </c>
      <c r="J6" s="305">
        <f ca="1">ROUND(M6*M8*M7*(1-M9),0)</f>
        <v>0</v>
      </c>
      <c r="K6" s="1558" t="s">
        <v>2846</v>
      </c>
      <c r="L6" s="306" t="s">
        <v>1370</v>
      </c>
      <c r="M6" s="307">
        <f ca="1">INDIRECT("'数据-取费表'!z"&amp;$G$1)</f>
        <v>0</v>
      </c>
    </row>
    <row r="7" spans="1:37" ht="18" customHeight="1">
      <c r="A7" s="1203"/>
      <c r="B7" s="3365"/>
      <c r="C7" s="1205"/>
      <c r="D7" s="311"/>
      <c r="E7" s="1206" t="s">
        <v>1371</v>
      </c>
      <c r="F7" s="307">
        <f ca="1">IF(INDIRECT("'数据-取费表'!ah"&amp;$G$1)="",INDIRECT("'数据-取费表'!k"&amp;$G$1),INDIRECT("'数据-取费表'!ah"&amp;$G$1))</f>
        <v>0</v>
      </c>
      <c r="G7" s="1566"/>
      <c r="H7" s="308"/>
      <c r="I7" s="3365"/>
      <c r="J7" s="310"/>
      <c r="K7" s="311"/>
      <c r="L7" s="306" t="s">
        <v>1371</v>
      </c>
      <c r="M7" s="307">
        <f ca="1">F7</f>
        <v>0</v>
      </c>
    </row>
    <row r="8" spans="1:37" ht="18" customHeight="1">
      <c r="A8" s="308"/>
      <c r="B8" s="3365"/>
      <c r="C8" s="310"/>
      <c r="D8" s="311"/>
      <c r="E8" s="306" t="s">
        <v>1372</v>
      </c>
      <c r="F8" s="307">
        <f ca="1">INDIRECT("'数据-取费表'!ai"&amp;$G$1)</f>
        <v>0</v>
      </c>
      <c r="G8" s="1566"/>
      <c r="H8" s="308"/>
      <c r="I8" s="3365"/>
      <c r="J8" s="310"/>
      <c r="K8" s="311"/>
      <c r="L8" s="306" t="s">
        <v>1372</v>
      </c>
      <c r="M8" s="307">
        <f ca="1">INDIRECT("'数据-取费表'!ai"&amp;$G$1)</f>
        <v>0</v>
      </c>
    </row>
    <row r="9" spans="1:37" ht="18" customHeight="1">
      <c r="A9" s="308"/>
      <c r="B9" s="3366"/>
      <c r="C9" s="310"/>
      <c r="D9" s="311"/>
      <c r="E9" s="306" t="s">
        <v>1373</v>
      </c>
      <c r="F9" s="316">
        <f ca="1">INDIRECT("'数据-取费表'!w"&amp;$G$1)</f>
        <v>0</v>
      </c>
      <c r="G9" s="1566"/>
      <c r="H9" s="308"/>
      <c r="I9" s="3366"/>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2855</v>
      </c>
      <c r="E10" s="317" t="s">
        <v>1375</v>
      </c>
      <c r="F10" s="1274"/>
      <c r="G10" s="1566"/>
      <c r="H10" s="1199" t="s">
        <v>1007</v>
      </c>
      <c r="I10" s="1547" t="s">
        <v>1374</v>
      </c>
      <c r="J10" s="305">
        <f ca="1">ROUND(IF(M10="押一",J6/12*M11,IF(M10="押二",J6/12*2*M11,IF(M10="押三",J6/12*3*M11,J11*M11))),0)</f>
        <v>0</v>
      </c>
      <c r="K10" s="1559" t="s">
        <v>2857</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3"/>
      <c r="I30" s="1580"/>
      <c r="J30" s="1581"/>
      <c r="K30" s="2699"/>
      <c r="L30" s="2924"/>
      <c r="M30" s="2925"/>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6" t="s">
        <v>3055</v>
      </c>
      <c r="I31" s="1580"/>
      <c r="J31" s="1581"/>
      <c r="K31" s="2699"/>
      <c r="L31" s="2924"/>
      <c r="M31" s="2925"/>
    </row>
    <row r="32" spans="1:37" ht="18" customHeight="1">
      <c r="A32" s="1111" t="s">
        <v>1002</v>
      </c>
      <c r="B32" s="306" t="s">
        <v>1398</v>
      </c>
      <c r="C32" s="24">
        <f ca="1">IF(项目基本情况!B11="自然人","——",ROUND(C6*F32/(1+'数据-取费表'!C42),0))</f>
        <v>0</v>
      </c>
      <c r="D32" s="1526" t="s">
        <v>1399</v>
      </c>
      <c r="E32" s="306" t="s">
        <v>1387</v>
      </c>
      <c r="F32" s="335">
        <f>'数据-取费表'!B41</f>
        <v>5.5000000000000007E-2</v>
      </c>
      <c r="G32" s="1566"/>
      <c r="H32" s="2923"/>
      <c r="I32" s="1580"/>
      <c r="J32" s="1581"/>
      <c r="K32" s="2699"/>
      <c r="L32" s="2924"/>
      <c r="M32" s="2925"/>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6"/>
      <c r="I33" s="1580"/>
      <c r="J33" s="1581"/>
      <c r="K33" s="2927"/>
      <c r="L33" s="2926"/>
      <c r="M33" s="2926"/>
    </row>
    <row r="34" spans="1:18" ht="18" customHeight="1">
      <c r="A34" s="1199" t="s">
        <v>1354</v>
      </c>
      <c r="B34" s="158" t="s">
        <v>1406</v>
      </c>
      <c r="C34" s="25">
        <f ca="1">IF(项目基本情况!B11="自然人","——",ROUND(F34*F35,))</f>
        <v>0</v>
      </c>
      <c r="D34" s="328" t="s">
        <v>1407</v>
      </c>
      <c r="E34" s="306" t="s">
        <v>1408</v>
      </c>
      <c r="F34" s="329">
        <f>'数据-取费表'!B52</f>
        <v>8</v>
      </c>
      <c r="G34" s="1566"/>
      <c r="H34" s="2923"/>
      <c r="I34" s="1580"/>
      <c r="J34" s="1581"/>
      <c r="K34" s="2928"/>
      <c r="L34" s="2929"/>
      <c r="M34" s="2929"/>
    </row>
    <row r="35" spans="1:18" ht="18" customHeight="1">
      <c r="A35" s="1261"/>
      <c r="B35" s="1259"/>
      <c r="C35" s="29"/>
      <c r="D35" s="331"/>
      <c r="E35" s="306" t="s">
        <v>1412</v>
      </c>
      <c r="F35" s="307">
        <f ca="1">INDIRECT("'数据-取费表'!r"&amp;$G$1)</f>
        <v>0</v>
      </c>
      <c r="G35" s="1566"/>
      <c r="H35" s="2923"/>
      <c r="I35" s="1580"/>
      <c r="J35" s="1581"/>
      <c r="K35" s="2927"/>
      <c r="L35" s="2926"/>
      <c r="M35" s="2926"/>
    </row>
    <row r="36" spans="1:18" ht="18" customHeight="1">
      <c r="A36" s="1260" t="s">
        <v>1007</v>
      </c>
      <c r="B36" s="306" t="s">
        <v>1414</v>
      </c>
      <c r="C36" s="24">
        <f ca="1">ROUND(C29*F36,0)</f>
        <v>0</v>
      </c>
      <c r="D36" s="1526" t="s">
        <v>1447</v>
      </c>
      <c r="E36" s="306" t="s">
        <v>1387</v>
      </c>
      <c r="F36" s="332">
        <f ca="1">INDIRECT("'数据-取费表'!Ak"&amp;$G$1)</f>
        <v>0</v>
      </c>
      <c r="G36" s="1566"/>
      <c r="H36" s="2926"/>
      <c r="I36" s="1580"/>
      <c r="J36" s="1581"/>
      <c r="K36" s="2768"/>
      <c r="L36" s="2926"/>
      <c r="M36" s="2926"/>
    </row>
    <row r="37" spans="1:18" ht="18" customHeight="1">
      <c r="A37" s="1111" t="s">
        <v>1043</v>
      </c>
      <c r="B37" s="306" t="s">
        <v>1418</v>
      </c>
      <c r="C37" s="24">
        <f ca="1">ROUND(C13*F37,0)</f>
        <v>0</v>
      </c>
      <c r="D37" s="1526" t="s">
        <v>1419</v>
      </c>
      <c r="E37" s="306" t="s">
        <v>1420</v>
      </c>
      <c r="F37" s="334">
        <f ca="1">INDIRECT("'数据-取费表'!Al"&amp;$G$1)</f>
        <v>0</v>
      </c>
      <c r="G37" s="1566"/>
      <c r="H37" s="2926"/>
      <c r="I37" s="1580"/>
      <c r="J37" s="1581"/>
      <c r="K37" s="2768"/>
      <c r="L37" s="2926"/>
      <c r="M37" s="2926"/>
    </row>
    <row r="38" spans="1:18" ht="18" customHeight="1" thickBot="1">
      <c r="A38" s="1247" t="s">
        <v>1358</v>
      </c>
      <c r="B38" s="1248" t="s">
        <v>1404</v>
      </c>
      <c r="C38" s="1249">
        <f ca="1">ROUND(C5*F38,1)</f>
        <v>0</v>
      </c>
      <c r="D38" s="1250" t="s">
        <v>1424</v>
      </c>
      <c r="E38" s="1248" t="s">
        <v>1420</v>
      </c>
      <c r="F38" s="1244">
        <f ca="1">INDIRECT("'数据-取费表'!Am"&amp;$G$1)</f>
        <v>0</v>
      </c>
      <c r="G38" s="1566"/>
      <c r="H38" s="2926"/>
      <c r="I38" s="1580"/>
      <c r="J38" s="1581"/>
      <c r="K38" s="2930"/>
      <c r="L38" s="2926"/>
      <c r="M38" s="2926"/>
    </row>
    <row r="39" spans="1:18" ht="24.6" customHeight="1" thickTop="1">
      <c r="A39" s="1237" t="s">
        <v>999</v>
      </c>
      <c r="B39" s="1252" t="s">
        <v>1448</v>
      </c>
      <c r="C39" s="314">
        <f ca="1">C5-C30</f>
        <v>0</v>
      </c>
      <c r="D39" s="1253" t="s">
        <v>1449</v>
      </c>
      <c r="E39" s="1254"/>
      <c r="F39" s="1255"/>
      <c r="G39" s="1566"/>
      <c r="H39" s="2926"/>
      <c r="I39" s="1580"/>
      <c r="J39" s="1581"/>
      <c r="K39" s="2930"/>
      <c r="L39" s="2926"/>
      <c r="M39" s="2926"/>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0"/>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8"/>
      <c r="L41" s="1351"/>
      <c r="M41" s="1351"/>
    </row>
    <row r="42" spans="1:18" ht="18" customHeight="1">
      <c r="A42" s="312"/>
      <c r="B42" s="313"/>
      <c r="C42" s="314"/>
      <c r="D42" s="331"/>
      <c r="E42" s="306" t="s">
        <v>1442</v>
      </c>
      <c r="F42" s="316">
        <f ca="1">INDIRECT("'数据-取费表'!v"&amp;$G$1)</f>
        <v>0</v>
      </c>
      <c r="G42" s="1566"/>
      <c r="H42" s="1351"/>
      <c r="I42" s="1580"/>
      <c r="J42" s="1581"/>
      <c r="K42" s="2768"/>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-1</v>
      </c>
      <c r="R52" s="1602" t="s">
        <v>1511</v>
      </c>
    </row>
    <row r="53" spans="1:18" s="1566" customFormat="1" ht="30.75" customHeight="1" thickBot="1">
      <c r="A53" s="1269" t="s">
        <v>1105</v>
      </c>
      <c r="B53" s="327" t="s">
        <v>1374</v>
      </c>
      <c r="C53" s="320">
        <f ca="1">ROUND(IF(F53="押一",C49/12*F11,IF(F53="押二",C49/12*2*F11,IF(F53="押三",C49/12*3*F11,C54*F11))),0)</f>
        <v>0</v>
      </c>
      <c r="D53" s="1548" t="s">
        <v>2858</v>
      </c>
      <c r="E53" s="317" t="s">
        <v>1375</v>
      </c>
      <c r="F53" s="1274"/>
      <c r="I53" s="1621" t="s">
        <v>1512</v>
      </c>
      <c r="J53" s="2384">
        <f ca="1">IF(M47="住宅",IF(D1="——",MAX(J51,L48),MAX(J51,L48-'数据-取费表'!B24)),IF(D1="——",MIN(J51,L48),MIN(J51,L48-'数据-取费表'!B24)))</f>
        <v>-1</v>
      </c>
      <c r="K53" s="3362" t="s">
        <v>1513</v>
      </c>
      <c r="L53" s="3363"/>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IF(项目基本情况!B11="自然人","——",IF(D61="按租金收入计税",ROUND(C48*F61,0),IF(D61="按房产原值计税",ROUND(C57*F61*0.7,0),INDIRECT("'数据-取费表'!Aj"&amp;$G$1))))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2345</v>
      </c>
      <c r="B1" s="2052"/>
      <c r="C1" s="2052"/>
      <c r="D1" s="2052"/>
      <c r="E1" s="2053"/>
      <c r="F1" s="2933"/>
      <c r="G1" s="1672"/>
      <c r="H1" s="1672"/>
      <c r="I1" s="1672"/>
      <c r="J1" s="1672"/>
      <c r="K1" s="1672"/>
      <c r="L1" s="1672"/>
      <c r="M1" s="1672"/>
      <c r="N1" s="1672"/>
      <c r="O1" s="1672"/>
      <c r="P1" s="1672"/>
      <c r="Q1" s="1672"/>
      <c r="R1" s="1672"/>
      <c r="S1" s="1672"/>
    </row>
    <row r="2" spans="1:22" ht="15.75">
      <c r="A2" s="2054" t="s">
        <v>2149</v>
      </c>
      <c r="B2" s="2055">
        <f ca="1">SUMIF(B6:B13,"&lt;&gt;#ref!",B6:B13)</f>
        <v>1927</v>
      </c>
      <c r="C2" s="2056" t="s">
        <v>2338</v>
      </c>
      <c r="D2" s="2057" t="s">
        <v>2339</v>
      </c>
      <c r="E2" s="2830">
        <f>SUM(E6:E13)</f>
        <v>8370.0399999999991</v>
      </c>
      <c r="F2" s="2933"/>
      <c r="G2" s="1672"/>
      <c r="H2" s="1672"/>
      <c r="I2" s="1672"/>
      <c r="J2" s="1672"/>
      <c r="K2" s="1672"/>
      <c r="L2" s="1672"/>
      <c r="M2" s="1672"/>
      <c r="N2" s="1672"/>
      <c r="O2" s="1672"/>
      <c r="P2" s="1672"/>
      <c r="Q2" s="1672"/>
      <c r="R2" s="1672"/>
      <c r="S2" s="1672"/>
    </row>
    <row r="3" spans="1:22" ht="15.75">
      <c r="A3" s="2054" t="s">
        <v>1360</v>
      </c>
      <c r="B3" s="2824">
        <f ca="1">ROUND(B2*10000/E2,0)</f>
        <v>2302</v>
      </c>
      <c r="C3" s="2056" t="s">
        <v>2346</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2340</v>
      </c>
      <c r="B5" s="3367" t="s">
        <v>2341</v>
      </c>
      <c r="C5" s="3368"/>
      <c r="D5" s="2934"/>
      <c r="E5" s="2058" t="s">
        <v>2342</v>
      </c>
      <c r="F5" s="2059" t="s">
        <v>2343</v>
      </c>
      <c r="G5" s="1672"/>
      <c r="H5" s="1672"/>
      <c r="I5" s="1672"/>
      <c r="J5" s="1672"/>
      <c r="K5" s="1672"/>
      <c r="L5" s="1672"/>
      <c r="M5" s="1672"/>
      <c r="N5" s="1672"/>
      <c r="O5" s="1672"/>
      <c r="P5" s="1672"/>
      <c r="Q5" s="1672"/>
      <c r="R5" s="1672"/>
      <c r="S5" s="1672"/>
    </row>
    <row r="6" spans="1:22">
      <c r="A6" s="2827">
        <f>'数据-取费表'!AN6</f>
        <v>0</v>
      </c>
      <c r="B6" s="2825" t="e">
        <f ca="1">IF(F6="是",'数据-取费表'!AO6,0)</f>
        <v>#REF!</v>
      </c>
      <c r="C6" s="2056" t="s">
        <v>2338</v>
      </c>
      <c r="D6" s="2935"/>
      <c r="E6" s="2829">
        <f>IF(OR(A6=0,F6="否"),0,'数据-取费表'!K6+'数据-取费表'!S6)</f>
        <v>0</v>
      </c>
      <c r="F6" s="2060" t="s">
        <v>2344</v>
      </c>
      <c r="G6" s="1672"/>
      <c r="H6" s="1672"/>
      <c r="I6" s="1672"/>
      <c r="J6" s="1672"/>
      <c r="K6" s="1672"/>
      <c r="L6" s="1672"/>
      <c r="M6" s="1672"/>
      <c r="N6" s="1672"/>
      <c r="O6" s="1672"/>
      <c r="P6" s="1672"/>
      <c r="Q6" s="1672"/>
      <c r="R6" s="1672"/>
      <c r="S6" s="1672"/>
    </row>
    <row r="7" spans="1:22">
      <c r="A7" s="2827" t="str">
        <f>'数据-取费表'!AN7</f>
        <v>收益法</v>
      </c>
      <c r="B7" s="2825">
        <f ca="1">IF(F7="是",'数据-取费表'!AO7,0)</f>
        <v>1927</v>
      </c>
      <c r="C7" s="2056" t="s">
        <v>2338</v>
      </c>
      <c r="D7" s="2935"/>
      <c r="E7" s="2829">
        <f>IF(OR(A7=0,F7="否"),0,'数据-取费表'!K7+'数据-取费表'!S7)</f>
        <v>8370.0399999999991</v>
      </c>
      <c r="F7" s="2060" t="s">
        <v>2344</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6" t="s">
        <v>2338</v>
      </c>
      <c r="D8" s="2935"/>
      <c r="E8" s="2829">
        <f>IF(OR(A8=0,F8="否"),0,'数据-取费表'!K8+'数据-取费表'!S8)</f>
        <v>0</v>
      </c>
      <c r="F8" s="2060" t="s">
        <v>2344</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6" t="s">
        <v>2338</v>
      </c>
      <c r="D9" s="2935"/>
      <c r="E9" s="2829">
        <f>IF(OR(A9=0,F9="否"),0,'数据-取费表'!K9+'数据-取费表'!S9)</f>
        <v>0</v>
      </c>
      <c r="F9" s="2060" t="s">
        <v>2344</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6" t="s">
        <v>2338</v>
      </c>
      <c r="D10" s="2935"/>
      <c r="E10" s="2829">
        <f>IF(OR(A10=0,F10="否"),0,'数据-取费表'!K10+'数据-取费表'!S10)</f>
        <v>0</v>
      </c>
      <c r="F10" s="2060" t="s">
        <v>2344</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6" t="s">
        <v>2338</v>
      </c>
      <c r="D11" s="2935"/>
      <c r="E11" s="2829">
        <f>IF(OR(A11=0,F11="否"),0,'数据-取费表'!K11+'数据-取费表'!S11)</f>
        <v>0</v>
      </c>
      <c r="F11" s="2060" t="s">
        <v>2344</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6" t="s">
        <v>2338</v>
      </c>
      <c r="D12" s="2935"/>
      <c r="E12" s="2829">
        <f>IF(OR(A12=0,F12="否"),0,'数据-取费表'!K12+'数据-取费表'!S12)</f>
        <v>0</v>
      </c>
      <c r="F12" s="2060" t="s">
        <v>2344</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1" t="s">
        <v>2338</v>
      </c>
      <c r="D13" s="2936"/>
      <c r="E13" s="2829">
        <f>IF(OR(A13=0,F13="否"),0,'数据-取费表'!K13+'数据-取费表'!S13)</f>
        <v>0</v>
      </c>
      <c r="F13" s="2060" t="s">
        <v>2344</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85" t="s">
        <v>1044</v>
      </c>
      <c r="B1" s="3386"/>
      <c r="C1" s="3387"/>
      <c r="D1" s="3388">
        <f>SUM(I10,I15,I20,I21,I23)</f>
        <v>0</v>
      </c>
      <c r="E1" s="3388"/>
      <c r="F1" s="3388"/>
      <c r="G1" s="3388"/>
      <c r="H1" s="3388"/>
      <c r="I1" s="3389"/>
    </row>
    <row r="2" spans="1:9">
      <c r="A2" s="3375" t="s">
        <v>1045</v>
      </c>
      <c r="B2" s="3376" t="s">
        <v>1046</v>
      </c>
      <c r="C2" s="3376"/>
      <c r="D2" s="1209" t="s">
        <v>1047</v>
      </c>
      <c r="E2" s="1209" t="s">
        <v>1048</v>
      </c>
      <c r="F2" s="1209" t="s">
        <v>1049</v>
      </c>
      <c r="G2" s="1209" t="s">
        <v>1050</v>
      </c>
      <c r="H2" s="1209" t="s">
        <v>1051</v>
      </c>
      <c r="I2" s="1210" t="s">
        <v>1052</v>
      </c>
    </row>
    <row r="3" spans="1:9">
      <c r="A3" s="3375"/>
      <c r="B3" s="3376" t="s">
        <v>1053</v>
      </c>
      <c r="C3" s="3376"/>
      <c r="D3" s="1211"/>
      <c r="E3" s="1209"/>
      <c r="F3" s="1212"/>
      <c r="G3" s="1212"/>
      <c r="H3" s="1213"/>
      <c r="I3" s="1214">
        <f>ROUND(D3*E3*F3*G3*H3/10000,0)</f>
        <v>0</v>
      </c>
    </row>
    <row r="4" spans="1:9">
      <c r="A4" s="3375"/>
      <c r="B4" s="3376" t="s">
        <v>1054</v>
      </c>
      <c r="C4" s="3376"/>
      <c r="D4" s="1211"/>
      <c r="E4" s="1209"/>
      <c r="F4" s="1212"/>
      <c r="G4" s="1212"/>
      <c r="H4" s="1213"/>
      <c r="I4" s="1214">
        <f t="shared" ref="I4:I9" si="0">ROUND(D4*E4*F4*G4*H4/10000,0)</f>
        <v>0</v>
      </c>
    </row>
    <row r="5" spans="1:9">
      <c r="A5" s="3375"/>
      <c r="B5" s="3376" t="s">
        <v>1055</v>
      </c>
      <c r="C5" s="3376"/>
      <c r="D5" s="1211"/>
      <c r="E5" s="1209"/>
      <c r="F5" s="1212"/>
      <c r="G5" s="1212"/>
      <c r="H5" s="1213"/>
      <c r="I5" s="1214">
        <f t="shared" si="0"/>
        <v>0</v>
      </c>
    </row>
    <row r="6" spans="1:9">
      <c r="A6" s="3375"/>
      <c r="B6" s="3376" t="s">
        <v>1056</v>
      </c>
      <c r="C6" s="3376"/>
      <c r="D6" s="1211"/>
      <c r="E6" s="1209"/>
      <c r="F6" s="1212"/>
      <c r="G6" s="1212"/>
      <c r="H6" s="1213"/>
      <c r="I6" s="1214">
        <f t="shared" si="0"/>
        <v>0</v>
      </c>
    </row>
    <row r="7" spans="1:9">
      <c r="A7" s="3375"/>
      <c r="B7" s="3376" t="s">
        <v>1057</v>
      </c>
      <c r="C7" s="3376"/>
      <c r="D7" s="1211"/>
      <c r="E7" s="1209"/>
      <c r="F7" s="1212"/>
      <c r="G7" s="1212"/>
      <c r="H7" s="1213"/>
      <c r="I7" s="1214">
        <f t="shared" si="0"/>
        <v>0</v>
      </c>
    </row>
    <row r="8" spans="1:9">
      <c r="A8" s="3375"/>
      <c r="B8" s="3376" t="s">
        <v>1058</v>
      </c>
      <c r="C8" s="3376"/>
      <c r="D8" s="1211"/>
      <c r="E8" s="1209"/>
      <c r="F8" s="1212"/>
      <c r="G8" s="1212"/>
      <c r="H8" s="1213"/>
      <c r="I8" s="1214">
        <f t="shared" si="0"/>
        <v>0</v>
      </c>
    </row>
    <row r="9" spans="1:9">
      <c r="A9" s="3375"/>
      <c r="B9" s="3376" t="s">
        <v>1059</v>
      </c>
      <c r="C9" s="3376"/>
      <c r="D9" s="1211"/>
      <c r="E9" s="1209"/>
      <c r="F9" s="1212"/>
      <c r="G9" s="1212"/>
      <c r="H9" s="1213"/>
      <c r="I9" s="1214">
        <f t="shared" si="0"/>
        <v>0</v>
      </c>
    </row>
    <row r="10" spans="1:9">
      <c r="A10" s="3375"/>
      <c r="B10" s="3377" t="s">
        <v>1060</v>
      </c>
      <c r="C10" s="3377"/>
      <c r="D10" s="1215"/>
      <c r="E10" s="1215" t="e">
        <f>ROUND(D1*10000/D10/H9,0)</f>
        <v>#DIV/0!</v>
      </c>
      <c r="F10" s="1216"/>
      <c r="G10" s="1216"/>
      <c r="H10" s="1217"/>
      <c r="I10" s="1218">
        <f>SUM(I3:I9)</f>
        <v>0</v>
      </c>
    </row>
    <row r="11" spans="1:9" ht="14.25">
      <c r="A11" s="3375" t="s">
        <v>1061</v>
      </c>
      <c r="B11" s="3376" t="s">
        <v>1062</v>
      </c>
      <c r="C11" s="3376"/>
      <c r="D11" s="1211" t="s">
        <v>1063</v>
      </c>
      <c r="E11" s="1211" t="s">
        <v>1064</v>
      </c>
      <c r="F11" s="1212" t="s">
        <v>1065</v>
      </c>
      <c r="G11" s="1212" t="s">
        <v>1051</v>
      </c>
      <c r="H11" s="1219" t="s">
        <v>1066</v>
      </c>
      <c r="I11" s="1210" t="s">
        <v>1052</v>
      </c>
    </row>
    <row r="12" spans="1:9">
      <c r="A12" s="3375"/>
      <c r="B12" s="3376" t="s">
        <v>1067</v>
      </c>
      <c r="C12" s="3376"/>
      <c r="D12" s="1211"/>
      <c r="E12" s="1211"/>
      <c r="F12" s="1212"/>
      <c r="G12" s="1213"/>
      <c r="H12" s="1220"/>
      <c r="I12" s="1210">
        <f>ROUND(D12*E12*F12*G12/10000,0)</f>
        <v>0</v>
      </c>
    </row>
    <row r="13" spans="1:9">
      <c r="A13" s="3375"/>
      <c r="B13" s="3376" t="s">
        <v>1068</v>
      </c>
      <c r="C13" s="3376"/>
      <c r="D13" s="1211"/>
      <c r="E13" s="1211"/>
      <c r="F13" s="1212"/>
      <c r="G13" s="1213"/>
      <c r="H13" s="1220"/>
      <c r="I13" s="1210">
        <f>ROUND(D13*E13*F13*G13/10000,0)</f>
        <v>0</v>
      </c>
    </row>
    <row r="14" spans="1:9">
      <c r="A14" s="3375"/>
      <c r="B14" s="3376" t="s">
        <v>1069</v>
      </c>
      <c r="C14" s="3376"/>
      <c r="D14" s="1211"/>
      <c r="E14" s="1211"/>
      <c r="F14" s="1212"/>
      <c r="G14" s="1213"/>
      <c r="H14" s="1220"/>
      <c r="I14" s="1210">
        <f>ROUND(D14*E14*F14*G14/10000,0)</f>
        <v>0</v>
      </c>
    </row>
    <row r="15" spans="1:9">
      <c r="A15" s="3375"/>
      <c r="B15" s="3377" t="s">
        <v>1060</v>
      </c>
      <c r="C15" s="3377"/>
      <c r="D15" s="1215"/>
      <c r="E15" s="1215">
        <f>SUM(E12:E14)</f>
        <v>0</v>
      </c>
      <c r="F15" s="1216"/>
      <c r="G15" s="1213"/>
      <c r="H15" s="1220"/>
      <c r="I15" s="1221">
        <f>SUM(I12:I14)</f>
        <v>0</v>
      </c>
    </row>
    <row r="16" spans="1:9" ht="24">
      <c r="A16" s="3375" t="s">
        <v>1070</v>
      </c>
      <c r="B16" s="3376" t="s">
        <v>1071</v>
      </c>
      <c r="C16" s="3376"/>
      <c r="D16" s="1211" t="s">
        <v>1047</v>
      </c>
      <c r="E16" s="1222" t="s">
        <v>1072</v>
      </c>
      <c r="F16" s="1212" t="s">
        <v>1073</v>
      </c>
      <c r="G16" s="1213" t="s">
        <v>1051</v>
      </c>
      <c r="H16" s="1219" t="s">
        <v>1066</v>
      </c>
      <c r="I16" s="1210" t="s">
        <v>1052</v>
      </c>
    </row>
    <row r="17" spans="1:9" ht="14.25">
      <c r="A17" s="3375"/>
      <c r="B17" s="3376" t="s">
        <v>1074</v>
      </c>
      <c r="C17" s="3376"/>
      <c r="D17" s="1211"/>
      <c r="E17" s="1211"/>
      <c r="F17" s="1212"/>
      <c r="G17" s="1213"/>
      <c r="H17" s="1223"/>
      <c r="I17" s="1224">
        <f>ROUND(D17*E17*F17*G17/10000,0)</f>
        <v>0</v>
      </c>
    </row>
    <row r="18" spans="1:9" ht="14.25">
      <c r="A18" s="3375"/>
      <c r="B18" s="3376" t="s">
        <v>1075</v>
      </c>
      <c r="C18" s="3376"/>
      <c r="D18" s="1211"/>
      <c r="E18" s="1211"/>
      <c r="F18" s="1212"/>
      <c r="G18" s="1213"/>
      <c r="H18" s="1223"/>
      <c r="I18" s="1224">
        <f>ROUND(D18*E18*F18*G18/10000,0)</f>
        <v>0</v>
      </c>
    </row>
    <row r="19" spans="1:9" ht="14.25">
      <c r="A19" s="3375"/>
      <c r="B19" s="3376" t="s">
        <v>1076</v>
      </c>
      <c r="C19" s="3376"/>
      <c r="D19" s="1211"/>
      <c r="E19" s="1211"/>
      <c r="F19" s="1212"/>
      <c r="G19" s="1213"/>
      <c r="H19" s="1223"/>
      <c r="I19" s="1224">
        <f>ROUND(D19*E19*F19*G19/10000,0)</f>
        <v>0</v>
      </c>
    </row>
    <row r="20" spans="1:9">
      <c r="A20" s="3375"/>
      <c r="B20" s="3377" t="s">
        <v>1060</v>
      </c>
      <c r="C20" s="3377"/>
      <c r="D20" s="1215">
        <f>SUM(D17:D19)</f>
        <v>0</v>
      </c>
      <c r="E20" s="1215"/>
      <c r="F20" s="1216"/>
      <c r="G20" s="1213"/>
      <c r="H20" s="1220"/>
      <c r="I20" s="1221">
        <f>SUM(I17:I19)</f>
        <v>0</v>
      </c>
    </row>
    <row r="21" spans="1:9">
      <c r="A21" s="3375" t="s">
        <v>1077</v>
      </c>
      <c r="B21" s="3378"/>
      <c r="C21" s="3378"/>
      <c r="D21" s="3378"/>
      <c r="E21" s="3378"/>
      <c r="F21" s="3378"/>
      <c r="G21" s="3378"/>
      <c r="H21" s="1500">
        <v>0.1</v>
      </c>
      <c r="I21" s="1218">
        <f>ROUND(I10*H21,0)</f>
        <v>0</v>
      </c>
    </row>
    <row r="22" spans="1:9" ht="14.25">
      <c r="A22" s="3379" t="s">
        <v>1078</v>
      </c>
      <c r="B22" s="3380"/>
      <c r="C22" s="3381"/>
      <c r="D22" s="1225" t="s">
        <v>1079</v>
      </c>
      <c r="E22" s="1225" t="s">
        <v>1080</v>
      </c>
      <c r="F22" s="1226" t="s">
        <v>1081</v>
      </c>
      <c r="G22" s="1226" t="s">
        <v>1082</v>
      </c>
      <c r="H22" s="1219" t="s">
        <v>1083</v>
      </c>
      <c r="I22" s="1210" t="s">
        <v>1084</v>
      </c>
    </row>
    <row r="23" spans="1:9" ht="14.25" thickBot="1">
      <c r="A23" s="3382"/>
      <c r="B23" s="3383"/>
      <c r="C23" s="3384"/>
      <c r="D23" s="1227"/>
      <c r="E23" s="1227"/>
      <c r="F23" s="1227"/>
      <c r="G23" s="1228"/>
      <c r="H23" s="1229"/>
      <c r="I23" s="1230">
        <f>ROUND(E23*D23*F23*(1-G23)/10000,0)</f>
        <v>0</v>
      </c>
    </row>
    <row r="26" spans="1:9">
      <c r="A26" s="1231" t="s">
        <v>1085</v>
      </c>
      <c r="B26" s="1231"/>
      <c r="C26" s="1231"/>
      <c r="D26" s="1231"/>
      <c r="E26" s="3372">
        <f>C27-C30-C31-C32</f>
        <v>0</v>
      </c>
      <c r="F26" s="3372"/>
      <c r="G26" s="3372"/>
      <c r="H26" s="1497" t="s">
        <v>1306</v>
      </c>
    </row>
    <row r="27" spans="1:9">
      <c r="A27" s="1232">
        <v>1</v>
      </c>
      <c r="B27" s="1233" t="s">
        <v>1086</v>
      </c>
      <c r="C27" s="1233">
        <f>C28+C29</f>
        <v>0</v>
      </c>
      <c r="D27" s="1233"/>
      <c r="E27" s="3373"/>
      <c r="F27" s="3373"/>
      <c r="G27" s="3373"/>
    </row>
    <row r="28" spans="1:9">
      <c r="A28" s="1234" t="s">
        <v>1087</v>
      </c>
      <c r="B28" s="1233" t="s">
        <v>1088</v>
      </c>
      <c r="C28" s="1233"/>
      <c r="D28" s="1233"/>
      <c r="E28" s="3373"/>
      <c r="F28" s="3373"/>
      <c r="G28" s="3373"/>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74"/>
      <c r="F32" s="3374"/>
      <c r="G32" s="3374"/>
    </row>
    <row r="33" spans="1:7" hidden="1">
      <c r="A33" s="3369" t="s">
        <v>1097</v>
      </c>
      <c r="B33" s="3370"/>
      <c r="C33" s="3370"/>
      <c r="D33" s="3371"/>
      <c r="E33" s="3372"/>
      <c r="F33" s="3372"/>
      <c r="G33" s="3372"/>
    </row>
    <row r="34" spans="1:7" hidden="1">
      <c r="A34" s="1236">
        <v>1</v>
      </c>
      <c r="B34" s="1233" t="s">
        <v>1098</v>
      </c>
      <c r="C34" s="1233"/>
      <c r="D34" s="1233"/>
      <c r="E34" s="3373"/>
      <c r="F34" s="3373"/>
      <c r="G34" s="3373"/>
    </row>
    <row r="35" spans="1:7" hidden="1">
      <c r="A35" s="1236">
        <v>2</v>
      </c>
      <c r="B35" s="1233" t="s">
        <v>1099</v>
      </c>
      <c r="C35" s="1233"/>
      <c r="D35" s="1233"/>
      <c r="E35" s="3373"/>
      <c r="F35" s="3373"/>
      <c r="G35" s="3373"/>
    </row>
    <row r="36" spans="1:7" hidden="1">
      <c r="A36" s="1236">
        <v>3</v>
      </c>
      <c r="B36" s="1233" t="s">
        <v>1100</v>
      </c>
      <c r="C36" s="1233"/>
      <c r="D36" s="1233"/>
      <c r="E36" s="3373"/>
      <c r="F36" s="3373"/>
      <c r="G36" s="3373"/>
    </row>
    <row r="37" spans="1:7" hidden="1">
      <c r="A37" s="1236">
        <v>4</v>
      </c>
      <c r="B37" s="1233" t="s">
        <v>1101</v>
      </c>
      <c r="C37" s="1233"/>
      <c r="D37" s="1233"/>
      <c r="E37" s="3373"/>
      <c r="F37" s="3373"/>
      <c r="G37" s="3373"/>
    </row>
    <row r="38" spans="1:7" hidden="1">
      <c r="A38" s="3369" t="s">
        <v>1102</v>
      </c>
      <c r="B38" s="3370"/>
      <c r="C38" s="3370"/>
      <c r="D38" s="3371"/>
      <c r="E38" s="3372"/>
      <c r="F38" s="3372"/>
      <c r="G38" s="33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2347</v>
      </c>
      <c r="B1" s="2062" t="s">
        <v>2461</v>
      </c>
      <c r="C1" s="1404" t="s">
        <v>2349</v>
      </c>
      <c r="D1" s="1391"/>
      <c r="E1" s="2541"/>
      <c r="F1" s="2063"/>
      <c r="G1" s="1401" t="s">
        <v>2462</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2149</v>
      </c>
      <c r="B2" s="1324" t="e">
        <f ca="1">IF(C2="——",ROUND(C49*D3/10000,0),ROUND(C49*D3/10000,0)-D2)</f>
        <v>#DIV/0!</v>
      </c>
      <c r="C2" s="2065"/>
      <c r="D2" s="1273" t="e">
        <f ca="1">SUMIF(INDIRECT("'"&amp;F2&amp;"'"&amp;"!A:A"),"承租人权益价值",INDIRECT("'"&amp;F2&amp;"'"&amp;"!c:c"))</f>
        <v>#REF!</v>
      </c>
      <c r="E2" s="2066" t="s">
        <v>2150</v>
      </c>
      <c r="F2" s="2067"/>
      <c r="G2" s="1037"/>
      <c r="H2" s="1037"/>
      <c r="I2" s="1037"/>
      <c r="J2" s="1037"/>
      <c r="K2" s="1037"/>
      <c r="L2" s="2960"/>
      <c r="M2" s="2961"/>
      <c r="N2" s="2961"/>
      <c r="O2" s="2961"/>
      <c r="P2" s="2136"/>
      <c r="Q2" s="1041"/>
      <c r="R2" s="1041"/>
      <c r="S2" s="1041"/>
      <c r="T2" s="1041"/>
      <c r="U2" s="1041"/>
      <c r="V2" s="1041"/>
      <c r="W2" s="1041"/>
      <c r="X2" s="1041"/>
      <c r="Y2" s="1041"/>
      <c r="Z2" s="1041"/>
      <c r="AA2" s="1041"/>
      <c r="AB2" s="1041"/>
      <c r="AC2" s="2137"/>
    </row>
    <row r="3" spans="1:29" s="356" customFormat="1" ht="28.5" customHeight="1" thickBot="1">
      <c r="A3" s="207" t="s">
        <v>2151</v>
      </c>
      <c r="B3" s="564" t="e">
        <f ca="1">IF(C2="——",C49,ROUND(B2*10000/D3,0))</f>
        <v>#DIV/0!</v>
      </c>
      <c r="C3" s="358" t="s">
        <v>2463</v>
      </c>
      <c r="D3" s="357">
        <f>IF(D1="",'数据-汇总表'!E3,SUMIF('数据-汇总表'!$C19:$C33,D1,'数据-汇总表'!$E19:$E33))</f>
        <v>133675.47</v>
      </c>
      <c r="E3" s="2138"/>
      <c r="F3" s="1038"/>
      <c r="G3" s="1037"/>
      <c r="H3" s="1037"/>
      <c r="I3" s="1037"/>
      <c r="J3" s="1037"/>
      <c r="K3" s="1039"/>
      <c r="L3" s="2960"/>
      <c r="M3" s="2961"/>
      <c r="N3" s="2961"/>
      <c r="O3" s="2961"/>
      <c r="P3" s="2136"/>
      <c r="Q3" s="1041"/>
      <c r="R3" s="1041"/>
      <c r="S3" s="1041"/>
      <c r="T3" s="1041"/>
      <c r="U3" s="1041"/>
      <c r="V3" s="1041"/>
      <c r="W3" s="1041"/>
      <c r="X3" s="1041"/>
      <c r="Y3" s="1041"/>
      <c r="Z3" s="1041"/>
      <c r="AA3" s="1041"/>
      <c r="AB3" s="1041"/>
      <c r="AC3" s="2138"/>
    </row>
    <row r="4" spans="1:29" ht="15">
      <c r="A4" s="359" t="s">
        <v>2464</v>
      </c>
      <c r="B4" s="360"/>
      <c r="C4" s="3313" t="s">
        <v>2465</v>
      </c>
      <c r="D4" s="3326"/>
      <c r="E4" s="3327" t="s">
        <v>2466</v>
      </c>
      <c r="F4" s="3328"/>
      <c r="G4" s="3313" t="s">
        <v>2467</v>
      </c>
      <c r="H4" s="3326"/>
      <c r="I4" s="3313" t="s">
        <v>2468</v>
      </c>
      <c r="J4" s="3326"/>
      <c r="K4" s="565" t="s">
        <v>2469</v>
      </c>
      <c r="L4" s="2941"/>
      <c r="M4" s="2942"/>
      <c r="N4" s="2942"/>
      <c r="O4" s="2942"/>
      <c r="P4" s="3329" t="s">
        <v>2470</v>
      </c>
      <c r="Q4" s="3330"/>
      <c r="R4" s="3335" t="s">
        <v>2466</v>
      </c>
      <c r="S4" s="3336"/>
      <c r="T4" s="3335" t="s">
        <v>2467</v>
      </c>
      <c r="U4" s="3336"/>
      <c r="V4" s="3322" t="s">
        <v>2468</v>
      </c>
      <c r="W4" s="3322"/>
      <c r="X4" s="1537"/>
      <c r="Y4" s="3335" t="s">
        <v>2470</v>
      </c>
      <c r="Z4" s="3336"/>
      <c r="AA4" s="3323" t="s">
        <v>2466</v>
      </c>
      <c r="AB4" s="3322" t="s">
        <v>2467</v>
      </c>
      <c r="AC4" s="3323" t="s">
        <v>2468</v>
      </c>
    </row>
    <row r="5" spans="1:29" ht="15">
      <c r="A5" s="362"/>
      <c r="B5" s="363"/>
      <c r="C5" s="3343" t="s">
        <v>2361</v>
      </c>
      <c r="D5" s="3344"/>
      <c r="E5" s="3350" t="s">
        <v>2362</v>
      </c>
      <c r="F5" s="3351"/>
      <c r="G5" s="3343" t="s">
        <v>2363</v>
      </c>
      <c r="H5" s="3344"/>
      <c r="I5" s="3343" t="s">
        <v>2364</v>
      </c>
      <c r="J5" s="3344"/>
      <c r="K5" s="565"/>
      <c r="L5" s="2941"/>
      <c r="M5" s="2942"/>
      <c r="N5" s="2942"/>
      <c r="O5" s="2942"/>
      <c r="P5" s="3331"/>
      <c r="Q5" s="3332"/>
      <c r="R5" s="3337"/>
      <c r="S5" s="3338"/>
      <c r="T5" s="3337"/>
      <c r="U5" s="3338"/>
      <c r="V5" s="3322"/>
      <c r="W5" s="3322"/>
      <c r="X5" s="1537"/>
      <c r="Y5" s="3337"/>
      <c r="Z5" s="3338"/>
      <c r="AA5" s="3324"/>
      <c r="AB5" s="3322"/>
      <c r="AC5" s="3324"/>
    </row>
    <row r="6" spans="1:29" ht="15.75" thickBot="1">
      <c r="A6" s="364"/>
      <c r="B6" s="365"/>
      <c r="C6" s="3341" t="s">
        <v>2365</v>
      </c>
      <c r="D6" s="3342"/>
      <c r="E6" s="3348" t="s">
        <v>2365</v>
      </c>
      <c r="F6" s="3349"/>
      <c r="G6" s="3341" t="s">
        <v>2365</v>
      </c>
      <c r="H6" s="3342"/>
      <c r="I6" s="3341" t="s">
        <v>2365</v>
      </c>
      <c r="J6" s="3342"/>
      <c r="K6" s="565" t="s">
        <v>2366</v>
      </c>
      <c r="L6" s="2941"/>
      <c r="M6" s="2942"/>
      <c r="N6" s="2942"/>
      <c r="O6" s="2942"/>
      <c r="P6" s="3333"/>
      <c r="Q6" s="3334"/>
      <c r="R6" s="3337"/>
      <c r="S6" s="3338"/>
      <c r="T6" s="3339"/>
      <c r="U6" s="3340"/>
      <c r="V6" s="3322"/>
      <c r="W6" s="3322"/>
      <c r="X6" s="1537"/>
      <c r="Y6" s="3339"/>
      <c r="Z6" s="3340"/>
      <c r="AA6" s="3325"/>
      <c r="AB6" s="3322"/>
      <c r="AC6" s="3325"/>
    </row>
    <row r="7" spans="1:29" s="112" customFormat="1" ht="15.75" thickBot="1">
      <c r="A7" s="366" t="s">
        <v>2367</v>
      </c>
      <c r="B7" s="367"/>
      <c r="C7" s="368">
        <f>'数据-取费表'!B2</f>
        <v>44311</v>
      </c>
      <c r="D7" s="369">
        <v>100</v>
      </c>
      <c r="E7" s="370"/>
      <c r="F7" s="371">
        <f>SUMIF(58:58,YEAR(E7)&amp;"-"&amp;MONTH(E7),59:59)</f>
        <v>0</v>
      </c>
      <c r="G7" s="370"/>
      <c r="H7" s="369">
        <f>SUMIF(58:58,YEAR(G7)&amp;"-"&amp;MONTH(G7),59:59)</f>
        <v>0</v>
      </c>
      <c r="I7" s="370"/>
      <c r="J7" s="369">
        <f>SUMIF(58:58,YEAR(I7)&amp;"-"&amp;MONTH(I7),59:59)</f>
        <v>0</v>
      </c>
      <c r="K7" s="566"/>
      <c r="L7" s="2943"/>
      <c r="M7" s="2944"/>
      <c r="N7" s="2944"/>
      <c r="O7" s="2944"/>
      <c r="P7" s="3345" t="s">
        <v>2368</v>
      </c>
      <c r="Q7" s="3347"/>
      <c r="R7" s="708" t="s">
        <v>17</v>
      </c>
      <c r="S7" s="709">
        <f t="shared" ref="S7:S15" si="0">F7</f>
        <v>0</v>
      </c>
      <c r="T7" s="708" t="s">
        <v>17</v>
      </c>
      <c r="U7" s="709">
        <f t="shared" ref="U7:U15" si="1">H7</f>
        <v>0</v>
      </c>
      <c r="V7" s="708" t="s">
        <v>17</v>
      </c>
      <c r="W7" s="709">
        <f t="shared" ref="W7:W15" si="2">J7</f>
        <v>0</v>
      </c>
      <c r="X7" s="710"/>
      <c r="Y7" s="3345" t="s">
        <v>2368</v>
      </c>
      <c r="Z7" s="3346"/>
      <c r="AA7" s="711" t="e">
        <f>D7/F7</f>
        <v>#DIV/0!</v>
      </c>
      <c r="AB7" s="711" t="e">
        <f>D7/H7</f>
        <v>#DIV/0!</v>
      </c>
      <c r="AC7" s="711" t="e">
        <f>D7/J7</f>
        <v>#DIV/0!</v>
      </c>
    </row>
    <row r="8" spans="1:29" s="112" customFormat="1" ht="15.75" thickBot="1">
      <c r="A8" s="366" t="s">
        <v>2369</v>
      </c>
      <c r="B8" s="367"/>
      <c r="C8" s="372" t="s">
        <v>2471</v>
      </c>
      <c r="D8" s="369">
        <v>100</v>
      </c>
      <c r="E8" s="372"/>
      <c r="F8" s="371">
        <f>SUMIF(61:61,E8,62:62)-SUMIF(61:61,C8,62:62)+100</f>
        <v>0</v>
      </c>
      <c r="G8" s="372"/>
      <c r="H8" s="369">
        <f>SUMIF(61:61,G8,62:62)-SUMIF(61:61,C8,62:62)+100</f>
        <v>0</v>
      </c>
      <c r="I8" s="372"/>
      <c r="J8" s="369">
        <f>SUMIF(61:61,I8,62:62)-SUMIF(61:61,C8,62:62)+100</f>
        <v>0</v>
      </c>
      <c r="K8" s="566"/>
      <c r="L8" s="2943"/>
      <c r="M8" s="2944"/>
      <c r="N8" s="2944"/>
      <c r="O8" s="2944"/>
      <c r="P8" s="3345" t="s">
        <v>2371</v>
      </c>
      <c r="Q8" s="3346"/>
      <c r="R8" s="708" t="s">
        <v>17</v>
      </c>
      <c r="S8" s="709">
        <f t="shared" si="0"/>
        <v>0</v>
      </c>
      <c r="T8" s="708" t="s">
        <v>17</v>
      </c>
      <c r="U8" s="709">
        <f t="shared" si="1"/>
        <v>0</v>
      </c>
      <c r="V8" s="708" t="s">
        <v>17</v>
      </c>
      <c r="W8" s="709">
        <f t="shared" si="2"/>
        <v>0</v>
      </c>
      <c r="X8" s="710"/>
      <c r="Y8" s="3345" t="s">
        <v>2371</v>
      </c>
      <c r="Z8" s="3346"/>
      <c r="AA8" s="711" t="e">
        <f t="shared" ref="AA8:AA46" si="3">D8/F8</f>
        <v>#DIV/0!</v>
      </c>
      <c r="AB8" s="711" t="e">
        <f t="shared" ref="AB8:AB46" si="4">D8/H8</f>
        <v>#DIV/0!</v>
      </c>
      <c r="AC8" s="711" t="e">
        <f t="shared" ref="AC8:AC46" si="5">D8/J8</f>
        <v>#DIV/0!</v>
      </c>
    </row>
    <row r="9" spans="1:29" s="112" customFormat="1">
      <c r="A9" s="373" t="s">
        <v>2372</v>
      </c>
      <c r="B9" s="67" t="s">
        <v>2373</v>
      </c>
      <c r="C9" s="374"/>
      <c r="D9" s="129">
        <v>100</v>
      </c>
      <c r="E9" s="375"/>
      <c r="F9" s="376">
        <f>SUMIF(63:63,E9,64:64)-SUMIF(63:63,C9,64:64)+100</f>
        <v>100</v>
      </c>
      <c r="G9" s="375"/>
      <c r="H9" s="129">
        <f>SUMIF(63:63,G9,64:64)-SUMIF(63:63,C9,64:64)+100</f>
        <v>100</v>
      </c>
      <c r="I9" s="375"/>
      <c r="J9" s="129">
        <f>SUMIF(63:63,I9,64:64)-SUMIF(63:63,C9,64:64)+100</f>
        <v>100</v>
      </c>
      <c r="K9" s="566"/>
      <c r="L9" s="2943"/>
      <c r="M9" s="2944"/>
      <c r="N9" s="2944"/>
      <c r="O9" s="2944"/>
      <c r="P9" s="3315"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711">
        <f t="shared" si="5"/>
        <v>1</v>
      </c>
    </row>
    <row r="10" spans="1:29" s="384" customFormat="1" ht="27">
      <c r="A10" s="378"/>
      <c r="B10" s="379" t="s">
        <v>2376</v>
      </c>
      <c r="C10" s="380"/>
      <c r="D10" s="130">
        <v>100</v>
      </c>
      <c r="E10" s="381"/>
      <c r="F10" s="382">
        <f>SUMIF(65:65,E10,66:66)-SUMIF(65:65,C10,66:66)+100</f>
        <v>100</v>
      </c>
      <c r="G10" s="380"/>
      <c r="H10" s="130">
        <f>SUMIF(65:65,G10,66:66)-SUMIF(65:65,C10,66:66)+100</f>
        <v>100</v>
      </c>
      <c r="I10" s="380"/>
      <c r="J10" s="130">
        <f>SUMIF(65:65,I10,66:66)-SUMIF(65:65,C10,66:66)+100</f>
        <v>100</v>
      </c>
      <c r="K10" s="567"/>
      <c r="L10" s="2945"/>
      <c r="M10" s="2946"/>
      <c r="N10" s="2946"/>
      <c r="O10" s="2946"/>
      <c r="P10" s="3315"/>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
      <c r="A11" s="385"/>
      <c r="B11" s="379" t="s">
        <v>2377</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7"/>
      <c r="M11" s="2942"/>
      <c r="N11" s="2942"/>
      <c r="O11" s="2942"/>
      <c r="P11" s="3315"/>
      <c r="Q11" s="1525" t="str">
        <f t="shared" si="6"/>
        <v>容积率</v>
      </c>
      <c r="R11" s="708" t="s">
        <v>17</v>
      </c>
      <c r="S11" s="709" t="e">
        <f t="shared" si="0"/>
        <v>#N/A</v>
      </c>
      <c r="T11" s="708" t="s">
        <v>17</v>
      </c>
      <c r="U11" s="709" t="e">
        <f t="shared" si="1"/>
        <v>#N/A</v>
      </c>
      <c r="V11" s="708" t="s">
        <v>17</v>
      </c>
      <c r="W11" s="709" t="e">
        <f t="shared" si="2"/>
        <v>#N/A</v>
      </c>
      <c r="X11" s="710"/>
      <c r="Y11" s="3210"/>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3"/>
      <c r="M12" s="2944"/>
      <c r="N12" s="2944"/>
      <c r="O12" s="2944"/>
      <c r="P12" s="3315"/>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8"/>
      <c r="M13" s="2942"/>
      <c r="N13" s="2942"/>
      <c r="O13" s="2942"/>
      <c r="P13" s="3315"/>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8"/>
      <c r="M14" s="2942"/>
      <c r="N14" s="2942"/>
      <c r="O14" s="2942"/>
      <c r="P14" s="3315"/>
      <c r="Q14" s="1525">
        <f t="shared" si="6"/>
        <v>111</v>
      </c>
      <c r="R14" s="708" t="s">
        <v>17</v>
      </c>
      <c r="S14" s="709">
        <f t="shared" si="0"/>
        <v>100</v>
      </c>
      <c r="T14" s="708" t="s">
        <v>17</v>
      </c>
      <c r="U14" s="709">
        <f t="shared" si="1"/>
        <v>100</v>
      </c>
      <c r="V14" s="708" t="s">
        <v>17</v>
      </c>
      <c r="W14" s="709">
        <f t="shared" si="2"/>
        <v>100</v>
      </c>
      <c r="X14" s="710"/>
      <c r="Y14" s="3210"/>
      <c r="Z14" s="55">
        <f t="shared" si="7"/>
        <v>111</v>
      </c>
      <c r="AA14" s="711">
        <f t="shared" si="3"/>
        <v>1</v>
      </c>
      <c r="AB14" s="711">
        <f t="shared" si="4"/>
        <v>1</v>
      </c>
      <c r="AC14" s="711">
        <f t="shared" si="5"/>
        <v>1</v>
      </c>
    </row>
    <row r="15" spans="1:29" ht="71.25">
      <c r="A15" s="397" t="s">
        <v>2378</v>
      </c>
      <c r="B15" s="65" t="s">
        <v>2472</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8"/>
      <c r="M15" s="2942"/>
      <c r="N15" s="2942"/>
      <c r="O15" s="2942"/>
      <c r="P15" s="3358" t="s">
        <v>2379</v>
      </c>
      <c r="Q15" s="1534" t="str">
        <f t="shared" si="6"/>
        <v>商业繁华度</v>
      </c>
      <c r="R15" s="712" t="s">
        <v>17</v>
      </c>
      <c r="S15" s="713">
        <f t="shared" si="0"/>
        <v>100</v>
      </c>
      <c r="T15" s="712" t="s">
        <v>17</v>
      </c>
      <c r="U15" s="713">
        <f t="shared" si="1"/>
        <v>100</v>
      </c>
      <c r="V15" s="712" t="s">
        <v>17</v>
      </c>
      <c r="W15" s="713">
        <f t="shared" si="2"/>
        <v>100</v>
      </c>
      <c r="X15" s="1537"/>
      <c r="Y15" s="3318" t="s">
        <v>2379</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8"/>
      <c r="M16" s="2942"/>
      <c r="N16" s="2942"/>
      <c r="O16" s="2942"/>
      <c r="P16" s="3359"/>
      <c r="Q16" s="1534"/>
      <c r="R16" s="712"/>
      <c r="S16" s="713"/>
      <c r="T16" s="712"/>
      <c r="U16" s="713"/>
      <c r="V16" s="712"/>
      <c r="W16" s="713"/>
      <c r="X16" s="1537"/>
      <c r="Y16" s="3319"/>
      <c r="Z16" s="1538"/>
      <c r="AA16" s="1535">
        <v>1</v>
      </c>
      <c r="AB16" s="1535">
        <v>1</v>
      </c>
      <c r="AC16" s="1535">
        <v>1</v>
      </c>
    </row>
    <row r="17" spans="1:29" ht="85.5">
      <c r="A17" s="385"/>
      <c r="B17" s="408" t="s">
        <v>1946</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8"/>
      <c r="M17" s="2942"/>
      <c r="N17" s="2942"/>
      <c r="O17" s="2942"/>
      <c r="P17" s="3359"/>
      <c r="Q17" s="1534" t="str">
        <f>B17</f>
        <v>交通便捷度</v>
      </c>
      <c r="R17" s="712" t="s">
        <v>17</v>
      </c>
      <c r="S17" s="713">
        <f>F17</f>
        <v>100</v>
      </c>
      <c r="T17" s="712" t="s">
        <v>17</v>
      </c>
      <c r="U17" s="713">
        <f>H17</f>
        <v>100</v>
      </c>
      <c r="V17" s="712" t="s">
        <v>17</v>
      </c>
      <c r="W17" s="713">
        <f>J17</f>
        <v>100</v>
      </c>
      <c r="X17" s="1537"/>
      <c r="Y17" s="3319"/>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8"/>
      <c r="M18" s="2942"/>
      <c r="N18" s="2942"/>
      <c r="O18" s="2942"/>
      <c r="P18" s="3359"/>
      <c r="Q18" s="1534"/>
      <c r="R18" s="712"/>
      <c r="S18" s="713"/>
      <c r="T18" s="712"/>
      <c r="U18" s="713"/>
      <c r="V18" s="712"/>
      <c r="W18" s="713"/>
      <c r="X18" s="1537"/>
      <c r="Y18" s="3319"/>
      <c r="Z18" s="1538"/>
      <c r="AA18" s="1535">
        <v>1</v>
      </c>
      <c r="AB18" s="1535">
        <v>1</v>
      </c>
      <c r="AC18" s="1535">
        <v>1</v>
      </c>
    </row>
    <row r="19" spans="1:29" ht="42.75">
      <c r="A19" s="385"/>
      <c r="B19" s="408" t="s">
        <v>2473</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8"/>
      <c r="M19" s="2942"/>
      <c r="N19" s="2942"/>
      <c r="O19" s="2942"/>
      <c r="P19" s="3359"/>
      <c r="Q19" s="1534" t="str">
        <f>B19</f>
        <v>公共配套设施</v>
      </c>
      <c r="R19" s="712" t="s">
        <v>17</v>
      </c>
      <c r="S19" s="713">
        <f>F19</f>
        <v>100</v>
      </c>
      <c r="T19" s="712" t="s">
        <v>17</v>
      </c>
      <c r="U19" s="713">
        <f>H19</f>
        <v>100</v>
      </c>
      <c r="V19" s="712" t="s">
        <v>17</v>
      </c>
      <c r="W19" s="713">
        <f>J19</f>
        <v>100</v>
      </c>
      <c r="X19" s="1537"/>
      <c r="Y19" s="3319"/>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8"/>
      <c r="M20" s="2942"/>
      <c r="N20" s="2942"/>
      <c r="O20" s="2942"/>
      <c r="P20" s="3359"/>
      <c r="Q20" s="1534"/>
      <c r="R20" s="712"/>
      <c r="S20" s="713"/>
      <c r="T20" s="712"/>
      <c r="U20" s="713"/>
      <c r="V20" s="712"/>
      <c r="W20" s="713"/>
      <c r="X20" s="1537"/>
      <c r="Y20" s="3319"/>
      <c r="Z20" s="1538"/>
      <c r="AA20" s="1535">
        <v>1</v>
      </c>
      <c r="AB20" s="1535">
        <v>1</v>
      </c>
      <c r="AC20" s="1535">
        <v>1</v>
      </c>
    </row>
    <row r="21" spans="1:29" ht="28.5">
      <c r="A21" s="385"/>
      <c r="B21" s="1291" t="s">
        <v>2474</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8"/>
      <c r="M21" s="2942"/>
      <c r="N21" s="2942"/>
      <c r="O21" s="2942"/>
      <c r="P21" s="3359"/>
      <c r="Q21" s="1534" t="str">
        <f>B21</f>
        <v>基础设施水平</v>
      </c>
      <c r="R21" s="712" t="s">
        <v>17</v>
      </c>
      <c r="S21" s="713">
        <f>F21</f>
        <v>100</v>
      </c>
      <c r="T21" s="712" t="s">
        <v>17</v>
      </c>
      <c r="U21" s="713">
        <f>H21</f>
        <v>100</v>
      </c>
      <c r="V21" s="712" t="s">
        <v>17</v>
      </c>
      <c r="W21" s="713">
        <f>J21</f>
        <v>100</v>
      </c>
      <c r="X21" s="1537"/>
      <c r="Y21" s="3319"/>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8"/>
      <c r="M22" s="2942"/>
      <c r="N22" s="2942"/>
      <c r="O22" s="2942"/>
      <c r="P22" s="3359"/>
      <c r="Q22" s="1534"/>
      <c r="R22" s="712"/>
      <c r="S22" s="713"/>
      <c r="T22" s="712"/>
      <c r="U22" s="713"/>
      <c r="V22" s="712"/>
      <c r="W22" s="713"/>
      <c r="X22" s="1537"/>
      <c r="Y22" s="3319"/>
      <c r="Z22" s="1538"/>
      <c r="AA22" s="1535">
        <v>1</v>
      </c>
      <c r="AB22" s="1535">
        <v>1</v>
      </c>
      <c r="AC22" s="1535">
        <v>1</v>
      </c>
    </row>
    <row r="23" spans="1:29" ht="57">
      <c r="A23" s="385"/>
      <c r="B23" s="408" t="s">
        <v>1948</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8"/>
      <c r="M23" s="2942"/>
      <c r="N23" s="2942"/>
      <c r="O23" s="2942"/>
      <c r="P23" s="3359"/>
      <c r="Q23" s="1534" t="str">
        <f>B23</f>
        <v>自然及人文环境</v>
      </c>
      <c r="R23" s="712" t="s">
        <v>17</v>
      </c>
      <c r="S23" s="713">
        <f>F23</f>
        <v>100</v>
      </c>
      <c r="T23" s="712" t="s">
        <v>17</v>
      </c>
      <c r="U23" s="713">
        <f>H23</f>
        <v>100</v>
      </c>
      <c r="V23" s="712" t="s">
        <v>17</v>
      </c>
      <c r="W23" s="713">
        <f>J23</f>
        <v>100</v>
      </c>
      <c r="X23" s="1537"/>
      <c r="Y23" s="3319"/>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8"/>
      <c r="M24" s="2942"/>
      <c r="N24" s="2942"/>
      <c r="O24" s="2942"/>
      <c r="P24" s="3359"/>
      <c r="Q24" s="1534"/>
      <c r="R24" s="712"/>
      <c r="S24" s="713"/>
      <c r="T24" s="712"/>
      <c r="U24" s="713"/>
      <c r="V24" s="712"/>
      <c r="W24" s="713"/>
      <c r="X24" s="1537"/>
      <c r="Y24" s="3319"/>
      <c r="Z24" s="1538"/>
      <c r="AA24" s="1535">
        <v>1</v>
      </c>
      <c r="AB24" s="1535">
        <v>1</v>
      </c>
      <c r="AC24" s="1535">
        <v>1</v>
      </c>
    </row>
    <row r="25" spans="1:29" ht="15">
      <c r="A25" s="385"/>
      <c r="B25" s="379" t="s">
        <v>2475</v>
      </c>
      <c r="C25" s="571"/>
      <c r="D25" s="392">
        <v>100</v>
      </c>
      <c r="E25" s="571"/>
      <c r="F25" s="418">
        <f>SUMIF(86:86,E25,87:87)-SUMIF(86:86,C25,87:87)+100</f>
        <v>100</v>
      </c>
      <c r="G25" s="571"/>
      <c r="H25" s="392">
        <f>SUMIF(86:86,G25,87:87)-SUMIF(86:86,C25,87:87)+100</f>
        <v>100</v>
      </c>
      <c r="I25" s="571"/>
      <c r="J25" s="392">
        <f>SUMIF(86:86,I25,87:87)-SUMIF(86:86,C25,87:87)+100</f>
        <v>100</v>
      </c>
      <c r="K25" s="567"/>
      <c r="L25" s="2948"/>
      <c r="M25" s="2942"/>
      <c r="N25" s="2942"/>
      <c r="O25" s="2942"/>
      <c r="P25" s="3359"/>
      <c r="Q25" s="1534" t="str">
        <f t="shared" ref="Q25:Q46" si="11">B25</f>
        <v>临街状况</v>
      </c>
      <c r="R25" s="712" t="s">
        <v>17</v>
      </c>
      <c r="S25" s="713">
        <f>F25</f>
        <v>100</v>
      </c>
      <c r="T25" s="712" t="s">
        <v>17</v>
      </c>
      <c r="U25" s="713">
        <f>H25</f>
        <v>100</v>
      </c>
      <c r="V25" s="712" t="s">
        <v>17</v>
      </c>
      <c r="W25" s="713">
        <f>J25</f>
        <v>100</v>
      </c>
      <c r="X25" s="1537"/>
      <c r="Y25" s="3319"/>
      <c r="Z25" s="1538" t="str">
        <f>Q25</f>
        <v>临街状况</v>
      </c>
      <c r="AA25" s="1535">
        <f t="shared" si="3"/>
        <v>1</v>
      </c>
      <c r="AB25" s="1535">
        <f t="shared" si="4"/>
        <v>1</v>
      </c>
      <c r="AC25" s="1535">
        <f t="shared" si="5"/>
        <v>1</v>
      </c>
    </row>
    <row r="26" spans="1:29" ht="15">
      <c r="A26" s="385"/>
      <c r="B26" s="1293" t="s">
        <v>2476</v>
      </c>
      <c r="C26" s="391"/>
      <c r="D26" s="392">
        <v>100</v>
      </c>
      <c r="E26" s="391"/>
      <c r="F26" s="418">
        <f>SUMIF(88:88,E26,89:89)-SUMIF(88:88,C26,89:89)+100</f>
        <v>100</v>
      </c>
      <c r="G26" s="391"/>
      <c r="H26" s="392">
        <f>SUMIF(88:88,G26,89:89)-SUMIF(88:88,C26,89:89)+100</f>
        <v>100</v>
      </c>
      <c r="I26" s="391"/>
      <c r="J26" s="392">
        <f>SUMIF(88:88,I26,89:89)-SUMIF(88:88,C26,89:89)+100</f>
        <v>100</v>
      </c>
      <c r="K26" s="568"/>
      <c r="L26" s="2948"/>
      <c r="M26" s="2942"/>
      <c r="N26" s="2942"/>
      <c r="O26" s="2942"/>
      <c r="P26" s="3359"/>
      <c r="Q26" s="1534" t="str">
        <f t="shared" si="11"/>
        <v>平面位置/可视性</v>
      </c>
      <c r="R26" s="712" t="s">
        <v>17</v>
      </c>
      <c r="S26" s="713">
        <f>F26</f>
        <v>100</v>
      </c>
      <c r="T26" s="712" t="s">
        <v>17</v>
      </c>
      <c r="U26" s="713">
        <f>H26</f>
        <v>100</v>
      </c>
      <c r="V26" s="712" t="s">
        <v>17</v>
      </c>
      <c r="W26" s="713">
        <f>J26</f>
        <v>100</v>
      </c>
      <c r="X26" s="1537"/>
      <c r="Y26" s="3319"/>
      <c r="Z26" s="1538" t="str">
        <f>Q26</f>
        <v>平面位置/可视性</v>
      </c>
      <c r="AA26" s="1535">
        <f t="shared" si="3"/>
        <v>1</v>
      </c>
      <c r="AB26" s="1535">
        <f t="shared" si="4"/>
        <v>1</v>
      </c>
      <c r="AC26" s="1535">
        <f t="shared" si="5"/>
        <v>1</v>
      </c>
    </row>
    <row r="27" spans="1:29" s="112" customFormat="1" ht="15">
      <c r="A27" s="388"/>
      <c r="B27" s="408" t="s">
        <v>2477</v>
      </c>
      <c r="C27" s="2140"/>
      <c r="D27" s="419">
        <v>100</v>
      </c>
      <c r="E27" s="2140"/>
      <c r="F27" s="421">
        <f>SUMIF(90:90,E27,91:91)-SUMIF(90:90,C27,91:91)+100</f>
        <v>100</v>
      </c>
      <c r="G27" s="2140"/>
      <c r="H27" s="419">
        <f>SUMIF(90:90,G27,91:91)-SUMIF(90:90,C27,91:91)+100</f>
        <v>100</v>
      </c>
      <c r="I27" s="2140"/>
      <c r="J27" s="419">
        <f>SUMIF(90:90,I27,91:91)-SUMIF(90:90,C27,91:91)+100</f>
        <v>100</v>
      </c>
      <c r="K27" s="567"/>
      <c r="L27" s="2943"/>
      <c r="M27" s="2944"/>
      <c r="N27" s="2944"/>
      <c r="O27" s="2944"/>
      <c r="P27" s="3359"/>
      <c r="Q27" s="1525" t="str">
        <f t="shared" si="11"/>
        <v>人流量</v>
      </c>
      <c r="R27" s="708" t="s">
        <v>17</v>
      </c>
      <c r="S27" s="709">
        <f>F27</f>
        <v>100</v>
      </c>
      <c r="T27" s="708" t="s">
        <v>17</v>
      </c>
      <c r="U27" s="709">
        <f>H27</f>
        <v>100</v>
      </c>
      <c r="V27" s="708" t="s">
        <v>17</v>
      </c>
      <c r="W27" s="709">
        <f>J27</f>
        <v>100</v>
      </c>
      <c r="X27" s="710"/>
      <c r="Y27" s="3319"/>
      <c r="Z27" s="55" t="str">
        <f>Q27</f>
        <v>人流量</v>
      </c>
      <c r="AA27" s="1535">
        <f>D27/F27</f>
        <v>1</v>
      </c>
      <c r="AB27" s="1535">
        <f>D27/H27</f>
        <v>1</v>
      </c>
      <c r="AC27" s="1535">
        <f>D27/J27</f>
        <v>1</v>
      </c>
    </row>
    <row r="28" spans="1:29" ht="15">
      <c r="A28" s="385"/>
      <c r="B28" s="379" t="s">
        <v>2478</v>
      </c>
      <c r="C28" s="571"/>
      <c r="D28" s="392">
        <v>100</v>
      </c>
      <c r="E28" s="571"/>
      <c r="F28" s="418">
        <f>SUMIF(92:92,E28,93:93)-SUMIF(92:92,C28,93:93)+100</f>
        <v>100</v>
      </c>
      <c r="G28" s="571"/>
      <c r="H28" s="392">
        <f>SUMIF(92:92,G28,93:93)-SUMIF(92:92,C28,93:93)+100</f>
        <v>100</v>
      </c>
      <c r="I28" s="571"/>
      <c r="J28" s="392">
        <f>SUMIF(92:92,I28,93:93)-SUMIF(92:92,C28,93:93)+100</f>
        <v>100</v>
      </c>
      <c r="K28" s="568"/>
      <c r="L28" s="2948"/>
      <c r="M28" s="2942"/>
      <c r="N28" s="2942"/>
      <c r="O28" s="2942"/>
      <c r="P28" s="3359"/>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19"/>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8"/>
      <c r="M29" s="2942"/>
      <c r="N29" s="2942"/>
      <c r="O29" s="2942"/>
      <c r="P29" s="3359"/>
      <c r="Q29" s="1534">
        <f t="shared" si="11"/>
        <v>111</v>
      </c>
      <c r="R29" s="712" t="s">
        <v>17</v>
      </c>
      <c r="S29" s="713">
        <f t="shared" si="12"/>
        <v>100</v>
      </c>
      <c r="T29" s="712" t="s">
        <v>17</v>
      </c>
      <c r="U29" s="713">
        <f t="shared" si="13"/>
        <v>100</v>
      </c>
      <c r="V29" s="712" t="s">
        <v>17</v>
      </c>
      <c r="W29" s="713">
        <f t="shared" si="14"/>
        <v>100</v>
      </c>
      <c r="X29" s="1537"/>
      <c r="Y29" s="3319"/>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8"/>
      <c r="M30" s="2942"/>
      <c r="N30" s="2942"/>
      <c r="O30" s="2942"/>
      <c r="P30" s="3359"/>
      <c r="Q30" s="1534">
        <f t="shared" si="11"/>
        <v>111</v>
      </c>
      <c r="R30" s="712" t="s">
        <v>17</v>
      </c>
      <c r="S30" s="713">
        <f t="shared" si="12"/>
        <v>100</v>
      </c>
      <c r="T30" s="712" t="s">
        <v>17</v>
      </c>
      <c r="U30" s="713">
        <f t="shared" si="13"/>
        <v>100</v>
      </c>
      <c r="V30" s="712" t="s">
        <v>17</v>
      </c>
      <c r="W30" s="713">
        <f t="shared" si="14"/>
        <v>100</v>
      </c>
      <c r="X30" s="1537"/>
      <c r="Y30" s="3319"/>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8"/>
      <c r="M31" s="2942"/>
      <c r="N31" s="2942"/>
      <c r="O31" s="2942"/>
      <c r="P31" s="3359"/>
      <c r="Q31" s="1534">
        <f t="shared" si="11"/>
        <v>111</v>
      </c>
      <c r="R31" s="712" t="s">
        <v>17</v>
      </c>
      <c r="S31" s="713">
        <f t="shared" si="12"/>
        <v>100</v>
      </c>
      <c r="T31" s="712" t="s">
        <v>17</v>
      </c>
      <c r="U31" s="713">
        <f t="shared" si="13"/>
        <v>100</v>
      </c>
      <c r="V31" s="712" t="s">
        <v>17</v>
      </c>
      <c r="W31" s="713">
        <f t="shared" si="14"/>
        <v>100</v>
      </c>
      <c r="X31" s="1537"/>
      <c r="Y31" s="3319"/>
      <c r="Z31" s="1538">
        <f t="shared" si="15"/>
        <v>111</v>
      </c>
      <c r="AA31" s="1535">
        <f t="shared" si="3"/>
        <v>1</v>
      </c>
      <c r="AB31" s="1535">
        <f t="shared" si="4"/>
        <v>1</v>
      </c>
      <c r="AC31" s="1535">
        <f t="shared" si="5"/>
        <v>1</v>
      </c>
    </row>
    <row r="32" spans="1:29" ht="15">
      <c r="A32" s="397" t="s">
        <v>2382</v>
      </c>
      <c r="B32" s="67" t="s">
        <v>2479</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8"/>
      <c r="M32" s="2942"/>
      <c r="N32" s="2942"/>
      <c r="O32" s="2942"/>
      <c r="P32" s="3354" t="s">
        <v>2384</v>
      </c>
      <c r="Q32" s="1534" t="str">
        <f t="shared" si="11"/>
        <v>商业类型</v>
      </c>
      <c r="R32" s="712" t="s">
        <v>17</v>
      </c>
      <c r="S32" s="713">
        <f t="shared" si="12"/>
        <v>100</v>
      </c>
      <c r="T32" s="712" t="s">
        <v>17</v>
      </c>
      <c r="U32" s="713">
        <f t="shared" si="13"/>
        <v>100</v>
      </c>
      <c r="V32" s="712" t="s">
        <v>17</v>
      </c>
      <c r="W32" s="713">
        <f t="shared" si="14"/>
        <v>100</v>
      </c>
      <c r="X32" s="1537"/>
      <c r="Y32" s="3321" t="s">
        <v>2384</v>
      </c>
      <c r="Z32" s="1538" t="str">
        <f t="shared" si="15"/>
        <v>商业类型</v>
      </c>
      <c r="AA32" s="1535">
        <f t="shared" si="3"/>
        <v>1</v>
      </c>
      <c r="AB32" s="1535">
        <f t="shared" si="4"/>
        <v>1</v>
      </c>
      <c r="AC32" s="1535">
        <f t="shared" si="5"/>
        <v>1</v>
      </c>
    </row>
    <row r="33" spans="1:29" s="428" customFormat="1" ht="15">
      <c r="A33" s="425"/>
      <c r="B33" s="379" t="s">
        <v>2385</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7"/>
      <c r="M33" s="2949"/>
      <c r="N33" s="2949"/>
      <c r="O33" s="2949"/>
      <c r="P33" s="3355"/>
      <c r="Q33" s="714" t="str">
        <f t="shared" si="11"/>
        <v>项目建筑规模</v>
      </c>
      <c r="R33" s="715" t="s">
        <v>17</v>
      </c>
      <c r="S33" s="716" t="e">
        <f t="shared" si="12"/>
        <v>#N/A</v>
      </c>
      <c r="T33" s="715" t="s">
        <v>17</v>
      </c>
      <c r="U33" s="716" t="e">
        <f t="shared" si="13"/>
        <v>#N/A</v>
      </c>
      <c r="V33" s="715" t="s">
        <v>17</v>
      </c>
      <c r="W33" s="716" t="e">
        <f t="shared" si="14"/>
        <v>#N/A</v>
      </c>
      <c r="X33" s="717"/>
      <c r="Y33" s="3321"/>
      <c r="Z33" s="718" t="str">
        <f t="shared" si="15"/>
        <v>项目建筑规模</v>
      </c>
      <c r="AA33" s="1535" t="e">
        <f t="shared" si="3"/>
        <v>#N/A</v>
      </c>
      <c r="AB33" s="1535" t="e">
        <f t="shared" si="4"/>
        <v>#N/A</v>
      </c>
      <c r="AC33" s="1535" t="e">
        <f t="shared" si="5"/>
        <v>#N/A</v>
      </c>
    </row>
    <row r="34" spans="1:29" ht="15">
      <c r="A34" s="429"/>
      <c r="B34" s="379" t="s">
        <v>2386</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8"/>
      <c r="M34" s="2942"/>
      <c r="N34" s="2942"/>
      <c r="O34" s="2942"/>
      <c r="P34" s="3355"/>
      <c r="Q34" s="1534" t="str">
        <f t="shared" si="11"/>
        <v>建筑结构</v>
      </c>
      <c r="R34" s="712" t="s">
        <v>17</v>
      </c>
      <c r="S34" s="713">
        <f t="shared" si="12"/>
        <v>100</v>
      </c>
      <c r="T34" s="712" t="s">
        <v>17</v>
      </c>
      <c r="U34" s="713">
        <f t="shared" si="13"/>
        <v>100</v>
      </c>
      <c r="V34" s="712" t="s">
        <v>17</v>
      </c>
      <c r="W34" s="713">
        <f t="shared" si="14"/>
        <v>100</v>
      </c>
      <c r="X34" s="1537"/>
      <c r="Y34" s="3321"/>
      <c r="Z34" s="1538" t="str">
        <f t="shared" si="15"/>
        <v>建筑结构</v>
      </c>
      <c r="AA34" s="1535">
        <f t="shared" si="3"/>
        <v>1</v>
      </c>
      <c r="AB34" s="1535">
        <f t="shared" si="4"/>
        <v>1</v>
      </c>
      <c r="AC34" s="1535">
        <f t="shared" si="5"/>
        <v>1</v>
      </c>
    </row>
    <row r="35" spans="1:29" ht="15">
      <c r="A35" s="429"/>
      <c r="B35" s="379" t="s">
        <v>2480</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8"/>
      <c r="M35" s="2942"/>
      <c r="N35" s="2942"/>
      <c r="O35" s="2942"/>
      <c r="P35" s="3355"/>
      <c r="Q35" s="1534" t="str">
        <f t="shared" si="11"/>
        <v>公共部分装修</v>
      </c>
      <c r="R35" s="712" t="s">
        <v>17</v>
      </c>
      <c r="S35" s="713">
        <f t="shared" si="12"/>
        <v>100</v>
      </c>
      <c r="T35" s="712" t="s">
        <v>17</v>
      </c>
      <c r="U35" s="713">
        <f t="shared" si="13"/>
        <v>100</v>
      </c>
      <c r="V35" s="712" t="s">
        <v>17</v>
      </c>
      <c r="W35" s="713">
        <f t="shared" si="14"/>
        <v>100</v>
      </c>
      <c r="X35" s="1537"/>
      <c r="Y35" s="3321"/>
      <c r="Z35" s="1538" t="str">
        <f t="shared" si="15"/>
        <v>公共部分装修</v>
      </c>
      <c r="AA35" s="1535">
        <f t="shared" si="3"/>
        <v>1</v>
      </c>
      <c r="AB35" s="1535">
        <f t="shared" si="4"/>
        <v>1</v>
      </c>
      <c r="AC35" s="1535">
        <f t="shared" si="5"/>
        <v>1</v>
      </c>
    </row>
    <row r="36" spans="1:29" ht="15">
      <c r="A36" s="429"/>
      <c r="B36" s="379" t="s">
        <v>2481</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8"/>
      <c r="M36" s="2942"/>
      <c r="N36" s="2942"/>
      <c r="O36" s="2942"/>
      <c r="P36" s="3355"/>
      <c r="Q36" s="1534" t="str">
        <f t="shared" si="11"/>
        <v>成新度</v>
      </c>
      <c r="R36" s="712" t="s">
        <v>17</v>
      </c>
      <c r="S36" s="713" t="e">
        <f t="shared" si="12"/>
        <v>#N/A</v>
      </c>
      <c r="T36" s="712" t="s">
        <v>17</v>
      </c>
      <c r="U36" s="713" t="e">
        <f t="shared" si="13"/>
        <v>#N/A</v>
      </c>
      <c r="V36" s="712" t="s">
        <v>17</v>
      </c>
      <c r="W36" s="713" t="e">
        <f t="shared" si="14"/>
        <v>#N/A</v>
      </c>
      <c r="X36" s="1537"/>
      <c r="Y36" s="3321"/>
      <c r="Z36" s="1538" t="str">
        <f t="shared" si="15"/>
        <v>成新度</v>
      </c>
      <c r="AA36" s="1535" t="e">
        <f t="shared" si="3"/>
        <v>#N/A</v>
      </c>
      <c r="AB36" s="1535" t="e">
        <f t="shared" si="4"/>
        <v>#N/A</v>
      </c>
      <c r="AC36" s="1535" t="e">
        <f t="shared" si="5"/>
        <v>#N/A</v>
      </c>
    </row>
    <row r="37" spans="1:29" s="112" customFormat="1" ht="15">
      <c r="A37" s="430"/>
      <c r="B37" s="379" t="s">
        <v>2482</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3"/>
      <c r="M37" s="2944"/>
      <c r="N37" s="2944"/>
      <c r="O37" s="2944"/>
      <c r="P37" s="3355"/>
      <c r="Q37" s="1525" t="str">
        <f t="shared" si="11"/>
        <v>市政基础设施</v>
      </c>
      <c r="R37" s="708" t="s">
        <v>17</v>
      </c>
      <c r="S37" s="709">
        <f t="shared" si="12"/>
        <v>100</v>
      </c>
      <c r="T37" s="708" t="s">
        <v>17</v>
      </c>
      <c r="U37" s="709">
        <f t="shared" si="13"/>
        <v>100</v>
      </c>
      <c r="V37" s="708" t="s">
        <v>17</v>
      </c>
      <c r="W37" s="709">
        <f t="shared" si="14"/>
        <v>100</v>
      </c>
      <c r="X37" s="710"/>
      <c r="Y37" s="3321"/>
      <c r="Z37" s="55" t="str">
        <f t="shared" si="15"/>
        <v>市政基础设施</v>
      </c>
      <c r="AA37" s="711">
        <f t="shared" si="3"/>
        <v>1</v>
      </c>
      <c r="AB37" s="711">
        <f t="shared" si="4"/>
        <v>1</v>
      </c>
      <c r="AC37" s="711">
        <f t="shared" si="5"/>
        <v>1</v>
      </c>
    </row>
    <row r="38" spans="1:29" ht="15">
      <c r="A38" s="429"/>
      <c r="B38" s="379" t="s">
        <v>2483</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8"/>
      <c r="M38" s="2942"/>
      <c r="N38" s="2942"/>
      <c r="O38" s="2942"/>
      <c r="P38" s="3355" t="s">
        <v>2384</v>
      </c>
      <c r="Q38" s="1534" t="str">
        <f t="shared" si="11"/>
        <v>业态</v>
      </c>
      <c r="R38" s="712" t="s">
        <v>17</v>
      </c>
      <c r="S38" s="713">
        <f t="shared" si="12"/>
        <v>100</v>
      </c>
      <c r="T38" s="712" t="s">
        <v>17</v>
      </c>
      <c r="U38" s="713">
        <f t="shared" si="13"/>
        <v>100</v>
      </c>
      <c r="V38" s="712" t="s">
        <v>17</v>
      </c>
      <c r="W38" s="713">
        <f t="shared" si="14"/>
        <v>100</v>
      </c>
      <c r="X38" s="1537"/>
      <c r="Y38" s="3321" t="s">
        <v>2384</v>
      </c>
      <c r="Z38" s="1538" t="str">
        <f t="shared" si="15"/>
        <v>业态</v>
      </c>
      <c r="AA38" s="1535">
        <f t="shared" si="3"/>
        <v>1</v>
      </c>
      <c r="AB38" s="1535">
        <f t="shared" si="4"/>
        <v>1</v>
      </c>
      <c r="AC38" s="1535">
        <f t="shared" si="5"/>
        <v>1</v>
      </c>
    </row>
    <row r="39" spans="1:29" ht="15">
      <c r="A39" s="429"/>
      <c r="B39" s="379" t="s">
        <v>2484</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8"/>
      <c r="M39" s="2942"/>
      <c r="N39" s="2942"/>
      <c r="O39" s="2942"/>
      <c r="P39" s="3355"/>
      <c r="Q39" s="1534" t="str">
        <f t="shared" si="11"/>
        <v>层高</v>
      </c>
      <c r="R39" s="712" t="s">
        <v>17</v>
      </c>
      <c r="S39" s="713">
        <f t="shared" si="12"/>
        <v>100</v>
      </c>
      <c r="T39" s="712" t="s">
        <v>17</v>
      </c>
      <c r="U39" s="713">
        <f t="shared" si="13"/>
        <v>100</v>
      </c>
      <c r="V39" s="712" t="s">
        <v>17</v>
      </c>
      <c r="W39" s="713">
        <f t="shared" si="14"/>
        <v>100</v>
      </c>
      <c r="X39" s="1537"/>
      <c r="Y39" s="3321"/>
      <c r="Z39" s="1538" t="str">
        <f t="shared" si="15"/>
        <v>层高</v>
      </c>
      <c r="AA39" s="1535">
        <f t="shared" si="3"/>
        <v>1</v>
      </c>
      <c r="AB39" s="1535">
        <f t="shared" si="4"/>
        <v>1</v>
      </c>
      <c r="AC39" s="1535">
        <f t="shared" si="5"/>
        <v>1</v>
      </c>
    </row>
    <row r="40" spans="1:29" ht="15">
      <c r="A40" s="429"/>
      <c r="B40" s="379" t="s">
        <v>2485</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8"/>
      <c r="M40" s="2942"/>
      <c r="N40" s="2942"/>
      <c r="O40" s="2942"/>
      <c r="P40" s="3355"/>
      <c r="Q40" s="1534" t="str">
        <f t="shared" si="11"/>
        <v>单套建筑面积</v>
      </c>
      <c r="R40" s="712" t="s">
        <v>17</v>
      </c>
      <c r="S40" s="713">
        <f t="shared" si="12"/>
        <v>100</v>
      </c>
      <c r="T40" s="712" t="s">
        <v>17</v>
      </c>
      <c r="U40" s="713">
        <f t="shared" si="13"/>
        <v>100</v>
      </c>
      <c r="V40" s="712" t="s">
        <v>17</v>
      </c>
      <c r="W40" s="713">
        <f t="shared" si="14"/>
        <v>100</v>
      </c>
      <c r="X40" s="1537"/>
      <c r="Y40" s="3321"/>
      <c r="Z40" s="1538" t="str">
        <f t="shared" si="15"/>
        <v>单套建筑面积</v>
      </c>
      <c r="AA40" s="1535">
        <f t="shared" si="3"/>
        <v>1</v>
      </c>
      <c r="AB40" s="1535">
        <f t="shared" si="4"/>
        <v>1</v>
      </c>
      <c r="AC40" s="1535">
        <f t="shared" si="5"/>
        <v>1</v>
      </c>
    </row>
    <row r="41" spans="1:29" s="428" customFormat="1" ht="15">
      <c r="A41" s="425"/>
      <c r="B41" s="1536" t="s">
        <v>2486</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7"/>
      <c r="M41" s="2949"/>
      <c r="N41" s="2949"/>
      <c r="O41" s="2949"/>
      <c r="P41" s="3355"/>
      <c r="Q41" s="714" t="str">
        <f t="shared" si="11"/>
        <v>进深比</v>
      </c>
      <c r="R41" s="715" t="s">
        <v>17</v>
      </c>
      <c r="S41" s="716">
        <f t="shared" si="12"/>
        <v>100</v>
      </c>
      <c r="T41" s="715" t="s">
        <v>17</v>
      </c>
      <c r="U41" s="716">
        <f t="shared" si="13"/>
        <v>100</v>
      </c>
      <c r="V41" s="715" t="s">
        <v>17</v>
      </c>
      <c r="W41" s="716">
        <f t="shared" si="14"/>
        <v>100</v>
      </c>
      <c r="X41" s="717"/>
      <c r="Y41" s="3321"/>
      <c r="Z41" s="718" t="str">
        <f t="shared" si="15"/>
        <v>进深比</v>
      </c>
      <c r="AA41" s="1535">
        <f t="shared" si="3"/>
        <v>1</v>
      </c>
      <c r="AB41" s="1535">
        <f t="shared" si="4"/>
        <v>1</v>
      </c>
      <c r="AC41" s="1535">
        <f t="shared" si="5"/>
        <v>1</v>
      </c>
    </row>
    <row r="42" spans="1:29" ht="15">
      <c r="A42" s="429"/>
      <c r="B42" s="379" t="s">
        <v>2487</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8"/>
      <c r="M42" s="2942"/>
      <c r="N42" s="2942"/>
      <c r="O42" s="2942"/>
      <c r="P42" s="3355"/>
      <c r="Q42" s="1534" t="str">
        <f t="shared" si="11"/>
        <v>内部装修</v>
      </c>
      <c r="R42" s="712" t="s">
        <v>17</v>
      </c>
      <c r="S42" s="713">
        <f t="shared" si="12"/>
        <v>100</v>
      </c>
      <c r="T42" s="712" t="s">
        <v>17</v>
      </c>
      <c r="U42" s="713">
        <f t="shared" si="13"/>
        <v>100</v>
      </c>
      <c r="V42" s="712" t="s">
        <v>17</v>
      </c>
      <c r="W42" s="713">
        <f t="shared" si="14"/>
        <v>100</v>
      </c>
      <c r="X42" s="1537"/>
      <c r="Y42" s="3321"/>
      <c r="Z42" s="1538" t="str">
        <f t="shared" si="15"/>
        <v>内部装修</v>
      </c>
      <c r="AA42" s="1535">
        <f t="shared" si="3"/>
        <v>1</v>
      </c>
      <c r="AB42" s="1535">
        <f t="shared" si="4"/>
        <v>1</v>
      </c>
      <c r="AC42" s="1535">
        <f t="shared" si="5"/>
        <v>1</v>
      </c>
    </row>
    <row r="43" spans="1:29" ht="15">
      <c r="A43" s="429"/>
      <c r="B43" s="379" t="s">
        <v>2395</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8"/>
      <c r="M43" s="2942"/>
      <c r="N43" s="2942"/>
      <c r="O43" s="2942"/>
      <c r="P43" s="3355"/>
      <c r="Q43" s="1534" t="str">
        <f t="shared" si="11"/>
        <v>内部装修维护情况</v>
      </c>
      <c r="R43" s="712" t="s">
        <v>17</v>
      </c>
      <c r="S43" s="713">
        <f t="shared" si="12"/>
        <v>100</v>
      </c>
      <c r="T43" s="712" t="s">
        <v>17</v>
      </c>
      <c r="U43" s="713">
        <f t="shared" si="13"/>
        <v>100</v>
      </c>
      <c r="V43" s="712" t="s">
        <v>17</v>
      </c>
      <c r="W43" s="713">
        <f t="shared" si="14"/>
        <v>100</v>
      </c>
      <c r="X43" s="1537"/>
      <c r="Y43" s="3321"/>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3"/>
      <c r="M44" s="2944"/>
      <c r="N44" s="2944"/>
      <c r="O44" s="2944"/>
      <c r="P44" s="3355"/>
      <c r="Q44" s="1525">
        <f t="shared" si="11"/>
        <v>111</v>
      </c>
      <c r="R44" s="708" t="s">
        <v>17</v>
      </c>
      <c r="S44" s="709">
        <f t="shared" si="12"/>
        <v>100</v>
      </c>
      <c r="T44" s="708" t="s">
        <v>17</v>
      </c>
      <c r="U44" s="709">
        <f t="shared" si="13"/>
        <v>100</v>
      </c>
      <c r="V44" s="708" t="s">
        <v>17</v>
      </c>
      <c r="W44" s="709">
        <f t="shared" si="14"/>
        <v>100</v>
      </c>
      <c r="X44" s="710"/>
      <c r="Y44" s="3321"/>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8"/>
      <c r="M45" s="2942"/>
      <c r="N45" s="2942"/>
      <c r="O45" s="2942"/>
      <c r="P45" s="3355"/>
      <c r="Q45" s="1534">
        <f t="shared" si="11"/>
        <v>111</v>
      </c>
      <c r="R45" s="712" t="s">
        <v>17</v>
      </c>
      <c r="S45" s="713">
        <f t="shared" si="12"/>
        <v>100</v>
      </c>
      <c r="T45" s="712" t="s">
        <v>17</v>
      </c>
      <c r="U45" s="713">
        <f t="shared" si="13"/>
        <v>100</v>
      </c>
      <c r="V45" s="712" t="s">
        <v>17</v>
      </c>
      <c r="W45" s="713">
        <f t="shared" si="14"/>
        <v>100</v>
      </c>
      <c r="X45" s="1537"/>
      <c r="Y45" s="3321"/>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8"/>
      <c r="M46" s="2942"/>
      <c r="N46" s="2942"/>
      <c r="O46" s="2942"/>
      <c r="P46" s="3356"/>
      <c r="Q46" s="1534">
        <f t="shared" si="11"/>
        <v>111</v>
      </c>
      <c r="R46" s="712" t="s">
        <v>17</v>
      </c>
      <c r="S46" s="713">
        <f t="shared" si="12"/>
        <v>100</v>
      </c>
      <c r="T46" s="712" t="s">
        <v>17</v>
      </c>
      <c r="U46" s="713">
        <f t="shared" si="13"/>
        <v>100</v>
      </c>
      <c r="V46" s="712" t="s">
        <v>17</v>
      </c>
      <c r="W46" s="713">
        <f t="shared" si="14"/>
        <v>100</v>
      </c>
      <c r="X46" s="1537"/>
      <c r="Y46" s="3357"/>
      <c r="Z46" s="1538">
        <f t="shared" si="15"/>
        <v>111</v>
      </c>
      <c r="AA46" s="1535">
        <f t="shared" si="3"/>
        <v>1</v>
      </c>
      <c r="AB46" s="1535">
        <f t="shared" si="4"/>
        <v>1</v>
      </c>
      <c r="AC46" s="1535">
        <f t="shared" si="5"/>
        <v>1</v>
      </c>
    </row>
    <row r="47" spans="1:29" ht="15">
      <c r="A47" s="436" t="s">
        <v>2396</v>
      </c>
      <c r="B47" s="437"/>
      <c r="C47" s="1314" t="s">
        <v>1</v>
      </c>
      <c r="D47" s="1315"/>
      <c r="E47" s="1316"/>
      <c r="F47" s="1317"/>
      <c r="G47" s="1318"/>
      <c r="H47" s="1319"/>
      <c r="I47" s="1316"/>
      <c r="J47" s="1319"/>
      <c r="K47" s="721"/>
      <c r="L47" s="2950"/>
      <c r="M47" s="2951"/>
      <c r="N47" s="2942"/>
      <c r="O47" s="2951"/>
      <c r="P47" s="3316" t="str">
        <f>A47</f>
        <v>成交单价（元/平方米）</v>
      </c>
      <c r="Q47" s="3316"/>
      <c r="R47" s="3322">
        <f>E47</f>
        <v>0</v>
      </c>
      <c r="S47" s="3322"/>
      <c r="T47" s="3322">
        <f>G47</f>
        <v>0</v>
      </c>
      <c r="U47" s="3322"/>
      <c r="V47" s="3322">
        <f>I47</f>
        <v>0</v>
      </c>
      <c r="W47" s="3322"/>
      <c r="X47" s="697"/>
      <c r="Y47" s="719"/>
      <c r="Z47" s="697"/>
      <c r="AA47" s="697"/>
      <c r="AB47" s="697"/>
      <c r="AC47" s="697"/>
    </row>
    <row r="48" spans="1:29" ht="15.75" thickBot="1">
      <c r="A48" s="443" t="s">
        <v>2488</v>
      </c>
      <c r="B48" s="444"/>
      <c r="C48" s="1320" t="e">
        <f>R49</f>
        <v>#DIV/0!</v>
      </c>
      <c r="D48" s="2536" t="s">
        <v>2878</v>
      </c>
      <c r="E48" s="1321" t="e">
        <f>R48</f>
        <v>#DIV/0!</v>
      </c>
      <c r="F48" s="2537"/>
      <c r="G48" s="1320" t="e">
        <f>T48</f>
        <v>#DIV/0!</v>
      </c>
      <c r="H48" s="2537"/>
      <c r="I48" s="1321" t="e">
        <f>V48</f>
        <v>#DIV/0!</v>
      </c>
      <c r="J48" s="2537"/>
      <c r="K48" s="2539">
        <f>F48+H48+J48</f>
        <v>0</v>
      </c>
      <c r="L48" s="2950"/>
      <c r="M48" s="2951"/>
      <c r="N48" s="2942"/>
      <c r="O48" s="2951"/>
      <c r="P48" s="3316" t="str">
        <f>A48</f>
        <v>比较价值（元/平方米）</v>
      </c>
      <c r="Q48" s="3316"/>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7"/>
      <c r="Y48" s="697"/>
      <c r="Z48" s="697"/>
      <c r="AA48" s="697"/>
      <c r="AB48" s="697"/>
      <c r="AC48" s="697"/>
    </row>
    <row r="49" spans="1:29" ht="15.75" thickBot="1">
      <c r="A49" s="447" t="s">
        <v>2489</v>
      </c>
      <c r="B49" s="448"/>
      <c r="C49" s="1323" t="e">
        <f>R49</f>
        <v>#DIV/0!</v>
      </c>
      <c r="D49" s="1323"/>
      <c r="E49" s="1323"/>
      <c r="F49" s="1323"/>
      <c r="G49" s="1323"/>
      <c r="H49" s="1323"/>
      <c r="I49" s="1323"/>
      <c r="J49" s="1323"/>
      <c r="K49" s="722"/>
      <c r="L49" s="2950"/>
      <c r="M49" s="2951"/>
      <c r="N49" s="2942"/>
      <c r="O49" s="2951"/>
      <c r="P49" s="3310" t="str">
        <f>A49</f>
        <v>估价对象XX用房的比较价值（楼面单价，元/平方米）</v>
      </c>
      <c r="Q49" s="3311"/>
      <c r="R49" s="3352" t="e">
        <f>IF(F1="售价",ROUND(IF(D48="简单平均",AVERAGE(R48:V48),R48*F48+T48*H48+V48*J48),0),ROUND(IF(D48="简单平均",AVERAGE(R48:V48),R48*F48+T48*H48+V48*J48),1))</f>
        <v>#DIV/0!</v>
      </c>
      <c r="S49" s="3352"/>
      <c r="T49" s="3352"/>
      <c r="U49" s="3352"/>
      <c r="V49" s="3352"/>
      <c r="W49" s="3352"/>
      <c r="X49" s="697"/>
      <c r="Y49" s="697"/>
      <c r="Z49" s="697"/>
      <c r="AA49" s="697"/>
      <c r="AB49" s="697"/>
      <c r="AC49" s="697"/>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2" t="s">
        <v>2490</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2" t="s">
        <v>2491</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7" customFormat="1" ht="13.5" customHeight="1">
      <c r="A54" s="2954"/>
      <c r="B54" s="2954"/>
      <c r="C54" s="452" t="s">
        <v>2492</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7"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1" t="s">
        <v>2493</v>
      </c>
      <c r="B57" s="697"/>
      <c r="C57" s="702"/>
      <c r="D57" s="702"/>
      <c r="E57" s="702"/>
      <c r="F57" s="703"/>
      <c r="G57" s="703"/>
      <c r="H57" s="702"/>
      <c r="I57" s="702"/>
      <c r="J57" s="702"/>
      <c r="K57" s="704"/>
      <c r="L57" s="1071"/>
      <c r="M57" s="1069"/>
      <c r="N57" s="1069"/>
      <c r="O57" s="1069"/>
      <c r="P57" s="2964"/>
      <c r="Q57" s="2965"/>
      <c r="R57" s="2951"/>
      <c r="S57" s="2951"/>
      <c r="T57" s="2951"/>
      <c r="U57" s="2951"/>
      <c r="V57" s="2951"/>
      <c r="W57" s="2951"/>
      <c r="X57" s="2951"/>
      <c r="Y57" s="2951"/>
      <c r="Z57" s="2951"/>
      <c r="AA57" s="2951"/>
      <c r="AB57" s="2951"/>
      <c r="AC57" s="2951"/>
    </row>
    <row r="58" spans="1:29" s="463" customFormat="1" ht="15">
      <c r="A58" s="460" t="s">
        <v>2367</v>
      </c>
      <c r="B58" s="461"/>
      <c r="C58" s="1344" t="str">
        <f>YEAR(C7)&amp;"-"&amp;MONTH(C7)</f>
        <v>2021-4</v>
      </c>
      <c r="D58" s="1345">
        <f>EDATE(C58,-1)</f>
        <v>44256</v>
      </c>
      <c r="E58" s="1345">
        <f t="shared" ref="E58:N58" si="16">EDATE(D58,-1)</f>
        <v>44228</v>
      </c>
      <c r="F58" s="1345">
        <f t="shared" si="16"/>
        <v>44197</v>
      </c>
      <c r="G58" s="1345">
        <f t="shared" si="16"/>
        <v>44166</v>
      </c>
      <c r="H58" s="1345">
        <f t="shared" si="16"/>
        <v>44136</v>
      </c>
      <c r="I58" s="1345">
        <f t="shared" si="16"/>
        <v>44105</v>
      </c>
      <c r="J58" s="1345">
        <f t="shared" si="16"/>
        <v>44075</v>
      </c>
      <c r="K58" s="1345">
        <f t="shared" si="16"/>
        <v>44044</v>
      </c>
      <c r="L58" s="1345">
        <f t="shared" si="16"/>
        <v>44013</v>
      </c>
      <c r="M58" s="1345">
        <f t="shared" si="16"/>
        <v>43983</v>
      </c>
      <c r="N58" s="1345">
        <f t="shared" si="16"/>
        <v>43952</v>
      </c>
      <c r="O58" s="1345">
        <f>EDATE(N58,-1)</f>
        <v>43922</v>
      </c>
      <c r="P58" s="2966"/>
      <c r="Q58" s="2967"/>
      <c r="R58" s="2967"/>
      <c r="S58" s="2967"/>
      <c r="T58" s="2967"/>
      <c r="U58" s="2967"/>
      <c r="V58" s="2967"/>
      <c r="W58" s="2967"/>
      <c r="X58" s="2967"/>
      <c r="Y58" s="2967"/>
      <c r="Z58" s="2967"/>
      <c r="AA58" s="2967"/>
      <c r="AB58" s="2967"/>
      <c r="AC58" s="2967"/>
    </row>
    <row r="59" spans="1:29" s="112" customFormat="1" ht="15">
      <c r="A59" s="464"/>
      <c r="B59" s="465"/>
      <c r="C59" s="1343">
        <v>100</v>
      </c>
      <c r="D59" s="467"/>
      <c r="E59" s="467"/>
      <c r="F59" s="467"/>
      <c r="G59" s="467"/>
      <c r="H59" s="467"/>
      <c r="I59" s="467"/>
      <c r="J59" s="467"/>
      <c r="K59" s="467"/>
      <c r="L59" s="467"/>
      <c r="M59" s="468"/>
      <c r="N59" s="467"/>
      <c r="O59" s="468"/>
      <c r="P59" s="2968"/>
      <c r="Q59" s="2885"/>
      <c r="R59" s="2885"/>
      <c r="S59" s="2885"/>
      <c r="T59" s="2885"/>
      <c r="U59" s="2885"/>
      <c r="V59" s="2885"/>
      <c r="W59" s="2885"/>
      <c r="X59" s="2885"/>
      <c r="Y59" s="2885"/>
      <c r="Z59" s="2885"/>
      <c r="AA59" s="2885"/>
      <c r="AB59" s="2885"/>
      <c r="AC59" s="2885"/>
    </row>
    <row r="60" spans="1:29" s="112" customFormat="1" ht="15.75" thickBot="1">
      <c r="A60" s="470" t="s">
        <v>2404</v>
      </c>
      <c r="B60" s="471"/>
      <c r="C60" s="472"/>
      <c r="D60" s="473"/>
      <c r="E60" s="473"/>
      <c r="F60" s="473"/>
      <c r="G60" s="473"/>
      <c r="H60" s="473"/>
      <c r="I60" s="473"/>
      <c r="J60" s="473"/>
      <c r="K60" s="473"/>
      <c r="L60" s="473"/>
      <c r="M60" s="474"/>
      <c r="N60" s="473"/>
      <c r="O60" s="474"/>
      <c r="P60" s="2968"/>
      <c r="Q60" s="2965"/>
      <c r="R60" s="2885"/>
      <c r="S60" s="2885"/>
      <c r="T60" s="2885"/>
      <c r="U60" s="2885"/>
      <c r="V60" s="2885"/>
      <c r="W60" s="2885"/>
      <c r="X60" s="2885"/>
      <c r="Y60" s="2885"/>
      <c r="Z60" s="2885"/>
      <c r="AA60" s="2885"/>
      <c r="AB60" s="2885"/>
      <c r="AC60" s="2885"/>
    </row>
    <row r="61" spans="1:29" s="112" customFormat="1" ht="15">
      <c r="A61" s="476" t="s">
        <v>2369</v>
      </c>
      <c r="B61" s="465"/>
      <c r="C61" s="477" t="s">
        <v>2471</v>
      </c>
      <c r="D61" s="478"/>
      <c r="E61" s="478"/>
      <c r="F61" s="478"/>
      <c r="G61" s="478"/>
      <c r="H61" s="478"/>
      <c r="I61" s="478"/>
      <c r="J61" s="478"/>
      <c r="K61" s="478"/>
      <c r="L61" s="479"/>
      <c r="M61" s="480"/>
      <c r="N61" s="2978"/>
      <c r="O61" s="2978"/>
      <c r="P61" s="2969"/>
      <c r="Q61" s="2965"/>
      <c r="R61" s="2885"/>
      <c r="S61" s="2885"/>
      <c r="T61" s="2885"/>
      <c r="U61" s="2885"/>
      <c r="V61" s="2885"/>
      <c r="W61" s="2885"/>
      <c r="X61" s="2885"/>
      <c r="Y61" s="2885"/>
      <c r="Z61" s="2885"/>
      <c r="AA61" s="2885"/>
      <c r="AB61" s="2885"/>
      <c r="AC61" s="2885"/>
    </row>
    <row r="62" spans="1:29" s="112" customFormat="1" ht="15.75" thickBot="1">
      <c r="A62" s="476"/>
      <c r="B62" s="465"/>
      <c r="C62" s="466">
        <v>100</v>
      </c>
      <c r="D62" s="467"/>
      <c r="E62" s="467"/>
      <c r="F62" s="467"/>
      <c r="G62" s="467"/>
      <c r="H62" s="467"/>
      <c r="I62" s="467"/>
      <c r="J62" s="467"/>
      <c r="K62" s="467"/>
      <c r="L62" s="467"/>
      <c r="M62" s="469"/>
      <c r="N62" s="2978"/>
      <c r="O62" s="2978"/>
      <c r="P62" s="2968"/>
      <c r="Q62" s="2965"/>
      <c r="R62" s="2885"/>
      <c r="S62" s="2885"/>
      <c r="T62" s="2885"/>
      <c r="U62" s="2885"/>
      <c r="V62" s="2885"/>
      <c r="W62" s="2885"/>
      <c r="X62" s="2885"/>
      <c r="Y62" s="2885"/>
      <c r="Z62" s="2885"/>
      <c r="AA62" s="2885"/>
      <c r="AB62" s="2885"/>
      <c r="AC62" s="2885"/>
    </row>
    <row r="63" spans="1:29">
      <c r="A63" s="482" t="s">
        <v>2407</v>
      </c>
      <c r="B63" s="483" t="s">
        <v>2373</v>
      </c>
      <c r="C63" s="484">
        <f>C9</f>
        <v>0</v>
      </c>
      <c r="D63" s="485"/>
      <c r="E63" s="485"/>
      <c r="F63" s="485"/>
      <c r="G63" s="485"/>
      <c r="H63" s="485"/>
      <c r="I63" s="485"/>
      <c r="J63" s="485"/>
      <c r="K63" s="486"/>
      <c r="L63" s="487"/>
      <c r="M63" s="488"/>
      <c r="N63" s="2979"/>
      <c r="O63" s="2979"/>
      <c r="P63" s="2970"/>
      <c r="Q63" s="2965"/>
      <c r="R63" s="2951"/>
      <c r="S63" s="2951"/>
      <c r="T63" s="2951"/>
      <c r="U63" s="2951"/>
      <c r="V63" s="2951"/>
      <c r="W63" s="2951"/>
      <c r="X63" s="2951"/>
      <c r="Y63" s="2951"/>
      <c r="Z63" s="2951"/>
      <c r="AA63" s="2951"/>
      <c r="AB63" s="2951"/>
      <c r="AC63" s="2951"/>
    </row>
    <row r="64" spans="1:29" ht="15.75" thickBot="1">
      <c r="A64" s="489"/>
      <c r="B64" s="490"/>
      <c r="C64" s="491">
        <v>100</v>
      </c>
      <c r="D64" s="491"/>
      <c r="E64" s="491"/>
      <c r="F64" s="491"/>
      <c r="G64" s="491"/>
      <c r="H64" s="491"/>
      <c r="I64" s="491"/>
      <c r="J64" s="491"/>
      <c r="K64" s="491"/>
      <c r="L64" s="491"/>
      <c r="M64" s="492"/>
      <c r="N64" s="2980"/>
      <c r="O64" s="2980"/>
      <c r="P64" s="2970"/>
      <c r="Q64" s="2965"/>
      <c r="R64" s="2951"/>
      <c r="S64" s="2951"/>
      <c r="T64" s="2951"/>
      <c r="U64" s="2951"/>
      <c r="V64" s="2951"/>
      <c r="W64" s="2951"/>
      <c r="X64" s="2951"/>
      <c r="Y64" s="2951"/>
      <c r="Z64" s="2951"/>
      <c r="AA64" s="2951"/>
      <c r="AB64" s="2951"/>
      <c r="AC64" s="2951"/>
    </row>
    <row r="65" spans="1:29" ht="27.75" thickTop="1">
      <c r="A65" s="489"/>
      <c r="B65" s="493" t="s">
        <v>2376</v>
      </c>
      <c r="C65" s="494" t="s">
        <v>2408</v>
      </c>
      <c r="D65" s="494" t="s">
        <v>2409</v>
      </c>
      <c r="E65" s="494" t="s">
        <v>2410</v>
      </c>
      <c r="F65" s="494" t="s">
        <v>2411</v>
      </c>
      <c r="G65" s="494" t="s">
        <v>2412</v>
      </c>
      <c r="H65" s="494" t="s">
        <v>2413</v>
      </c>
      <c r="I65" s="494" t="s">
        <v>2414</v>
      </c>
      <c r="J65" s="494"/>
      <c r="K65" s="495"/>
      <c r="L65" s="496"/>
      <c r="M65" s="497"/>
      <c r="N65" s="2979"/>
      <c r="O65" s="2979"/>
      <c r="P65" s="2970"/>
      <c r="Q65" s="2965"/>
      <c r="R65" s="2951"/>
      <c r="S65" s="2951"/>
      <c r="T65" s="2951"/>
      <c r="U65" s="2951"/>
      <c r="V65" s="2951"/>
      <c r="W65" s="2951"/>
      <c r="X65" s="2951"/>
      <c r="Y65" s="2951"/>
      <c r="Z65" s="2951"/>
      <c r="AA65" s="2951"/>
      <c r="AB65" s="2951"/>
      <c r="AC65" s="2951"/>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0"/>
      <c r="O66" s="2980"/>
      <c r="P66" s="2970"/>
      <c r="Q66" s="2965"/>
      <c r="R66" s="2951"/>
      <c r="S66" s="2951"/>
      <c r="T66" s="2951"/>
      <c r="U66" s="2951"/>
      <c r="V66" s="2951"/>
      <c r="W66" s="2951"/>
      <c r="X66" s="2951"/>
      <c r="Y66" s="2951"/>
      <c r="Z66" s="2951"/>
      <c r="AA66" s="2951"/>
      <c r="AB66" s="2951"/>
      <c r="AC66" s="2951"/>
    </row>
    <row r="67" spans="1:29" ht="15.75" thickTop="1">
      <c r="A67" s="489"/>
      <c r="B67" s="501" t="s">
        <v>2377</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9"/>
      <c r="B68" s="503"/>
      <c r="C68" s="504"/>
      <c r="D68" s="504"/>
      <c r="E68" s="504"/>
      <c r="F68" s="504"/>
      <c r="G68" s="504"/>
      <c r="H68" s="504"/>
      <c r="I68" s="504"/>
      <c r="J68" s="504"/>
      <c r="K68" s="505"/>
      <c r="L68" s="506"/>
      <c r="M68" s="507"/>
      <c r="N68" s="2979"/>
      <c r="O68" s="2979"/>
      <c r="P68" s="2970"/>
      <c r="Q68" s="2965"/>
      <c r="R68" s="2951"/>
      <c r="S68" s="2951"/>
      <c r="T68" s="2951"/>
      <c r="U68" s="2951"/>
      <c r="V68" s="2951"/>
      <c r="W68" s="2951"/>
      <c r="X68" s="2951"/>
      <c r="Y68" s="2951"/>
      <c r="Z68" s="2951"/>
      <c r="AA68" s="2951"/>
      <c r="AB68" s="2951"/>
      <c r="AC68" s="2951"/>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0"/>
      <c r="O69" s="2980"/>
      <c r="P69" s="2970"/>
      <c r="Q69" s="2965"/>
      <c r="R69" s="2951"/>
      <c r="S69" s="2951"/>
      <c r="T69" s="2951"/>
      <c r="U69" s="2951"/>
      <c r="V69" s="2951"/>
      <c r="W69" s="2951"/>
      <c r="X69" s="2951"/>
      <c r="Y69" s="2951"/>
      <c r="Z69" s="2951"/>
      <c r="AA69" s="2951"/>
      <c r="AB69" s="2951"/>
      <c r="AC69" s="2951"/>
    </row>
    <row r="70" spans="1:29" s="428" customFormat="1" ht="15.75" thickTop="1">
      <c r="A70" s="508"/>
      <c r="B70" s="493">
        <f>B12</f>
        <v>111</v>
      </c>
      <c r="C70" s="509"/>
      <c r="D70" s="509"/>
      <c r="E70" s="509"/>
      <c r="F70" s="509"/>
      <c r="G70" s="509"/>
      <c r="H70" s="510"/>
      <c r="I70" s="510"/>
      <c r="J70" s="510"/>
      <c r="K70" s="510"/>
      <c r="L70" s="511"/>
      <c r="M70" s="512"/>
      <c r="N70" s="2981"/>
      <c r="O70" s="2981"/>
      <c r="P70" s="2971"/>
      <c r="Q70" s="2972"/>
      <c r="R70" s="2973"/>
      <c r="S70" s="2973"/>
      <c r="T70" s="2973"/>
      <c r="U70" s="2973"/>
      <c r="V70" s="2973"/>
      <c r="W70" s="2973"/>
      <c r="X70" s="2973"/>
      <c r="Y70" s="2973"/>
      <c r="Z70" s="2973"/>
      <c r="AA70" s="2973"/>
      <c r="AB70" s="2973"/>
      <c r="AC70" s="2973"/>
    </row>
    <row r="71" spans="1:29" s="428" customFormat="1" ht="15.75" thickBot="1">
      <c r="A71" s="508"/>
      <c r="B71" s="498"/>
      <c r="C71" s="515"/>
      <c r="D71" s="491"/>
      <c r="E71" s="491"/>
      <c r="F71" s="491"/>
      <c r="G71" s="491"/>
      <c r="H71" s="491"/>
      <c r="I71" s="491"/>
      <c r="J71" s="491"/>
      <c r="K71" s="491"/>
      <c r="L71" s="491"/>
      <c r="M71" s="492"/>
      <c r="N71" s="2980"/>
      <c r="O71" s="2980"/>
      <c r="P71" s="2971"/>
      <c r="Q71" s="2972"/>
      <c r="R71" s="2973"/>
      <c r="S71" s="2973"/>
      <c r="T71" s="2973"/>
      <c r="U71" s="2973"/>
      <c r="V71" s="2973"/>
      <c r="W71" s="2973"/>
      <c r="X71" s="2973"/>
      <c r="Y71" s="2973"/>
      <c r="Z71" s="2973"/>
      <c r="AA71" s="2973"/>
      <c r="AB71" s="2973"/>
      <c r="AC71" s="2973"/>
    </row>
    <row r="72" spans="1:29" s="428" customFormat="1" ht="15.75" thickTop="1">
      <c r="A72" s="508"/>
      <c r="B72" s="493">
        <f>B13</f>
        <v>111</v>
      </c>
      <c r="C72" s="509"/>
      <c r="D72" s="509"/>
      <c r="E72" s="509"/>
      <c r="F72" s="509"/>
      <c r="G72" s="509"/>
      <c r="H72" s="510"/>
      <c r="I72" s="510"/>
      <c r="J72" s="510"/>
      <c r="K72" s="510"/>
      <c r="L72" s="511"/>
      <c r="M72" s="512"/>
      <c r="N72" s="2981"/>
      <c r="O72" s="2981"/>
      <c r="P72" s="2974"/>
      <c r="Q72" s="2975"/>
      <c r="R72" s="2973"/>
      <c r="S72" s="2973"/>
      <c r="T72" s="2973"/>
      <c r="U72" s="2973"/>
      <c r="V72" s="2973"/>
      <c r="W72" s="2973"/>
      <c r="X72" s="2973"/>
      <c r="Y72" s="2973"/>
      <c r="Z72" s="2973"/>
      <c r="AA72" s="2973"/>
      <c r="AB72" s="2973"/>
      <c r="AC72" s="2973"/>
    </row>
    <row r="73" spans="1:29" s="428" customFormat="1" ht="15.75" thickBot="1">
      <c r="A73" s="508"/>
      <c r="B73" s="498"/>
      <c r="C73" s="515"/>
      <c r="D73" s="491"/>
      <c r="E73" s="491"/>
      <c r="F73" s="491"/>
      <c r="G73" s="515"/>
      <c r="H73" s="517"/>
      <c r="I73" s="517"/>
      <c r="J73" s="517"/>
      <c r="K73" s="517"/>
      <c r="L73" s="517"/>
      <c r="M73" s="518"/>
      <c r="N73" s="2981"/>
      <c r="O73" s="2981"/>
      <c r="P73" s="2971"/>
      <c r="Q73" s="2972"/>
      <c r="R73" s="2973"/>
      <c r="S73" s="2973"/>
      <c r="T73" s="2973"/>
      <c r="U73" s="2973"/>
      <c r="V73" s="2973"/>
      <c r="W73" s="2973"/>
      <c r="X73" s="2973"/>
      <c r="Y73" s="2973"/>
      <c r="Z73" s="2973"/>
      <c r="AA73" s="2973"/>
      <c r="AB73" s="2973"/>
      <c r="AC73" s="2973"/>
    </row>
    <row r="74" spans="1:29" s="428" customFormat="1" ht="15.75" thickTop="1">
      <c r="A74" s="508"/>
      <c r="B74" s="501">
        <f>B14</f>
        <v>111</v>
      </c>
      <c r="C74" s="509"/>
      <c r="D74" s="509"/>
      <c r="E74" s="509"/>
      <c r="F74" s="509"/>
      <c r="G74" s="478"/>
      <c r="H74" s="519"/>
      <c r="I74" s="519"/>
      <c r="J74" s="519"/>
      <c r="K74" s="519"/>
      <c r="L74" s="520"/>
      <c r="M74" s="521"/>
      <c r="N74" s="2981"/>
      <c r="O74" s="2981"/>
      <c r="P74" s="2976"/>
      <c r="Q74" s="2972"/>
      <c r="R74" s="2973"/>
      <c r="S74" s="2973"/>
      <c r="T74" s="2973"/>
      <c r="U74" s="2973"/>
      <c r="V74" s="2973"/>
      <c r="W74" s="2973"/>
      <c r="X74" s="2973"/>
      <c r="Y74" s="2973"/>
      <c r="Z74" s="2973"/>
      <c r="AA74" s="2973"/>
      <c r="AB74" s="2973"/>
      <c r="AC74" s="2973"/>
    </row>
    <row r="75" spans="1:29" s="428" customFormat="1" ht="15.75" thickBot="1">
      <c r="A75" s="523"/>
      <c r="B75" s="524"/>
      <c r="C75" s="525"/>
      <c r="D75" s="525"/>
      <c r="E75" s="525"/>
      <c r="F75" s="525"/>
      <c r="G75" s="525"/>
      <c r="H75" s="526"/>
      <c r="I75" s="526"/>
      <c r="J75" s="526"/>
      <c r="K75" s="526"/>
      <c r="L75" s="526"/>
      <c r="M75" s="527"/>
      <c r="N75" s="2981"/>
      <c r="O75" s="2981"/>
      <c r="P75" s="2971"/>
      <c r="Q75" s="2972"/>
      <c r="R75" s="2973"/>
      <c r="S75" s="2973"/>
      <c r="T75" s="2973"/>
      <c r="U75" s="2973"/>
      <c r="V75" s="2973"/>
      <c r="W75" s="2973"/>
      <c r="X75" s="2973"/>
      <c r="Y75" s="2973"/>
      <c r="Z75" s="2973"/>
      <c r="AA75" s="2973"/>
      <c r="AB75" s="2973"/>
      <c r="AC75" s="2973"/>
    </row>
    <row r="76" spans="1:29">
      <c r="A76" s="482" t="s">
        <v>2378</v>
      </c>
      <c r="B76" s="483" t="s">
        <v>2415</v>
      </c>
      <c r="C76" s="528" t="s">
        <v>2416</v>
      </c>
      <c r="D76" s="528" t="s">
        <v>2417</v>
      </c>
      <c r="E76" s="528" t="s">
        <v>2418</v>
      </c>
      <c r="F76" s="528" t="s">
        <v>2419</v>
      </c>
      <c r="G76" s="528" t="s">
        <v>2420</v>
      </c>
      <c r="H76" s="484"/>
      <c r="I76" s="484"/>
      <c r="J76" s="484"/>
      <c r="K76" s="529"/>
      <c r="L76" s="530"/>
      <c r="M76" s="531"/>
      <c r="N76" s="2979"/>
      <c r="O76" s="2979"/>
      <c r="P76" s="2977"/>
      <c r="Q76" s="2965"/>
      <c r="R76" s="2951"/>
      <c r="S76" s="2951"/>
      <c r="T76" s="2951"/>
      <c r="U76" s="2951"/>
      <c r="V76" s="2951"/>
      <c r="W76" s="2951"/>
      <c r="X76" s="2951"/>
      <c r="Y76" s="2951"/>
      <c r="Z76" s="2951"/>
      <c r="AA76" s="2951"/>
      <c r="AB76" s="2951"/>
      <c r="AC76" s="2951"/>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0"/>
      <c r="O77" s="2980"/>
      <c r="P77" s="2970"/>
      <c r="Q77" s="2965"/>
      <c r="R77" s="2951"/>
      <c r="S77" s="2951"/>
      <c r="T77" s="2951"/>
      <c r="U77" s="2951"/>
      <c r="V77" s="2951"/>
      <c r="W77" s="2951"/>
      <c r="X77" s="2951"/>
      <c r="Y77" s="2951"/>
      <c r="Z77" s="2951"/>
      <c r="AA77" s="2951"/>
      <c r="AB77" s="2951"/>
      <c r="AC77" s="2951"/>
    </row>
    <row r="78" spans="1:29" ht="15.75" thickTop="1">
      <c r="A78" s="489"/>
      <c r="B78" s="493" t="s">
        <v>2421</v>
      </c>
      <c r="C78" s="533" t="s">
        <v>2416</v>
      </c>
      <c r="D78" s="533" t="s">
        <v>2417</v>
      </c>
      <c r="E78" s="533" t="s">
        <v>2418</v>
      </c>
      <c r="F78" s="533" t="s">
        <v>2419</v>
      </c>
      <c r="G78" s="533" t="s">
        <v>2420</v>
      </c>
      <c r="H78" s="494"/>
      <c r="I78" s="494"/>
      <c r="J78" s="494"/>
      <c r="K78" s="495"/>
      <c r="L78" s="496"/>
      <c r="M78" s="497"/>
      <c r="N78" s="2979"/>
      <c r="O78" s="2979"/>
      <c r="P78" s="2970"/>
      <c r="Q78" s="2965"/>
      <c r="R78" s="2951"/>
      <c r="S78" s="2951"/>
      <c r="T78" s="2951"/>
      <c r="U78" s="2951"/>
      <c r="V78" s="2951"/>
      <c r="W78" s="2951"/>
      <c r="X78" s="2951"/>
      <c r="Y78" s="2951"/>
      <c r="Z78" s="2951"/>
      <c r="AA78" s="2951"/>
      <c r="AB78" s="2951"/>
      <c r="AC78" s="2951"/>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0"/>
      <c r="O79" s="2980"/>
      <c r="P79" s="2970"/>
      <c r="Q79" s="2965"/>
      <c r="R79" s="2951"/>
      <c r="S79" s="2951"/>
      <c r="T79" s="2951"/>
      <c r="U79" s="2951"/>
      <c r="V79" s="2951"/>
      <c r="W79" s="2951"/>
      <c r="X79" s="2951"/>
      <c r="Y79" s="2951"/>
      <c r="Z79" s="2951"/>
      <c r="AA79" s="2951"/>
      <c r="AB79" s="2951"/>
      <c r="AC79" s="2951"/>
    </row>
    <row r="80" spans="1:29" ht="15.75" thickTop="1">
      <c r="A80" s="489"/>
      <c r="B80" s="493" t="s">
        <v>2422</v>
      </c>
      <c r="C80" s="533" t="s">
        <v>2416</v>
      </c>
      <c r="D80" s="533" t="s">
        <v>2417</v>
      </c>
      <c r="E80" s="533" t="s">
        <v>2418</v>
      </c>
      <c r="F80" s="533" t="s">
        <v>2419</v>
      </c>
      <c r="G80" s="533" t="s">
        <v>2420</v>
      </c>
      <c r="H80" s="494"/>
      <c r="I80" s="494"/>
      <c r="J80" s="494"/>
      <c r="K80" s="495"/>
      <c r="L80" s="496"/>
      <c r="M80" s="497"/>
      <c r="N80" s="2979"/>
      <c r="O80" s="2979"/>
      <c r="P80" s="2970"/>
      <c r="Q80" s="2965"/>
      <c r="R80" s="2951"/>
      <c r="S80" s="2951"/>
      <c r="T80" s="2951"/>
      <c r="U80" s="2951"/>
      <c r="V80" s="2951"/>
      <c r="W80" s="2951"/>
      <c r="X80" s="2951"/>
      <c r="Y80" s="2951"/>
      <c r="Z80" s="2951"/>
      <c r="AA80" s="2951"/>
      <c r="AB80" s="2951"/>
      <c r="AC80" s="2951"/>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0"/>
      <c r="O81" s="2980"/>
      <c r="P81" s="2970"/>
      <c r="Q81" s="2965"/>
      <c r="R81" s="2951"/>
      <c r="S81" s="2951"/>
      <c r="T81" s="2951"/>
      <c r="U81" s="2951"/>
      <c r="V81" s="2951"/>
      <c r="W81" s="2951"/>
      <c r="X81" s="2951"/>
      <c r="Y81" s="2951"/>
      <c r="Z81" s="2951"/>
      <c r="AA81" s="2951"/>
      <c r="AB81" s="2951"/>
      <c r="AC81" s="2951"/>
    </row>
    <row r="82" spans="1:29" ht="15.75" thickTop="1">
      <c r="A82" s="489"/>
      <c r="B82" s="501" t="s">
        <v>2474</v>
      </c>
      <c r="C82" s="614" t="s">
        <v>2494</v>
      </c>
      <c r="D82" s="614" t="s">
        <v>2495</v>
      </c>
      <c r="E82" s="614" t="s">
        <v>2496</v>
      </c>
      <c r="F82" s="614" t="s">
        <v>2497</v>
      </c>
      <c r="G82" s="614" t="s">
        <v>2498</v>
      </c>
      <c r="H82" s="494"/>
      <c r="I82" s="494"/>
      <c r="J82" s="494"/>
      <c r="K82" s="494"/>
      <c r="L82" s="494"/>
      <c r="M82" s="1289"/>
      <c r="N82" s="2980"/>
      <c r="O82" s="2980"/>
      <c r="P82" s="2970"/>
      <c r="Q82" s="2965"/>
      <c r="R82" s="2951"/>
      <c r="S82" s="2951"/>
      <c r="T82" s="2951"/>
      <c r="U82" s="2951"/>
      <c r="V82" s="2951"/>
      <c r="W82" s="2951"/>
      <c r="X82" s="2951"/>
      <c r="Y82" s="2951"/>
      <c r="Z82" s="2951"/>
      <c r="AA82" s="2951"/>
      <c r="AB82" s="2951"/>
      <c r="AC82" s="2951"/>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0"/>
      <c r="O83" s="2980"/>
      <c r="P83" s="2970"/>
      <c r="Q83" s="2965"/>
      <c r="R83" s="2951"/>
      <c r="S83" s="2951"/>
      <c r="T83" s="2951"/>
      <c r="U83" s="2951"/>
      <c r="V83" s="2951"/>
      <c r="W83" s="2951"/>
      <c r="X83" s="2951"/>
      <c r="Y83" s="2951"/>
      <c r="Z83" s="2951"/>
      <c r="AA83" s="2951"/>
      <c r="AB83" s="2951"/>
      <c r="AC83" s="2951"/>
    </row>
    <row r="84" spans="1:29" ht="15.75" thickTop="1">
      <c r="A84" s="489"/>
      <c r="B84" s="493" t="s">
        <v>2428</v>
      </c>
      <c r="C84" s="533" t="s">
        <v>2416</v>
      </c>
      <c r="D84" s="533" t="s">
        <v>2417</v>
      </c>
      <c r="E84" s="533" t="s">
        <v>2418</v>
      </c>
      <c r="F84" s="533" t="s">
        <v>2419</v>
      </c>
      <c r="G84" s="533" t="s">
        <v>2420</v>
      </c>
      <c r="H84" s="494"/>
      <c r="I84" s="494"/>
      <c r="J84" s="494"/>
      <c r="K84" s="495"/>
      <c r="L84" s="496"/>
      <c r="M84" s="497"/>
      <c r="N84" s="2979"/>
      <c r="O84" s="2979"/>
      <c r="P84" s="2970"/>
      <c r="Q84" s="2965"/>
      <c r="R84" s="2951"/>
      <c r="S84" s="2951"/>
      <c r="T84" s="2951"/>
      <c r="U84" s="2951"/>
      <c r="V84" s="2951"/>
      <c r="W84" s="2951"/>
      <c r="X84" s="2951"/>
      <c r="Y84" s="2951"/>
      <c r="Z84" s="2951"/>
      <c r="AA84" s="2951"/>
      <c r="AB84" s="2951"/>
      <c r="AC84" s="2951"/>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0"/>
      <c r="O85" s="2980"/>
      <c r="P85" s="2970"/>
      <c r="Q85" s="2965"/>
      <c r="R85" s="2951"/>
      <c r="S85" s="2951"/>
      <c r="T85" s="2951"/>
      <c r="U85" s="2951"/>
      <c r="V85" s="2951"/>
      <c r="W85" s="2951"/>
      <c r="X85" s="2951"/>
      <c r="Y85" s="2951"/>
      <c r="Z85" s="2951"/>
      <c r="AA85" s="2951"/>
      <c r="AB85" s="2951"/>
      <c r="AC85" s="2951"/>
    </row>
    <row r="86" spans="1:29" s="112" customFormat="1" ht="15.75" thickTop="1">
      <c r="A86" s="534"/>
      <c r="B86" s="493" t="s">
        <v>2499</v>
      </c>
      <c r="C86" s="509"/>
      <c r="D86" s="509"/>
      <c r="E86" s="509"/>
      <c r="F86" s="509"/>
      <c r="G86" s="509"/>
      <c r="H86" s="509"/>
      <c r="I86" s="509"/>
      <c r="J86" s="509"/>
      <c r="K86" s="509"/>
      <c r="L86" s="535"/>
      <c r="M86" s="536"/>
      <c r="N86" s="2978"/>
      <c r="O86" s="2978"/>
      <c r="P86" s="2970"/>
      <c r="Q86" s="2965"/>
      <c r="R86" s="2885"/>
      <c r="S86" s="2885"/>
      <c r="T86" s="2885"/>
      <c r="U86" s="2885"/>
      <c r="V86" s="2885"/>
      <c r="W86" s="2885"/>
      <c r="X86" s="2885"/>
      <c r="Y86" s="2885"/>
      <c r="Z86" s="2885"/>
      <c r="AA86" s="2885"/>
      <c r="AB86" s="2885"/>
      <c r="AC86" s="2885"/>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4"/>
      <c r="B88" s="493" t="str">
        <f>B26</f>
        <v>平面位置/可视性</v>
      </c>
      <c r="C88" s="509"/>
      <c r="D88" s="509"/>
      <c r="E88" s="509"/>
      <c r="F88" s="2111"/>
      <c r="G88" s="509"/>
      <c r="H88" s="509"/>
      <c r="I88" s="509"/>
      <c r="J88" s="509"/>
      <c r="K88" s="509"/>
      <c r="L88" s="509"/>
      <c r="M88" s="536"/>
      <c r="N88" s="2978"/>
      <c r="O88" s="2978"/>
      <c r="P88" s="2970"/>
      <c r="Q88" s="2965"/>
      <c r="R88" s="2885"/>
      <c r="S88" s="2885"/>
      <c r="T88" s="2885"/>
      <c r="U88" s="2885"/>
      <c r="V88" s="2885"/>
      <c r="W88" s="2885"/>
      <c r="X88" s="2885"/>
      <c r="Y88" s="2885"/>
      <c r="Z88" s="2885"/>
      <c r="AA88" s="2885"/>
      <c r="AB88" s="2885"/>
      <c r="AC88" s="2885"/>
    </row>
    <row r="89" spans="1:29" s="112" customFormat="1" ht="15.75" thickBot="1">
      <c r="A89" s="534"/>
      <c r="B89" s="498"/>
      <c r="C89" s="515"/>
      <c r="D89" s="491"/>
      <c r="E89" s="491"/>
      <c r="F89" s="491"/>
      <c r="G89" s="491"/>
      <c r="H89" s="491"/>
      <c r="I89" s="491"/>
      <c r="J89" s="491"/>
      <c r="K89" s="491"/>
      <c r="L89" s="491"/>
      <c r="M89" s="491"/>
      <c r="N89" s="2980"/>
      <c r="O89" s="2980"/>
      <c r="P89" s="2970"/>
      <c r="Q89" s="2965"/>
      <c r="R89" s="2885"/>
      <c r="S89" s="2885"/>
      <c r="T89" s="2885"/>
      <c r="U89" s="2885"/>
      <c r="V89" s="2885"/>
      <c r="W89" s="2885"/>
      <c r="X89" s="2885"/>
      <c r="Y89" s="2885"/>
      <c r="Z89" s="2885"/>
      <c r="AA89" s="2885"/>
      <c r="AB89" s="2885"/>
      <c r="AC89" s="2885"/>
    </row>
    <row r="90" spans="1:29" s="428" customFormat="1" ht="15.75" thickTop="1">
      <c r="A90" s="508"/>
      <c r="B90" s="493" t="str">
        <f>B27</f>
        <v>人流量</v>
      </c>
      <c r="C90" s="509"/>
      <c r="D90" s="509"/>
      <c r="E90" s="509"/>
      <c r="F90" s="509"/>
      <c r="G90" s="509"/>
      <c r="H90" s="510"/>
      <c r="I90" s="510"/>
      <c r="J90" s="510"/>
      <c r="K90" s="510"/>
      <c r="L90" s="511"/>
      <c r="M90" s="512"/>
      <c r="N90" s="2981"/>
      <c r="O90" s="2981"/>
      <c r="P90" s="2971"/>
      <c r="Q90" s="2972"/>
      <c r="R90" s="2973"/>
      <c r="S90" s="2973"/>
      <c r="T90" s="2973"/>
      <c r="U90" s="2973"/>
      <c r="V90" s="2973"/>
      <c r="W90" s="2973"/>
      <c r="X90" s="2973"/>
      <c r="Y90" s="2973"/>
      <c r="Z90" s="2973"/>
      <c r="AA90" s="2973"/>
      <c r="AB90" s="2973"/>
      <c r="AC90" s="2973"/>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89"/>
      <c r="B92" s="493" t="str">
        <f>B28</f>
        <v>楼层</v>
      </c>
      <c r="C92" s="509"/>
      <c r="D92" s="509"/>
      <c r="E92" s="509"/>
      <c r="F92" s="509"/>
      <c r="G92" s="509"/>
      <c r="H92" s="509"/>
      <c r="I92" s="509"/>
      <c r="J92" s="509"/>
      <c r="K92" s="509"/>
      <c r="L92" s="535"/>
      <c r="M92" s="536"/>
      <c r="N92" s="2979"/>
      <c r="O92" s="2979"/>
      <c r="P92" s="2970"/>
      <c r="Q92" s="2965"/>
      <c r="R92" s="2951"/>
      <c r="S92" s="2951"/>
      <c r="T92" s="2951"/>
      <c r="U92" s="2951"/>
      <c r="V92" s="2951"/>
      <c r="W92" s="2951"/>
      <c r="X92" s="2951"/>
      <c r="Y92" s="2951"/>
      <c r="Z92" s="2951"/>
      <c r="AA92" s="2951"/>
      <c r="AB92" s="2951"/>
      <c r="AC92" s="2951"/>
    </row>
    <row r="93" spans="1:29" ht="15.75" thickBot="1">
      <c r="A93" s="489"/>
      <c r="B93" s="498"/>
      <c r="C93" s="491"/>
      <c r="D93" s="491"/>
      <c r="E93" s="491"/>
      <c r="F93" s="491"/>
      <c r="G93" s="491"/>
      <c r="H93" s="491"/>
      <c r="I93" s="491"/>
      <c r="J93" s="491"/>
      <c r="K93" s="491"/>
      <c r="L93" s="491"/>
      <c r="M93" s="492"/>
      <c r="N93" s="2980"/>
      <c r="O93" s="2980"/>
      <c r="P93" s="2970"/>
      <c r="Q93" s="2965"/>
      <c r="R93" s="2951"/>
      <c r="S93" s="2951"/>
      <c r="T93" s="2951"/>
      <c r="U93" s="2951"/>
      <c r="V93" s="2951"/>
      <c r="W93" s="2951"/>
      <c r="X93" s="2951"/>
      <c r="Y93" s="2951"/>
      <c r="Z93" s="2951"/>
      <c r="AA93" s="2951"/>
      <c r="AB93" s="2951"/>
      <c r="AC93" s="2951"/>
    </row>
    <row r="94" spans="1:29" ht="15.75" thickTop="1">
      <c r="A94" s="489"/>
      <c r="B94" s="493">
        <f>B29</f>
        <v>111</v>
      </c>
      <c r="C94" s="509"/>
      <c r="D94" s="509"/>
      <c r="E94" s="509"/>
      <c r="F94" s="509"/>
      <c r="G94" s="538"/>
      <c r="H94" s="538"/>
      <c r="I94" s="538"/>
      <c r="J94" s="538"/>
      <c r="K94" s="539"/>
      <c r="L94" s="540"/>
      <c r="M94" s="541"/>
      <c r="N94" s="2979"/>
      <c r="O94" s="2979"/>
      <c r="P94" s="2970"/>
      <c r="Q94" s="2965"/>
      <c r="R94" s="2951"/>
      <c r="S94" s="2951"/>
      <c r="T94" s="2951"/>
      <c r="U94" s="2951"/>
      <c r="V94" s="2951"/>
      <c r="W94" s="2951"/>
      <c r="X94" s="2951"/>
      <c r="Y94" s="2951"/>
      <c r="Z94" s="2951"/>
      <c r="AA94" s="2951"/>
      <c r="AB94" s="2951"/>
      <c r="AC94" s="2951"/>
    </row>
    <row r="95" spans="1:29" ht="15.75" thickBot="1">
      <c r="A95" s="489"/>
      <c r="B95" s="498"/>
      <c r="C95" s="515"/>
      <c r="D95" s="491"/>
      <c r="E95" s="491"/>
      <c r="F95" s="491"/>
      <c r="G95" s="491"/>
      <c r="H95" s="491"/>
      <c r="I95" s="491"/>
      <c r="J95" s="491"/>
      <c r="K95" s="491"/>
      <c r="L95" s="491"/>
      <c r="M95" s="492"/>
      <c r="N95" s="2980"/>
      <c r="O95" s="2980"/>
      <c r="P95" s="2970"/>
      <c r="Q95" s="2965"/>
      <c r="R95" s="2951"/>
      <c r="S95" s="2951"/>
      <c r="T95" s="2951"/>
      <c r="U95" s="2951"/>
      <c r="V95" s="2951"/>
      <c r="W95" s="2951"/>
      <c r="X95" s="2951"/>
      <c r="Y95" s="2951"/>
      <c r="Z95" s="2951"/>
      <c r="AA95" s="2951"/>
      <c r="AB95" s="2951"/>
      <c r="AC95" s="2951"/>
    </row>
    <row r="96" spans="1:29" ht="15.75" thickTop="1">
      <c r="A96" s="489"/>
      <c r="B96" s="493">
        <f>B30</f>
        <v>111</v>
      </c>
      <c r="C96" s="509"/>
      <c r="D96" s="509"/>
      <c r="E96" s="509"/>
      <c r="F96" s="509"/>
      <c r="G96" s="538"/>
      <c r="H96" s="538"/>
      <c r="I96" s="538"/>
      <c r="J96" s="538"/>
      <c r="K96" s="539"/>
      <c r="L96" s="540"/>
      <c r="M96" s="541"/>
      <c r="N96" s="2979"/>
      <c r="O96" s="2979"/>
      <c r="P96" s="2970"/>
      <c r="Q96" s="2965"/>
      <c r="R96" s="2951"/>
      <c r="S96" s="2951"/>
      <c r="T96" s="2951"/>
      <c r="U96" s="2951"/>
      <c r="V96" s="2951"/>
      <c r="W96" s="2951"/>
      <c r="X96" s="2951"/>
      <c r="Y96" s="2951"/>
      <c r="Z96" s="2951"/>
      <c r="AA96" s="2951"/>
      <c r="AB96" s="2951"/>
      <c r="AC96" s="2951"/>
    </row>
    <row r="97" spans="1:29" ht="15.75" thickBot="1">
      <c r="A97" s="489"/>
      <c r="B97" s="498"/>
      <c r="C97" s="515"/>
      <c r="D97" s="491"/>
      <c r="E97" s="491"/>
      <c r="F97" s="491"/>
      <c r="G97" s="491"/>
      <c r="H97" s="491"/>
      <c r="I97" s="491"/>
      <c r="J97" s="491"/>
      <c r="K97" s="491"/>
      <c r="L97" s="491"/>
      <c r="M97" s="492"/>
      <c r="N97" s="2980"/>
      <c r="O97" s="2980"/>
      <c r="P97" s="2970"/>
      <c r="Q97" s="2965"/>
      <c r="R97" s="2951"/>
      <c r="S97" s="2951"/>
      <c r="T97" s="2951"/>
      <c r="U97" s="2951"/>
      <c r="V97" s="2951"/>
      <c r="W97" s="2951"/>
      <c r="X97" s="2951"/>
      <c r="Y97" s="2951"/>
      <c r="Z97" s="2951"/>
      <c r="AA97" s="2951"/>
      <c r="AB97" s="2951"/>
      <c r="AC97" s="2951"/>
    </row>
    <row r="98" spans="1:29" ht="15.75" thickTop="1">
      <c r="A98" s="489"/>
      <c r="B98" s="501">
        <f>B31</f>
        <v>111</v>
      </c>
      <c r="C98" s="509"/>
      <c r="D98" s="509"/>
      <c r="E98" s="509"/>
      <c r="F98" s="509"/>
      <c r="G98" s="542"/>
      <c r="H98" s="542"/>
      <c r="I98" s="542"/>
      <c r="J98" s="542"/>
      <c r="K98" s="543"/>
      <c r="L98" s="544"/>
      <c r="M98" s="545"/>
      <c r="N98" s="2979"/>
      <c r="O98" s="2979"/>
      <c r="P98" s="2970"/>
      <c r="Q98" s="2965"/>
      <c r="R98" s="2951"/>
      <c r="S98" s="2951"/>
      <c r="T98" s="2951"/>
      <c r="U98" s="2951"/>
      <c r="V98" s="2951"/>
      <c r="W98" s="2951"/>
      <c r="X98" s="2951"/>
      <c r="Y98" s="2951"/>
      <c r="Z98" s="2951"/>
      <c r="AA98" s="2951"/>
      <c r="AB98" s="2951"/>
      <c r="AC98" s="2951"/>
    </row>
    <row r="99" spans="1:29" ht="15.75" thickBot="1">
      <c r="A99" s="2112"/>
      <c r="B99" s="524"/>
      <c r="C99" s="525"/>
      <c r="D99" s="525"/>
      <c r="E99" s="525"/>
      <c r="F99" s="525"/>
      <c r="G99" s="546"/>
      <c r="H99" s="546"/>
      <c r="I99" s="546"/>
      <c r="J99" s="546"/>
      <c r="K99" s="546"/>
      <c r="L99" s="546"/>
      <c r="M99" s="547"/>
      <c r="N99" s="2980"/>
      <c r="O99" s="2980"/>
      <c r="P99" s="2970"/>
      <c r="Q99" s="2965"/>
      <c r="R99" s="2951"/>
      <c r="S99" s="2951"/>
      <c r="T99" s="2951"/>
      <c r="U99" s="2951"/>
      <c r="V99" s="2951"/>
      <c r="W99" s="2951"/>
      <c r="X99" s="2951"/>
      <c r="Y99" s="2951"/>
      <c r="Z99" s="2951"/>
      <c r="AA99" s="2951"/>
      <c r="AB99" s="2951"/>
      <c r="AC99" s="2951"/>
    </row>
    <row r="100" spans="1:29">
      <c r="A100" s="482" t="s">
        <v>2382</v>
      </c>
      <c r="B100" s="483" t="s">
        <v>2500</v>
      </c>
      <c r="C100" s="485"/>
      <c r="D100" s="485"/>
      <c r="E100" s="485"/>
      <c r="F100" s="485"/>
      <c r="G100" s="485"/>
      <c r="H100" s="485"/>
      <c r="I100" s="485"/>
      <c r="J100" s="485"/>
      <c r="K100" s="486"/>
      <c r="L100" s="487"/>
      <c r="M100" s="488"/>
      <c r="N100" s="2979"/>
      <c r="O100" s="2979"/>
      <c r="P100" s="2970"/>
      <c r="Q100" s="2965"/>
      <c r="R100" s="2951"/>
      <c r="S100" s="2951"/>
      <c r="T100" s="2951"/>
      <c r="U100" s="2951"/>
      <c r="V100" s="2951"/>
      <c r="W100" s="2951"/>
      <c r="X100" s="2951"/>
      <c r="Y100" s="2951"/>
      <c r="Z100" s="2951"/>
      <c r="AA100" s="2951"/>
      <c r="AB100" s="2951"/>
      <c r="AC100" s="2951"/>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9"/>
      <c r="B102" s="493" t="s">
        <v>2432</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8" customFormat="1">
      <c r="A103" s="548"/>
      <c r="B103" s="549"/>
      <c r="C103" s="550"/>
      <c r="D103" s="550"/>
      <c r="E103" s="550"/>
      <c r="F103" s="550"/>
      <c r="G103" s="550"/>
      <c r="H103" s="550"/>
      <c r="I103" s="550"/>
      <c r="J103" s="551"/>
      <c r="K103" s="551"/>
      <c r="L103" s="552"/>
      <c r="M103" s="553"/>
      <c r="N103" s="2981"/>
      <c r="O103" s="2981"/>
      <c r="P103" s="2971"/>
      <c r="Q103" s="2972"/>
      <c r="R103" s="2973"/>
      <c r="S103" s="2973"/>
      <c r="T103" s="2973"/>
      <c r="U103" s="2973"/>
      <c r="V103" s="2973"/>
      <c r="W103" s="2973"/>
      <c r="X103" s="2973"/>
      <c r="Y103" s="2973"/>
      <c r="Z103" s="2973"/>
      <c r="AA103" s="2973"/>
      <c r="AB103" s="2973"/>
      <c r="AC103" s="2973"/>
    </row>
    <row r="104" spans="1:29" s="428" customFormat="1" ht="15.75" thickBot="1">
      <c r="A104" s="508"/>
      <c r="B104" s="498"/>
      <c r="C104" s="515"/>
      <c r="D104" s="491"/>
      <c r="E104" s="491"/>
      <c r="F104" s="491"/>
      <c r="G104" s="491"/>
      <c r="H104" s="491"/>
      <c r="I104" s="491"/>
      <c r="J104" s="491"/>
      <c r="K104" s="491"/>
      <c r="L104" s="491"/>
      <c r="M104" s="492"/>
      <c r="N104" s="2980"/>
      <c r="O104" s="2980"/>
      <c r="P104" s="2971"/>
      <c r="Q104" s="2972"/>
      <c r="R104" s="2973"/>
      <c r="S104" s="2973"/>
      <c r="T104" s="2973"/>
      <c r="U104" s="2973"/>
      <c r="V104" s="2973"/>
      <c r="W104" s="2973"/>
      <c r="X104" s="2973"/>
      <c r="Y104" s="2973"/>
      <c r="Z104" s="2973"/>
      <c r="AA104" s="2973"/>
      <c r="AB104" s="2973"/>
      <c r="AC104" s="2973"/>
    </row>
    <row r="105" spans="1:29" ht="15" thickTop="1">
      <c r="A105" s="554"/>
      <c r="B105" s="493" t="s">
        <v>2433</v>
      </c>
      <c r="C105" s="509"/>
      <c r="D105" s="509"/>
      <c r="E105" s="538"/>
      <c r="F105" s="538"/>
      <c r="G105" s="538"/>
      <c r="H105" s="538"/>
      <c r="I105" s="538"/>
      <c r="J105" s="538"/>
      <c r="K105" s="539"/>
      <c r="L105" s="540"/>
      <c r="M105" s="541"/>
      <c r="N105" s="2979"/>
      <c r="O105" s="2979"/>
      <c r="P105" s="2970"/>
      <c r="Q105" s="2965"/>
      <c r="R105" s="2951"/>
      <c r="S105" s="2951"/>
      <c r="T105" s="2951"/>
      <c r="U105" s="2951"/>
      <c r="V105" s="2951"/>
      <c r="W105" s="2951"/>
      <c r="X105" s="2951"/>
      <c r="Y105" s="2951"/>
      <c r="Z105" s="2951"/>
      <c r="AA105" s="2951"/>
      <c r="AB105" s="2951"/>
      <c r="AC105" s="2951"/>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4"/>
      <c r="B107" s="493" t="s">
        <v>2435</v>
      </c>
      <c r="C107" s="509"/>
      <c r="D107" s="509"/>
      <c r="E107" s="509"/>
      <c r="F107" s="538"/>
      <c r="G107" s="538"/>
      <c r="H107" s="538"/>
      <c r="I107" s="538"/>
      <c r="J107" s="538"/>
      <c r="K107" s="539"/>
      <c r="L107" s="540"/>
      <c r="M107" s="541"/>
      <c r="N107" s="2979"/>
      <c r="O107" s="2979"/>
      <c r="P107" s="2970"/>
      <c r="Q107" s="2965"/>
      <c r="R107" s="2951"/>
      <c r="S107" s="2951"/>
      <c r="T107" s="2951"/>
      <c r="U107" s="2951"/>
      <c r="V107" s="2951"/>
      <c r="W107" s="2951"/>
      <c r="X107" s="2951"/>
      <c r="Y107" s="2951"/>
      <c r="Z107" s="2951"/>
      <c r="AA107" s="2951"/>
      <c r="AB107" s="2951"/>
      <c r="AC107" s="2951"/>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4"/>
      <c r="B109" s="493" t="s">
        <v>1877</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79"/>
      <c r="O109" s="2979"/>
      <c r="P109" s="2970"/>
      <c r="Q109" s="2965"/>
      <c r="R109" s="2951"/>
      <c r="S109" s="2951"/>
      <c r="T109" s="2951"/>
      <c r="U109" s="2951"/>
      <c r="V109" s="2951"/>
      <c r="W109" s="2951"/>
      <c r="X109" s="2951"/>
      <c r="Y109" s="2951"/>
      <c r="Z109" s="2951"/>
      <c r="AA109" s="2951"/>
      <c r="AB109" s="2951"/>
      <c r="AC109" s="2951"/>
    </row>
    <row r="110" spans="1:29">
      <c r="A110" s="554"/>
      <c r="B110" s="501"/>
      <c r="C110" s="558">
        <v>0.5</v>
      </c>
      <c r="D110" s="558">
        <v>0.6</v>
      </c>
      <c r="E110" s="558">
        <v>0.7</v>
      </c>
      <c r="F110" s="558">
        <v>0.8</v>
      </c>
      <c r="G110" s="558">
        <v>0.9</v>
      </c>
      <c r="H110" s="558">
        <v>1.0001</v>
      </c>
      <c r="I110" s="577"/>
      <c r="J110" s="577"/>
      <c r="K110" s="578"/>
      <c r="L110" s="579"/>
      <c r="M110" s="580"/>
      <c r="N110" s="2979"/>
      <c r="O110" s="2979"/>
      <c r="P110" s="2970"/>
      <c r="Q110" s="2965"/>
      <c r="R110" s="2951"/>
      <c r="S110" s="2951"/>
      <c r="T110" s="2951"/>
      <c r="U110" s="2951"/>
      <c r="V110" s="2951"/>
      <c r="W110" s="2951"/>
      <c r="X110" s="2951"/>
      <c r="Y110" s="2951"/>
      <c r="Z110" s="2951"/>
      <c r="AA110" s="2951"/>
      <c r="AB110" s="2951"/>
      <c r="AC110" s="2951"/>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0"/>
      <c r="O111" s="2980"/>
      <c r="P111" s="2970"/>
      <c r="Q111" s="2965"/>
      <c r="R111" s="2951"/>
      <c r="S111" s="2951"/>
      <c r="T111" s="2951"/>
      <c r="U111" s="2951"/>
      <c r="V111" s="2951"/>
      <c r="W111" s="2951"/>
      <c r="X111" s="2951"/>
      <c r="Y111" s="2951"/>
      <c r="Z111" s="2951"/>
      <c r="AA111" s="2951"/>
      <c r="AB111" s="2951"/>
      <c r="AC111" s="2951"/>
    </row>
    <row r="112" spans="1:29" s="428" customFormat="1" ht="15" thickTop="1">
      <c r="A112" s="548"/>
      <c r="B112" s="493" t="s">
        <v>2437</v>
      </c>
      <c r="C112" s="509"/>
      <c r="D112" s="509"/>
      <c r="E112" s="509"/>
      <c r="F112" s="509"/>
      <c r="G112" s="509"/>
      <c r="H112" s="538"/>
      <c r="I112" s="538"/>
      <c r="J112" s="538"/>
      <c r="K112" s="539"/>
      <c r="L112" s="540"/>
      <c r="M112" s="541"/>
      <c r="N112" s="2981"/>
      <c r="O112" s="2981"/>
      <c r="P112" s="2971"/>
      <c r="Q112" s="2972"/>
      <c r="R112" s="2973"/>
      <c r="S112" s="2973"/>
      <c r="T112" s="2973"/>
      <c r="U112" s="2973"/>
      <c r="V112" s="2973"/>
      <c r="W112" s="2973"/>
      <c r="X112" s="2973"/>
      <c r="Y112" s="2973"/>
      <c r="Z112" s="2973"/>
      <c r="AA112" s="2973"/>
      <c r="AB112" s="2973"/>
      <c r="AC112" s="2973"/>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4"/>
      <c r="B114" s="493" t="s">
        <v>2501</v>
      </c>
      <c r="C114" s="509"/>
      <c r="D114" s="509"/>
      <c r="E114" s="538"/>
      <c r="F114" s="538"/>
      <c r="G114" s="538"/>
      <c r="H114" s="538"/>
      <c r="I114" s="538"/>
      <c r="J114" s="538"/>
      <c r="K114" s="539"/>
      <c r="L114" s="540"/>
      <c r="M114" s="541"/>
      <c r="N114" s="2979"/>
      <c r="O114" s="2979"/>
      <c r="P114" s="2970"/>
      <c r="Q114" s="2965"/>
      <c r="R114" s="2951"/>
      <c r="S114" s="2951"/>
      <c r="T114" s="2951"/>
      <c r="U114" s="2951"/>
      <c r="V114" s="2951"/>
      <c r="W114" s="2951"/>
      <c r="X114" s="2951"/>
      <c r="Y114" s="2951"/>
      <c r="Z114" s="2951"/>
      <c r="AA114" s="2951"/>
      <c r="AB114" s="2951"/>
      <c r="AC114" s="2951"/>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4"/>
      <c r="B116" s="493" t="s">
        <v>2502</v>
      </c>
      <c r="C116" s="509"/>
      <c r="D116" s="509"/>
      <c r="E116" s="509"/>
      <c r="F116" s="509"/>
      <c r="G116" s="509"/>
      <c r="H116" s="538"/>
      <c r="I116" s="538"/>
      <c r="J116" s="538"/>
      <c r="K116" s="539"/>
      <c r="L116" s="540"/>
      <c r="M116" s="541"/>
      <c r="N116" s="2979"/>
      <c r="O116" s="2979"/>
      <c r="P116" s="2970"/>
      <c r="Q116" s="2965"/>
      <c r="R116" s="2951"/>
      <c r="S116" s="2951"/>
      <c r="T116" s="2951"/>
      <c r="U116" s="2951"/>
      <c r="V116" s="2951"/>
      <c r="W116" s="2951"/>
      <c r="X116" s="2951"/>
      <c r="Y116" s="2951"/>
      <c r="Z116" s="2951"/>
      <c r="AA116" s="2951"/>
      <c r="AB116" s="2951"/>
      <c r="AC116" s="2951"/>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0"/>
      <c r="O117" s="2980"/>
      <c r="P117" s="2970"/>
      <c r="Q117" s="2965"/>
      <c r="R117" s="2951"/>
      <c r="S117" s="2951"/>
      <c r="T117" s="2951"/>
      <c r="U117" s="2951"/>
      <c r="V117" s="2951"/>
      <c r="W117" s="2951"/>
      <c r="X117" s="2951"/>
      <c r="Y117" s="2951"/>
      <c r="Z117" s="2951"/>
      <c r="AA117" s="2951"/>
      <c r="AB117" s="2951"/>
      <c r="AC117" s="2951"/>
    </row>
    <row r="118" spans="1:29" ht="15" thickTop="1">
      <c r="A118" s="554"/>
      <c r="B118" s="493" t="s">
        <v>2503</v>
      </c>
      <c r="C118" s="581"/>
      <c r="D118" s="581"/>
      <c r="E118" s="581"/>
      <c r="F118" s="581"/>
      <c r="G118" s="581"/>
      <c r="H118" s="510"/>
      <c r="I118" s="510"/>
      <c r="J118" s="510"/>
      <c r="K118" s="510"/>
      <c r="L118" s="511"/>
      <c r="M118" s="512"/>
      <c r="N118" s="2979"/>
      <c r="O118" s="2979"/>
      <c r="P118" s="2970"/>
      <c r="Q118" s="2965"/>
      <c r="R118" s="2951"/>
      <c r="S118" s="2951"/>
      <c r="T118" s="2951"/>
      <c r="U118" s="2951"/>
      <c r="V118" s="2951"/>
      <c r="W118" s="2951"/>
      <c r="X118" s="2951"/>
      <c r="Y118" s="2951"/>
      <c r="Z118" s="2951"/>
      <c r="AA118" s="2951"/>
      <c r="AB118" s="2951"/>
      <c r="AC118" s="2951"/>
    </row>
    <row r="119" spans="1:29" ht="15.75" thickBot="1">
      <c r="A119" s="489"/>
      <c r="B119" s="498"/>
      <c r="C119" s="515"/>
      <c r="D119" s="491"/>
      <c r="E119" s="491"/>
      <c r="F119" s="491"/>
      <c r="G119" s="491"/>
      <c r="H119" s="491"/>
      <c r="I119" s="491"/>
      <c r="J119" s="491"/>
      <c r="K119" s="491"/>
      <c r="L119" s="491"/>
      <c r="M119" s="492"/>
      <c r="N119" s="2980"/>
      <c r="O119" s="2980"/>
      <c r="P119" s="2970"/>
      <c r="Q119" s="2965"/>
      <c r="R119" s="2951"/>
      <c r="S119" s="2951"/>
      <c r="T119" s="2951"/>
      <c r="U119" s="2951"/>
      <c r="V119" s="2951"/>
      <c r="W119" s="2951"/>
      <c r="X119" s="2951"/>
      <c r="Y119" s="2951"/>
      <c r="Z119" s="2951"/>
      <c r="AA119" s="2951"/>
      <c r="AB119" s="2951"/>
      <c r="AC119" s="2951"/>
    </row>
    <row r="120" spans="1:29" s="428" customFormat="1" ht="15" thickTop="1">
      <c r="A120" s="548"/>
      <c r="B120" s="493" t="s">
        <v>2504</v>
      </c>
      <c r="C120" s="538"/>
      <c r="D120" s="538"/>
      <c r="E120" s="538"/>
      <c r="F120" s="538"/>
      <c r="G120" s="510"/>
      <c r="H120" s="510"/>
      <c r="I120" s="510"/>
      <c r="J120" s="510"/>
      <c r="K120" s="510"/>
      <c r="L120" s="511"/>
      <c r="M120" s="512"/>
      <c r="N120" s="2981"/>
      <c r="O120" s="2981"/>
      <c r="P120" s="2971"/>
      <c r="Q120" s="2972"/>
      <c r="R120" s="2973"/>
      <c r="S120" s="2973"/>
      <c r="T120" s="2973"/>
      <c r="U120" s="2973"/>
      <c r="V120" s="2973"/>
      <c r="W120" s="2973"/>
      <c r="X120" s="2973"/>
      <c r="Y120" s="2973"/>
      <c r="Z120" s="2973"/>
      <c r="AA120" s="2973"/>
      <c r="AB120" s="2973"/>
      <c r="AC120" s="2973"/>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4"/>
      <c r="B122" s="493" t="s">
        <v>2439</v>
      </c>
      <c r="C122" s="509"/>
      <c r="D122" s="509"/>
      <c r="E122" s="509"/>
      <c r="F122" s="538"/>
      <c r="G122" s="538"/>
      <c r="H122" s="538"/>
      <c r="I122" s="538"/>
      <c r="J122" s="538"/>
      <c r="K122" s="539"/>
      <c r="L122" s="540"/>
      <c r="M122" s="541"/>
      <c r="N122" s="2979"/>
      <c r="O122" s="2979"/>
      <c r="P122" s="2970"/>
      <c r="Q122" s="2965"/>
      <c r="R122" s="2951"/>
      <c r="S122" s="2951"/>
      <c r="T122" s="2951"/>
      <c r="U122" s="2951"/>
      <c r="V122" s="2951"/>
      <c r="W122" s="2951"/>
      <c r="X122" s="2951"/>
      <c r="Y122" s="2951"/>
      <c r="Z122" s="2951"/>
      <c r="AA122" s="2951"/>
      <c r="AB122" s="2951"/>
      <c r="AC122" s="2951"/>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4"/>
      <c r="B124" s="493" t="s">
        <v>2440</v>
      </c>
      <c r="C124" s="533" t="s">
        <v>2416</v>
      </c>
      <c r="D124" s="533" t="s">
        <v>2417</v>
      </c>
      <c r="E124" s="533" t="s">
        <v>2418</v>
      </c>
      <c r="F124" s="533" t="s">
        <v>2419</v>
      </c>
      <c r="G124" s="533" t="s">
        <v>2420</v>
      </c>
      <c r="H124" s="494"/>
      <c r="I124" s="494"/>
      <c r="J124" s="494"/>
      <c r="K124" s="495"/>
      <c r="L124" s="496"/>
      <c r="M124" s="497"/>
      <c r="N124" s="2979"/>
      <c r="O124" s="2979"/>
      <c r="P124" s="2971"/>
      <c r="Q124" s="2965"/>
      <c r="R124" s="2951"/>
      <c r="S124" s="2951"/>
      <c r="T124" s="2951"/>
      <c r="U124" s="2951"/>
      <c r="V124" s="2951"/>
      <c r="W124" s="2951"/>
      <c r="X124" s="2951"/>
      <c r="Y124" s="2951"/>
      <c r="Z124" s="2951"/>
      <c r="AA124" s="2951"/>
      <c r="AB124" s="2951"/>
      <c r="AC124" s="2951"/>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0"/>
      <c r="O125" s="2980"/>
      <c r="P125" s="2970"/>
      <c r="Q125" s="2965"/>
      <c r="R125" s="2951"/>
      <c r="S125" s="2951"/>
      <c r="T125" s="2951"/>
      <c r="U125" s="2951"/>
      <c r="V125" s="2951"/>
      <c r="W125" s="2951"/>
      <c r="X125" s="2951"/>
      <c r="Y125" s="2951"/>
      <c r="Z125" s="2951"/>
      <c r="AA125" s="2951"/>
      <c r="AB125" s="2951"/>
      <c r="AC125" s="2951"/>
    </row>
    <row r="126" spans="1:29" s="428" customFormat="1" ht="15" thickTop="1">
      <c r="A126" s="548"/>
      <c r="B126" s="493">
        <f>B44</f>
        <v>111</v>
      </c>
      <c r="C126" s="509"/>
      <c r="D126" s="509"/>
      <c r="E126" s="509"/>
      <c r="F126" s="509"/>
      <c r="G126" s="509"/>
      <c r="H126" s="510"/>
      <c r="I126" s="510"/>
      <c r="J126" s="510"/>
      <c r="K126" s="510"/>
      <c r="L126" s="511"/>
      <c r="M126" s="512"/>
      <c r="N126" s="2981"/>
      <c r="O126" s="2981"/>
      <c r="P126" s="2971"/>
      <c r="Q126" s="2972"/>
      <c r="R126" s="2973"/>
      <c r="S126" s="2973"/>
      <c r="T126" s="2973"/>
      <c r="U126" s="2973"/>
      <c r="V126" s="2973"/>
      <c r="W126" s="2973"/>
      <c r="X126" s="2973"/>
      <c r="Y126" s="2973"/>
      <c r="Z126" s="2973"/>
      <c r="AA126" s="2973"/>
      <c r="AB126" s="2973"/>
      <c r="AC126" s="2973"/>
    </row>
    <row r="127" spans="1:29" s="428" customFormat="1" ht="15.75" thickBot="1">
      <c r="A127" s="508"/>
      <c r="B127" s="498"/>
      <c r="C127" s="515"/>
      <c r="D127" s="491"/>
      <c r="E127" s="491"/>
      <c r="F127" s="491"/>
      <c r="G127" s="515"/>
      <c r="H127" s="517"/>
      <c r="I127" s="517"/>
      <c r="J127" s="517"/>
      <c r="K127" s="517"/>
      <c r="L127" s="517"/>
      <c r="M127" s="518"/>
      <c r="N127" s="2981"/>
      <c r="O127" s="2981"/>
      <c r="P127" s="2971"/>
      <c r="Q127" s="2972"/>
      <c r="R127" s="2973"/>
      <c r="S127" s="2973"/>
      <c r="T127" s="2973"/>
      <c r="U127" s="2973"/>
      <c r="V127" s="2973"/>
      <c r="W127" s="2973"/>
      <c r="X127" s="2973"/>
      <c r="Y127" s="2973"/>
      <c r="Z127" s="2973"/>
      <c r="AA127" s="2973"/>
      <c r="AB127" s="2973"/>
      <c r="AC127" s="2973"/>
    </row>
    <row r="128" spans="1:29" ht="15" thickTop="1">
      <c r="A128" s="554"/>
      <c r="B128" s="493">
        <f>B45</f>
        <v>111</v>
      </c>
      <c r="C128" s="509"/>
      <c r="D128" s="509"/>
      <c r="E128" s="509"/>
      <c r="F128" s="509"/>
      <c r="G128" s="538"/>
      <c r="H128" s="538"/>
      <c r="I128" s="538"/>
      <c r="J128" s="538"/>
      <c r="K128" s="539"/>
      <c r="L128" s="540"/>
      <c r="M128" s="541"/>
      <c r="N128" s="2979"/>
      <c r="O128" s="2979"/>
      <c r="P128" s="2970"/>
      <c r="Q128" s="2965"/>
      <c r="R128" s="2951"/>
      <c r="S128" s="2951"/>
      <c r="T128" s="2951"/>
      <c r="U128" s="2951"/>
      <c r="V128" s="2951"/>
      <c r="W128" s="2951"/>
      <c r="X128" s="2951"/>
      <c r="Y128" s="2951"/>
      <c r="Z128" s="2951"/>
      <c r="AA128" s="2951"/>
      <c r="AB128" s="2951"/>
      <c r="AC128" s="2951"/>
    </row>
    <row r="129" spans="1:29" ht="15.75" thickBot="1">
      <c r="A129" s="489"/>
      <c r="B129" s="498"/>
      <c r="C129" s="515"/>
      <c r="D129" s="491"/>
      <c r="E129" s="491"/>
      <c r="F129" s="491"/>
      <c r="G129" s="491"/>
      <c r="H129" s="491"/>
      <c r="I129" s="491"/>
      <c r="J129" s="491"/>
      <c r="K129" s="491"/>
      <c r="L129" s="491"/>
      <c r="M129" s="492"/>
      <c r="N129" s="2980"/>
      <c r="O129" s="2980"/>
      <c r="P129" s="2970"/>
      <c r="Q129" s="2965"/>
      <c r="R129" s="2951"/>
      <c r="S129" s="2951"/>
      <c r="T129" s="2951"/>
      <c r="U129" s="2951"/>
      <c r="V129" s="2951"/>
      <c r="W129" s="2951"/>
      <c r="X129" s="2951"/>
      <c r="Y129" s="2951"/>
      <c r="Z129" s="2951"/>
      <c r="AA129" s="2951"/>
      <c r="AB129" s="2951"/>
      <c r="AC129" s="2951"/>
    </row>
    <row r="130" spans="1:29" ht="15" thickTop="1">
      <c r="A130" s="554"/>
      <c r="B130" s="501">
        <f>B46</f>
        <v>111</v>
      </c>
      <c r="C130" s="509"/>
      <c r="D130" s="509"/>
      <c r="E130" s="509"/>
      <c r="F130" s="509"/>
      <c r="G130" s="542"/>
      <c r="H130" s="542"/>
      <c r="I130" s="542"/>
      <c r="J130" s="542"/>
      <c r="K130" s="478"/>
      <c r="L130" s="479"/>
      <c r="M130" s="545"/>
      <c r="N130" s="2979"/>
      <c r="O130" s="2979"/>
      <c r="P130" s="2970"/>
      <c r="Q130" s="2965"/>
      <c r="R130" s="2951"/>
      <c r="S130" s="2951"/>
      <c r="T130" s="2951"/>
      <c r="U130" s="2951"/>
      <c r="V130" s="2951"/>
      <c r="W130" s="2951"/>
      <c r="X130" s="2951"/>
      <c r="Y130" s="2951"/>
      <c r="Z130" s="2951"/>
      <c r="AA130" s="2951"/>
      <c r="AB130" s="2951"/>
      <c r="AC130" s="2951"/>
    </row>
    <row r="131" spans="1:29" ht="15.75" thickBot="1">
      <c r="A131" s="2112"/>
      <c r="B131" s="524"/>
      <c r="C131" s="525"/>
      <c r="D131" s="525"/>
      <c r="E131" s="525"/>
      <c r="F131" s="525"/>
      <c r="G131" s="546"/>
      <c r="H131" s="546"/>
      <c r="I131" s="546"/>
      <c r="J131" s="546"/>
      <c r="K131" s="546"/>
      <c r="L131" s="546"/>
      <c r="M131" s="547"/>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2347</v>
      </c>
      <c r="B1" s="2141" t="s">
        <v>2505</v>
      </c>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IF(C2="——",ROUND(C50*D3/10000,0),ROUND(C50*D3/10000,0)-D2)</f>
        <v>#DIV/0!</v>
      </c>
      <c r="C2" s="2065"/>
      <c r="D2" s="1273" t="e">
        <f ca="1">SUMIF(INDIRECT("'"&amp;F2&amp;"'"&amp;"!A:A"),"承租人权益价值",INDIRECT("'"&amp;F2&amp;"'"&amp;"!c:c"))</f>
        <v>#REF!</v>
      </c>
      <c r="E2" s="2066" t="s">
        <v>2150</v>
      </c>
      <c r="F2" s="2067"/>
      <c r="G2" s="1037"/>
      <c r="H2" s="1037"/>
      <c r="I2" s="1037"/>
      <c r="J2" s="1037"/>
      <c r="K2" s="1037"/>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2151</v>
      </c>
      <c r="B3" s="564" t="e">
        <f ca="1">IF(C2="——",C50,ROUND(B2*10000/D3,0))</f>
        <v>#DIV/0!</v>
      </c>
      <c r="C3" s="358" t="s">
        <v>2463</v>
      </c>
      <c r="D3" s="357">
        <f>IF(D1="",'数据-汇总表'!E3,SUMIF('数据-汇总表'!$C19:$C33,D1,'数据-汇总表'!$E19:$E33))</f>
        <v>133675.47</v>
      </c>
      <c r="E3" s="2138"/>
      <c r="F3" s="1038"/>
      <c r="G3" s="1037"/>
      <c r="H3" s="1037"/>
      <c r="I3" s="1037"/>
      <c r="J3" s="1037"/>
      <c r="K3" s="1039"/>
      <c r="L3" s="2960"/>
      <c r="M3" s="2961"/>
      <c r="N3" s="2961"/>
      <c r="O3" s="2961"/>
      <c r="P3" s="706"/>
      <c r="Q3" s="706"/>
      <c r="R3" s="706"/>
      <c r="S3" s="706"/>
      <c r="T3" s="706"/>
      <c r="U3" s="706"/>
      <c r="V3" s="706"/>
      <c r="W3" s="706"/>
      <c r="X3" s="706"/>
      <c r="Y3" s="706"/>
      <c r="Z3" s="706"/>
      <c r="AA3" s="706"/>
      <c r="AB3" s="706"/>
      <c r="AC3" s="707"/>
    </row>
    <row r="4" spans="1:29" ht="15">
      <c r="A4" s="359" t="s">
        <v>2464</v>
      </c>
      <c r="B4" s="360"/>
      <c r="C4" s="3313" t="s">
        <v>2465</v>
      </c>
      <c r="D4" s="3326"/>
      <c r="E4" s="3327" t="s">
        <v>2466</v>
      </c>
      <c r="F4" s="3328"/>
      <c r="G4" s="3313" t="s">
        <v>2467</v>
      </c>
      <c r="H4" s="3326"/>
      <c r="I4" s="3313" t="s">
        <v>2468</v>
      </c>
      <c r="J4" s="3326"/>
      <c r="K4" s="565" t="s">
        <v>2469</v>
      </c>
      <c r="L4" s="2941"/>
      <c r="M4" s="2942"/>
      <c r="N4" s="2942"/>
      <c r="O4" s="2942"/>
      <c r="P4" s="3396" t="s">
        <v>2470</v>
      </c>
      <c r="Q4" s="3397"/>
      <c r="R4" s="3400" t="s">
        <v>2466</v>
      </c>
      <c r="S4" s="3401"/>
      <c r="T4" s="3400" t="s">
        <v>2467</v>
      </c>
      <c r="U4" s="3401"/>
      <c r="V4" s="3402" t="s">
        <v>2468</v>
      </c>
      <c r="W4" s="3402"/>
      <c r="X4" s="2142"/>
      <c r="Y4" s="3400" t="s">
        <v>2470</v>
      </c>
      <c r="Z4" s="3401"/>
      <c r="AA4" s="3404" t="s">
        <v>2466</v>
      </c>
      <c r="AB4" s="3404" t="s">
        <v>2467</v>
      </c>
      <c r="AC4" s="3393" t="s">
        <v>2468</v>
      </c>
    </row>
    <row r="5" spans="1:29" ht="15">
      <c r="A5" s="362"/>
      <c r="B5" s="363"/>
      <c r="C5" s="3343" t="s">
        <v>2361</v>
      </c>
      <c r="D5" s="3344"/>
      <c r="E5" s="3350" t="s">
        <v>2362</v>
      </c>
      <c r="F5" s="3351"/>
      <c r="G5" s="3343" t="s">
        <v>2363</v>
      </c>
      <c r="H5" s="3344"/>
      <c r="I5" s="3343" t="s">
        <v>2364</v>
      </c>
      <c r="J5" s="3344"/>
      <c r="K5" s="565"/>
      <c r="L5" s="2941"/>
      <c r="M5" s="2942"/>
      <c r="N5" s="2942"/>
      <c r="O5" s="2942"/>
      <c r="P5" s="3398"/>
      <c r="Q5" s="3332"/>
      <c r="R5" s="3337"/>
      <c r="S5" s="3338"/>
      <c r="T5" s="3337"/>
      <c r="U5" s="3338"/>
      <c r="V5" s="3322"/>
      <c r="W5" s="3322"/>
      <c r="X5" s="1537"/>
      <c r="Y5" s="3337"/>
      <c r="Z5" s="3338"/>
      <c r="AA5" s="3324"/>
      <c r="AB5" s="3324"/>
      <c r="AC5" s="3394"/>
    </row>
    <row r="6" spans="1:29" ht="15.75" thickBot="1">
      <c r="A6" s="364"/>
      <c r="B6" s="365"/>
      <c r="C6" s="3341" t="s">
        <v>2365</v>
      </c>
      <c r="D6" s="3342"/>
      <c r="E6" s="3348" t="s">
        <v>2365</v>
      </c>
      <c r="F6" s="3349"/>
      <c r="G6" s="3341" t="s">
        <v>2365</v>
      </c>
      <c r="H6" s="3342"/>
      <c r="I6" s="3341" t="s">
        <v>2365</v>
      </c>
      <c r="J6" s="3342"/>
      <c r="K6" s="565" t="s">
        <v>2366</v>
      </c>
      <c r="L6" s="2941"/>
      <c r="M6" s="2942"/>
      <c r="N6" s="2942"/>
      <c r="O6" s="2942"/>
      <c r="P6" s="3399"/>
      <c r="Q6" s="3334"/>
      <c r="R6" s="3337"/>
      <c r="S6" s="3338"/>
      <c r="T6" s="3339"/>
      <c r="U6" s="3340"/>
      <c r="V6" s="3322"/>
      <c r="W6" s="3322"/>
      <c r="X6" s="1537"/>
      <c r="Y6" s="3339"/>
      <c r="Z6" s="3340"/>
      <c r="AA6" s="3325"/>
      <c r="AB6" s="3325"/>
      <c r="AC6" s="3395"/>
    </row>
    <row r="7" spans="1:29" s="112" customFormat="1" ht="15.75" thickBot="1">
      <c r="A7" s="366" t="s">
        <v>2367</v>
      </c>
      <c r="B7" s="367"/>
      <c r="C7" s="368">
        <f>'数据-取费表'!B2</f>
        <v>44311</v>
      </c>
      <c r="D7" s="369">
        <v>100</v>
      </c>
      <c r="E7" s="370"/>
      <c r="F7" s="371">
        <f>SUMIF(59:59,YEAR(E7)&amp;"-"&amp;MONTH(E7),60:60)</f>
        <v>0</v>
      </c>
      <c r="G7" s="370"/>
      <c r="H7" s="369">
        <f>SUMIF(59:59,YEAR(G7)&amp;"-"&amp;MONTH(G7),60:60)</f>
        <v>0</v>
      </c>
      <c r="I7" s="370"/>
      <c r="J7" s="369">
        <f>SUMIF(59:59,YEAR(I7)&amp;"-"&amp;MONTH(I7),60:60)</f>
        <v>0</v>
      </c>
      <c r="K7" s="566"/>
      <c r="L7" s="2943"/>
      <c r="M7" s="2944"/>
      <c r="N7" s="2944"/>
      <c r="O7" s="2944"/>
      <c r="P7" s="3403" t="s">
        <v>2368</v>
      </c>
      <c r="Q7" s="3347"/>
      <c r="R7" s="708" t="s">
        <v>17</v>
      </c>
      <c r="S7" s="709">
        <f t="shared" ref="S7:S15" si="0">F7</f>
        <v>0</v>
      </c>
      <c r="T7" s="708" t="s">
        <v>17</v>
      </c>
      <c r="U7" s="709">
        <f t="shared" ref="U7:U15" si="1">H7</f>
        <v>0</v>
      </c>
      <c r="V7" s="708" t="s">
        <v>17</v>
      </c>
      <c r="W7" s="709">
        <f t="shared" ref="W7:W15" si="2">J7</f>
        <v>0</v>
      </c>
      <c r="X7" s="710"/>
      <c r="Y7" s="3345" t="s">
        <v>2368</v>
      </c>
      <c r="Z7" s="3346"/>
      <c r="AA7" s="711" t="e">
        <f>D7/F7</f>
        <v>#DIV/0!</v>
      </c>
      <c r="AB7" s="711" t="e">
        <f>D7/H7</f>
        <v>#DIV/0!</v>
      </c>
      <c r="AC7" s="2143" t="e">
        <f>D7/J7</f>
        <v>#DIV/0!</v>
      </c>
    </row>
    <row r="8" spans="1:29" s="112" customFormat="1" ht="15.75" thickBot="1">
      <c r="A8" s="366" t="s">
        <v>2369</v>
      </c>
      <c r="B8" s="367"/>
      <c r="C8" s="372" t="s">
        <v>2471</v>
      </c>
      <c r="D8" s="369">
        <v>100</v>
      </c>
      <c r="E8" s="372"/>
      <c r="F8" s="371">
        <f>SUMIF(62:62,E8,63:63)-SUMIF(62:62,C8,63:63)+100</f>
        <v>0</v>
      </c>
      <c r="G8" s="372"/>
      <c r="H8" s="369">
        <f>SUMIF(62:62,G8,63:63)-SUMIF(62:62,C8,63:63)+100</f>
        <v>0</v>
      </c>
      <c r="I8" s="372"/>
      <c r="J8" s="369">
        <f>SUMIF(62:62,I8,63:63)-SUMIF(62:62,C8,63:63)+100</f>
        <v>0</v>
      </c>
      <c r="K8" s="566"/>
      <c r="L8" s="2943"/>
      <c r="M8" s="2944"/>
      <c r="N8" s="2944"/>
      <c r="O8" s="2944"/>
      <c r="P8" s="3403" t="s">
        <v>2371</v>
      </c>
      <c r="Q8" s="3346"/>
      <c r="R8" s="708" t="s">
        <v>17</v>
      </c>
      <c r="S8" s="709">
        <f t="shared" si="0"/>
        <v>0</v>
      </c>
      <c r="T8" s="708" t="s">
        <v>17</v>
      </c>
      <c r="U8" s="709">
        <f t="shared" si="1"/>
        <v>0</v>
      </c>
      <c r="V8" s="708" t="s">
        <v>17</v>
      </c>
      <c r="W8" s="709">
        <f t="shared" si="2"/>
        <v>0</v>
      </c>
      <c r="X8" s="710"/>
      <c r="Y8" s="3345" t="s">
        <v>2371</v>
      </c>
      <c r="Z8" s="3346"/>
      <c r="AA8" s="711" t="e">
        <f t="shared" ref="AA8:AA47" si="3">D8/F8</f>
        <v>#DIV/0!</v>
      </c>
      <c r="AB8" s="711" t="e">
        <f t="shared" ref="AB8:AB47" si="4">D8/H8</f>
        <v>#DIV/0!</v>
      </c>
      <c r="AC8" s="2143" t="e">
        <f t="shared" ref="AC8:AC47" si="5">D8/J8</f>
        <v>#DIV/0!</v>
      </c>
    </row>
    <row r="9" spans="1:29" s="112" customFormat="1">
      <c r="A9" s="373" t="s">
        <v>2372</v>
      </c>
      <c r="B9" s="67" t="s">
        <v>2373</v>
      </c>
      <c r="C9" s="374"/>
      <c r="D9" s="129">
        <v>100</v>
      </c>
      <c r="E9" s="377"/>
      <c r="F9" s="129">
        <f>SUMIF(64:64,E9,65:65)-SUMIF(64:64,C9,65:65)+100</f>
        <v>100</v>
      </c>
      <c r="G9" s="375"/>
      <c r="H9" s="129">
        <f>SUMIF(64:64,G9,65:65)-SUMIF(64:64,C9,65:65)+100</f>
        <v>100</v>
      </c>
      <c r="I9" s="375"/>
      <c r="J9" s="129">
        <f>SUMIF(64:64,I9,65:65)-SUMIF(64:64,C9,65:65)+100</f>
        <v>100</v>
      </c>
      <c r="K9" s="566"/>
      <c r="L9" s="2943"/>
      <c r="M9" s="2944"/>
      <c r="N9" s="2944"/>
      <c r="O9" s="2944"/>
      <c r="P9" s="3315"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2143">
        <f t="shared" si="5"/>
        <v>1</v>
      </c>
    </row>
    <row r="10" spans="1:29" s="384" customFormat="1" ht="27">
      <c r="A10" s="378"/>
      <c r="B10" s="379" t="s">
        <v>2376</v>
      </c>
      <c r="C10" s="380"/>
      <c r="D10" s="130">
        <v>100</v>
      </c>
      <c r="E10" s="380"/>
      <c r="F10" s="130">
        <f>SUMIF(66:66,E10,67:67)-SUMIF(66:66,C10,67:67)+100</f>
        <v>100</v>
      </c>
      <c r="G10" s="381"/>
      <c r="H10" s="130">
        <f>SUMIF(66:66,G10,67:67)-SUMIF(66:66,C10,67:67)+100</f>
        <v>100</v>
      </c>
      <c r="I10" s="380"/>
      <c r="J10" s="130">
        <f>SUMIF(66:66,I10,67:67)-SUMIF(66:66,C10,67:67)+100</f>
        <v>100</v>
      </c>
      <c r="K10" s="567"/>
      <c r="L10" s="2945"/>
      <c r="M10" s="2946"/>
      <c r="N10" s="2946"/>
      <c r="O10" s="2946"/>
      <c r="P10" s="3315"/>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2143">
        <f t="shared" si="5"/>
        <v>1</v>
      </c>
    </row>
    <row r="11" spans="1:29" ht="15">
      <c r="A11" s="385"/>
      <c r="B11" s="379" t="s">
        <v>2377</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7"/>
      <c r="M11" s="2942"/>
      <c r="N11" s="2942"/>
      <c r="O11" s="2942"/>
      <c r="P11" s="3315"/>
      <c r="Q11" s="1525" t="str">
        <f t="shared" si="6"/>
        <v>容积率</v>
      </c>
      <c r="R11" s="708" t="s">
        <v>17</v>
      </c>
      <c r="S11" s="709" t="e">
        <f t="shared" si="0"/>
        <v>#N/A</v>
      </c>
      <c r="T11" s="708" t="s">
        <v>17</v>
      </c>
      <c r="U11" s="709" t="e">
        <f t="shared" si="1"/>
        <v>#N/A</v>
      </c>
      <c r="V11" s="708" t="s">
        <v>17</v>
      </c>
      <c r="W11" s="709" t="e">
        <f t="shared" si="2"/>
        <v>#N/A</v>
      </c>
      <c r="X11" s="710"/>
      <c r="Y11" s="3210"/>
      <c r="Z11" s="55" t="str">
        <f t="shared" si="7"/>
        <v>容积率</v>
      </c>
      <c r="AA11" s="711" t="e">
        <f t="shared" si="3"/>
        <v>#N/A</v>
      </c>
      <c r="AB11" s="711" t="e">
        <f t="shared" si="4"/>
        <v>#N/A</v>
      </c>
      <c r="AC11" s="2143" t="e">
        <f t="shared" si="5"/>
        <v>#N/A</v>
      </c>
    </row>
    <row r="12" spans="1:29" s="112"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3"/>
      <c r="M12" s="2944"/>
      <c r="N12" s="2944"/>
      <c r="O12" s="2944"/>
      <c r="P12" s="3315"/>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8"/>
      <c r="M13" s="2942"/>
      <c r="N13" s="2942"/>
      <c r="O13" s="2942"/>
      <c r="P13" s="3315"/>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8"/>
      <c r="M14" s="2942"/>
      <c r="N14" s="2942"/>
      <c r="O14" s="2942"/>
      <c r="P14" s="3315"/>
      <c r="Q14" s="1525">
        <f t="shared" si="6"/>
        <v>111</v>
      </c>
      <c r="R14" s="708" t="s">
        <v>17</v>
      </c>
      <c r="S14" s="709">
        <f t="shared" si="0"/>
        <v>100</v>
      </c>
      <c r="T14" s="708" t="s">
        <v>17</v>
      </c>
      <c r="U14" s="709">
        <f t="shared" si="1"/>
        <v>100</v>
      </c>
      <c r="V14" s="708" t="s">
        <v>17</v>
      </c>
      <c r="W14" s="709">
        <f t="shared" si="2"/>
        <v>100</v>
      </c>
      <c r="X14" s="710"/>
      <c r="Y14" s="3210"/>
      <c r="Z14" s="55">
        <f t="shared" si="7"/>
        <v>111</v>
      </c>
      <c r="AA14" s="711">
        <f t="shared" si="3"/>
        <v>1</v>
      </c>
      <c r="AB14" s="711">
        <f t="shared" si="4"/>
        <v>1</v>
      </c>
      <c r="AC14" s="2143">
        <f t="shared" si="5"/>
        <v>1</v>
      </c>
    </row>
    <row r="15" spans="1:29" ht="71.25">
      <c r="A15" s="397" t="s">
        <v>2378</v>
      </c>
      <c r="B15" s="583" t="s">
        <v>2506</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8"/>
      <c r="M15" s="2942"/>
      <c r="N15" s="2942"/>
      <c r="O15" s="2942"/>
      <c r="P15" s="3358" t="s">
        <v>2379</v>
      </c>
      <c r="Q15" s="1534" t="str">
        <f t="shared" si="6"/>
        <v>办公集聚程度</v>
      </c>
      <c r="R15" s="712" t="s">
        <v>17</v>
      </c>
      <c r="S15" s="713">
        <f t="shared" si="0"/>
        <v>100</v>
      </c>
      <c r="T15" s="712" t="s">
        <v>17</v>
      </c>
      <c r="U15" s="713">
        <f t="shared" si="1"/>
        <v>100</v>
      </c>
      <c r="V15" s="712" t="s">
        <v>17</v>
      </c>
      <c r="W15" s="713">
        <f t="shared" si="2"/>
        <v>100</v>
      </c>
      <c r="X15" s="1537"/>
      <c r="Y15" s="3318" t="s">
        <v>2379</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8"/>
      <c r="M16" s="2942"/>
      <c r="N16" s="2942"/>
      <c r="O16" s="2942"/>
      <c r="P16" s="3359"/>
      <c r="Q16" s="1534"/>
      <c r="R16" s="712"/>
      <c r="S16" s="713"/>
      <c r="T16" s="712"/>
      <c r="U16" s="713"/>
      <c r="V16" s="712"/>
      <c r="W16" s="713"/>
      <c r="X16" s="1537"/>
      <c r="Y16" s="3319"/>
      <c r="Z16" s="1538"/>
      <c r="AA16" s="1535">
        <v>1</v>
      </c>
      <c r="AB16" s="1535">
        <v>1</v>
      </c>
      <c r="AC16" s="2146">
        <v>1</v>
      </c>
    </row>
    <row r="17" spans="1:29" ht="71.25">
      <c r="A17" s="385"/>
      <c r="B17" s="585" t="s">
        <v>1946</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8"/>
      <c r="M17" s="2942"/>
      <c r="N17" s="2942"/>
      <c r="O17" s="2942"/>
      <c r="P17" s="3359"/>
      <c r="Q17" s="1534" t="str">
        <f>B17</f>
        <v>交通便捷度</v>
      </c>
      <c r="R17" s="712" t="s">
        <v>17</v>
      </c>
      <c r="S17" s="713">
        <f>F17</f>
        <v>100</v>
      </c>
      <c r="T17" s="712" t="s">
        <v>17</v>
      </c>
      <c r="U17" s="713">
        <f>H17</f>
        <v>100</v>
      </c>
      <c r="V17" s="712" t="s">
        <v>17</v>
      </c>
      <c r="W17" s="713">
        <f>J17</f>
        <v>100</v>
      </c>
      <c r="X17" s="1537"/>
      <c r="Y17" s="3319"/>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8"/>
      <c r="M18" s="2942"/>
      <c r="N18" s="2942"/>
      <c r="O18" s="2942"/>
      <c r="P18" s="3359"/>
      <c r="Q18" s="1534"/>
      <c r="R18" s="712"/>
      <c r="S18" s="713"/>
      <c r="T18" s="712"/>
      <c r="U18" s="713"/>
      <c r="V18" s="712"/>
      <c r="W18" s="713"/>
      <c r="X18" s="1537"/>
      <c r="Y18" s="3319"/>
      <c r="Z18" s="1538"/>
      <c r="AA18" s="1535">
        <v>1</v>
      </c>
      <c r="AB18" s="1535">
        <v>1</v>
      </c>
      <c r="AC18" s="2146">
        <v>1</v>
      </c>
    </row>
    <row r="19" spans="1:29" ht="42.75">
      <c r="A19" s="385"/>
      <c r="B19" s="585" t="s">
        <v>2507</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8"/>
      <c r="M19" s="2942"/>
      <c r="N19" s="2942"/>
      <c r="O19" s="2942"/>
      <c r="P19" s="3359"/>
      <c r="Q19" s="1534" t="str">
        <f>B19</f>
        <v>公共配套设施</v>
      </c>
      <c r="R19" s="712" t="s">
        <v>17</v>
      </c>
      <c r="S19" s="713">
        <f>F19</f>
        <v>100</v>
      </c>
      <c r="T19" s="712" t="s">
        <v>17</v>
      </c>
      <c r="U19" s="713">
        <f>H19</f>
        <v>100</v>
      </c>
      <c r="V19" s="712" t="s">
        <v>17</v>
      </c>
      <c r="W19" s="713">
        <f>J19</f>
        <v>100</v>
      </c>
      <c r="X19" s="1537"/>
      <c r="Y19" s="3319"/>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8"/>
      <c r="M20" s="2942"/>
      <c r="N20" s="2942"/>
      <c r="O20" s="2942"/>
      <c r="P20" s="3359"/>
      <c r="Q20" s="1534"/>
      <c r="R20" s="712"/>
      <c r="S20" s="713"/>
      <c r="T20" s="712"/>
      <c r="U20" s="713"/>
      <c r="V20" s="712"/>
      <c r="W20" s="713"/>
      <c r="X20" s="1537"/>
      <c r="Y20" s="3319"/>
      <c r="Z20" s="1538"/>
      <c r="AA20" s="1535">
        <v>1</v>
      </c>
      <c r="AB20" s="1535">
        <v>1</v>
      </c>
      <c r="AC20" s="2146">
        <v>1</v>
      </c>
    </row>
    <row r="21" spans="1:29" ht="28.5">
      <c r="A21" s="385"/>
      <c r="B21" s="587" t="s">
        <v>2508</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8"/>
      <c r="M21" s="2942"/>
      <c r="N21" s="2942"/>
      <c r="O21" s="2942"/>
      <c r="P21" s="3359"/>
      <c r="Q21" s="1534" t="str">
        <f>B21</f>
        <v>基础设施水平</v>
      </c>
      <c r="R21" s="712" t="s">
        <v>17</v>
      </c>
      <c r="S21" s="713">
        <f>F21</f>
        <v>100</v>
      </c>
      <c r="T21" s="712" t="s">
        <v>17</v>
      </c>
      <c r="U21" s="713">
        <f>H21</f>
        <v>100</v>
      </c>
      <c r="V21" s="712" t="s">
        <v>17</v>
      </c>
      <c r="W21" s="713">
        <f>J21</f>
        <v>100</v>
      </c>
      <c r="X21" s="1537"/>
      <c r="Y21" s="3319"/>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8"/>
      <c r="M22" s="2942"/>
      <c r="N22" s="2942"/>
      <c r="O22" s="2942"/>
      <c r="P22" s="3359"/>
      <c r="Q22" s="1534"/>
      <c r="R22" s="712"/>
      <c r="S22" s="713"/>
      <c r="T22" s="712"/>
      <c r="U22" s="713"/>
      <c r="V22" s="712"/>
      <c r="W22" s="713"/>
      <c r="X22" s="1537"/>
      <c r="Y22" s="3319"/>
      <c r="Z22" s="1538"/>
      <c r="AA22" s="1535">
        <v>1</v>
      </c>
      <c r="AB22" s="1535">
        <v>1</v>
      </c>
      <c r="AC22" s="2146">
        <v>1</v>
      </c>
    </row>
    <row r="23" spans="1:29" ht="42.75">
      <c r="A23" s="385"/>
      <c r="B23" s="585" t="s">
        <v>2509</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8"/>
      <c r="M23" s="2942"/>
      <c r="N23" s="2942"/>
      <c r="O23" s="2942"/>
      <c r="P23" s="3359"/>
      <c r="Q23" s="1534" t="str">
        <f>B23</f>
        <v>环境质量</v>
      </c>
      <c r="R23" s="712" t="s">
        <v>17</v>
      </c>
      <c r="S23" s="713">
        <f>F23</f>
        <v>100</v>
      </c>
      <c r="T23" s="712" t="s">
        <v>17</v>
      </c>
      <c r="U23" s="713">
        <f>H23</f>
        <v>100</v>
      </c>
      <c r="V23" s="712" t="s">
        <v>17</v>
      </c>
      <c r="W23" s="713">
        <f>J23</f>
        <v>100</v>
      </c>
      <c r="X23" s="1537"/>
      <c r="Y23" s="3319"/>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8"/>
      <c r="M24" s="2942"/>
      <c r="N24" s="2942"/>
      <c r="O24" s="2942"/>
      <c r="P24" s="3359"/>
      <c r="Q24" s="1534"/>
      <c r="R24" s="712"/>
      <c r="S24" s="713"/>
      <c r="T24" s="712"/>
      <c r="U24" s="713"/>
      <c r="V24" s="712"/>
      <c r="W24" s="713"/>
      <c r="X24" s="1537"/>
      <c r="Y24" s="3319"/>
      <c r="Z24" s="1538"/>
      <c r="AA24" s="1535">
        <v>1</v>
      </c>
      <c r="AB24" s="1535">
        <v>1</v>
      </c>
      <c r="AC24" s="2146">
        <v>1</v>
      </c>
    </row>
    <row r="25" spans="1:29" ht="27">
      <c r="A25" s="362"/>
      <c r="B25" s="585" t="s">
        <v>2510</v>
      </c>
      <c r="C25" s="2092"/>
      <c r="D25" s="392">
        <v>100</v>
      </c>
      <c r="E25" s="391"/>
      <c r="F25" s="392">
        <f>SUMIF(87:87,E26,88:88)-SUMIF(87:87,C26,88:88)+100</f>
        <v>100</v>
      </c>
      <c r="G25" s="2092"/>
      <c r="H25" s="392">
        <f>SUMIF(87:87,G26,88:88)-SUMIF(87:87,C26,88:88)+100</f>
        <v>100</v>
      </c>
      <c r="I25" s="391"/>
      <c r="J25" s="392">
        <f>SUMIF(87:87,I26,88:88)-SUMIF(87:87,C26,88:88)+100</f>
        <v>100</v>
      </c>
      <c r="K25" s="569"/>
      <c r="L25" s="2948"/>
      <c r="M25" s="2942"/>
      <c r="N25" s="2942"/>
      <c r="O25" s="2942"/>
      <c r="P25" s="3359"/>
      <c r="Q25" s="1534" t="str">
        <f>B25</f>
        <v>毗邻道路的类型与等级</v>
      </c>
      <c r="R25" s="712" t="s">
        <v>17</v>
      </c>
      <c r="S25" s="713">
        <f>F25</f>
        <v>100</v>
      </c>
      <c r="T25" s="712" t="s">
        <v>17</v>
      </c>
      <c r="U25" s="713">
        <f>H25</f>
        <v>100</v>
      </c>
      <c r="V25" s="712" t="s">
        <v>17</v>
      </c>
      <c r="W25" s="713">
        <f>J25</f>
        <v>100</v>
      </c>
      <c r="X25" s="1537"/>
      <c r="Y25" s="3319"/>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8"/>
      <c r="M26" s="2942"/>
      <c r="N26" s="2942"/>
      <c r="O26" s="2942"/>
      <c r="P26" s="3359"/>
      <c r="Q26" s="1534"/>
      <c r="R26" s="712"/>
      <c r="S26" s="713"/>
      <c r="T26" s="712"/>
      <c r="U26" s="713"/>
      <c r="V26" s="712"/>
      <c r="W26" s="713"/>
      <c r="X26" s="1537"/>
      <c r="Y26" s="3319"/>
      <c r="Z26" s="1538"/>
      <c r="AA26" s="1535">
        <v>1</v>
      </c>
      <c r="AB26" s="1535">
        <v>1</v>
      </c>
      <c r="AC26" s="2146">
        <v>1</v>
      </c>
    </row>
    <row r="27" spans="1:29" ht="15">
      <c r="A27" s="385"/>
      <c r="B27" s="586" t="s">
        <v>2478</v>
      </c>
      <c r="C27" s="588"/>
      <c r="D27" s="392">
        <v>100</v>
      </c>
      <c r="E27" s="571"/>
      <c r="F27" s="392">
        <f>SUMIF(89:89,E27,90:90)-SUMIF(89:89,C27,90:90)+100</f>
        <v>100</v>
      </c>
      <c r="G27" s="588"/>
      <c r="H27" s="392">
        <f>SUMIF(89:89,G27,90:90)-SUMIF(89:89,C27,90:90)+100</f>
        <v>100</v>
      </c>
      <c r="I27" s="571"/>
      <c r="J27" s="392">
        <f>SUMIF(89:89,I27,90:90)-SUMIF(89:89,C27,90:90)+100</f>
        <v>100</v>
      </c>
      <c r="K27" s="567"/>
      <c r="L27" s="2948"/>
      <c r="M27" s="2942"/>
      <c r="N27" s="2942"/>
      <c r="O27" s="2942"/>
      <c r="P27" s="3359"/>
      <c r="Q27" s="1534" t="str">
        <f t="shared" ref="Q27:Q47" si="11">B27</f>
        <v>楼层</v>
      </c>
      <c r="R27" s="712" t="s">
        <v>17</v>
      </c>
      <c r="S27" s="713">
        <f>F27</f>
        <v>100</v>
      </c>
      <c r="T27" s="712" t="s">
        <v>17</v>
      </c>
      <c r="U27" s="713">
        <f>H27</f>
        <v>100</v>
      </c>
      <c r="V27" s="712" t="s">
        <v>17</v>
      </c>
      <c r="W27" s="713">
        <f>J27</f>
        <v>100</v>
      </c>
      <c r="X27" s="1537"/>
      <c r="Y27" s="3319"/>
      <c r="Z27" s="1538" t="str">
        <f>Q27</f>
        <v>楼层</v>
      </c>
      <c r="AA27" s="1535">
        <f t="shared" si="3"/>
        <v>1</v>
      </c>
      <c r="AB27" s="1535">
        <f t="shared" si="4"/>
        <v>1</v>
      </c>
      <c r="AC27" s="2146">
        <f t="shared" si="5"/>
        <v>1</v>
      </c>
    </row>
    <row r="28" spans="1:29" s="112" customFormat="1" ht="15">
      <c r="A28" s="388"/>
      <c r="B28" s="585" t="s">
        <v>2511</v>
      </c>
      <c r="C28" s="2149"/>
      <c r="D28" s="419">
        <v>100</v>
      </c>
      <c r="E28" s="2140"/>
      <c r="F28" s="419">
        <f>SUMIF(91:91,E28,92:92)-SUMIF(91:91,C28,92:92)+100</f>
        <v>100</v>
      </c>
      <c r="G28" s="2149"/>
      <c r="H28" s="419">
        <f>SUMIF(91:91,G28,92:92)-SUMIF(91:91,C28,92:92)+100</f>
        <v>100</v>
      </c>
      <c r="I28" s="2140"/>
      <c r="J28" s="419">
        <f>SUMIF(91:91,I28,92:92)-SUMIF(91:91,C28,92:92)+100</f>
        <v>100</v>
      </c>
      <c r="K28" s="567"/>
      <c r="L28" s="2943"/>
      <c r="M28" s="2944"/>
      <c r="N28" s="2944"/>
      <c r="O28" s="2944"/>
      <c r="P28" s="3359"/>
      <c r="Q28" s="1525" t="str">
        <f t="shared" si="11"/>
        <v>朝向</v>
      </c>
      <c r="R28" s="708" t="s">
        <v>17</v>
      </c>
      <c r="S28" s="709">
        <f>F28</f>
        <v>100</v>
      </c>
      <c r="T28" s="708" t="s">
        <v>17</v>
      </c>
      <c r="U28" s="709">
        <f>H28</f>
        <v>100</v>
      </c>
      <c r="V28" s="708" t="s">
        <v>17</v>
      </c>
      <c r="W28" s="709">
        <f>J28</f>
        <v>100</v>
      </c>
      <c r="X28" s="710"/>
      <c r="Y28" s="3319"/>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8"/>
      <c r="M29" s="2942"/>
      <c r="N29" s="2942"/>
      <c r="O29" s="2942"/>
      <c r="P29" s="3359"/>
      <c r="Q29" s="1534">
        <f t="shared" si="11"/>
        <v>111</v>
      </c>
      <c r="R29" s="712" t="s">
        <v>17</v>
      </c>
      <c r="S29" s="713">
        <f t="shared" ref="S29:S47" si="12">F29</f>
        <v>100</v>
      </c>
      <c r="T29" s="712" t="s">
        <v>17</v>
      </c>
      <c r="U29" s="713">
        <f t="shared" ref="U29:U47" si="13">H29</f>
        <v>100</v>
      </c>
      <c r="V29" s="712" t="s">
        <v>17</v>
      </c>
      <c r="W29" s="713">
        <f t="shared" ref="W29:W47" si="14">J29</f>
        <v>100</v>
      </c>
      <c r="X29" s="1537"/>
      <c r="Y29" s="3319"/>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8"/>
      <c r="M30" s="2942"/>
      <c r="N30" s="2942"/>
      <c r="O30" s="2942"/>
      <c r="P30" s="3359"/>
      <c r="Q30" s="1534">
        <f t="shared" si="11"/>
        <v>111</v>
      </c>
      <c r="R30" s="712" t="s">
        <v>17</v>
      </c>
      <c r="S30" s="713">
        <f t="shared" si="12"/>
        <v>100</v>
      </c>
      <c r="T30" s="712" t="s">
        <v>17</v>
      </c>
      <c r="U30" s="713">
        <f t="shared" si="13"/>
        <v>100</v>
      </c>
      <c r="V30" s="712" t="s">
        <v>17</v>
      </c>
      <c r="W30" s="713">
        <f t="shared" si="14"/>
        <v>100</v>
      </c>
      <c r="X30" s="1537"/>
      <c r="Y30" s="3319"/>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8"/>
      <c r="M31" s="2942"/>
      <c r="N31" s="2942"/>
      <c r="O31" s="2942"/>
      <c r="P31" s="3359"/>
      <c r="Q31" s="1534">
        <f t="shared" si="11"/>
        <v>111</v>
      </c>
      <c r="R31" s="712" t="s">
        <v>17</v>
      </c>
      <c r="S31" s="713">
        <f t="shared" si="12"/>
        <v>100</v>
      </c>
      <c r="T31" s="712" t="s">
        <v>17</v>
      </c>
      <c r="U31" s="713">
        <f t="shared" si="13"/>
        <v>100</v>
      </c>
      <c r="V31" s="712" t="s">
        <v>17</v>
      </c>
      <c r="W31" s="713">
        <f t="shared" si="14"/>
        <v>100</v>
      </c>
      <c r="X31" s="1537"/>
      <c r="Y31" s="3319"/>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8"/>
      <c r="M32" s="2942"/>
      <c r="N32" s="2942"/>
      <c r="O32" s="2942"/>
      <c r="P32" s="3359"/>
      <c r="Q32" s="1534">
        <f t="shared" si="11"/>
        <v>111</v>
      </c>
      <c r="R32" s="712" t="s">
        <v>17</v>
      </c>
      <c r="S32" s="713">
        <f t="shared" si="12"/>
        <v>100</v>
      </c>
      <c r="T32" s="712" t="s">
        <v>17</v>
      </c>
      <c r="U32" s="713">
        <f t="shared" si="13"/>
        <v>100</v>
      </c>
      <c r="V32" s="712" t="s">
        <v>17</v>
      </c>
      <c r="W32" s="713">
        <f t="shared" si="14"/>
        <v>100</v>
      </c>
      <c r="X32" s="1537"/>
      <c r="Y32" s="3319"/>
      <c r="Z32" s="1538">
        <f t="shared" si="15"/>
        <v>111</v>
      </c>
      <c r="AA32" s="1535">
        <f t="shared" si="3"/>
        <v>1</v>
      </c>
      <c r="AB32" s="1535">
        <f t="shared" si="4"/>
        <v>1</v>
      </c>
      <c r="AC32" s="2146">
        <f t="shared" si="5"/>
        <v>1</v>
      </c>
    </row>
    <row r="33" spans="1:29" ht="15">
      <c r="A33" s="397" t="s">
        <v>2382</v>
      </c>
      <c r="B33" s="67" t="s">
        <v>2512</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8"/>
      <c r="M33" s="2942"/>
      <c r="N33" s="2942"/>
      <c r="O33" s="2942"/>
      <c r="P33" s="3354" t="s">
        <v>2384</v>
      </c>
      <c r="Q33" s="1534" t="str">
        <f t="shared" si="11"/>
        <v>建筑类型</v>
      </c>
      <c r="R33" s="712" t="s">
        <v>17</v>
      </c>
      <c r="S33" s="713">
        <f t="shared" si="12"/>
        <v>100</v>
      </c>
      <c r="T33" s="712" t="s">
        <v>17</v>
      </c>
      <c r="U33" s="713">
        <f t="shared" si="13"/>
        <v>100</v>
      </c>
      <c r="V33" s="712" t="s">
        <v>17</v>
      </c>
      <c r="W33" s="713">
        <f t="shared" si="14"/>
        <v>100</v>
      </c>
      <c r="X33" s="1537"/>
      <c r="Y33" s="3321" t="s">
        <v>2384</v>
      </c>
      <c r="Z33" s="1538" t="str">
        <f t="shared" si="15"/>
        <v>建筑类型</v>
      </c>
      <c r="AA33" s="1535">
        <f t="shared" si="3"/>
        <v>1</v>
      </c>
      <c r="AB33" s="1535">
        <f t="shared" si="4"/>
        <v>1</v>
      </c>
      <c r="AC33" s="2146">
        <f t="shared" si="5"/>
        <v>1</v>
      </c>
    </row>
    <row r="34" spans="1:29" s="428" customFormat="1" ht="15">
      <c r="A34" s="425"/>
      <c r="B34" s="379" t="s">
        <v>2385</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7"/>
      <c r="M34" s="2949"/>
      <c r="N34" s="2949"/>
      <c r="O34" s="2949"/>
      <c r="P34" s="3355"/>
      <c r="Q34" s="714" t="str">
        <f t="shared" si="11"/>
        <v>项目建筑规模</v>
      </c>
      <c r="R34" s="715" t="s">
        <v>17</v>
      </c>
      <c r="S34" s="716" t="e">
        <f t="shared" si="12"/>
        <v>#N/A</v>
      </c>
      <c r="T34" s="715" t="s">
        <v>17</v>
      </c>
      <c r="U34" s="716" t="e">
        <f t="shared" si="13"/>
        <v>#N/A</v>
      </c>
      <c r="V34" s="715" t="s">
        <v>17</v>
      </c>
      <c r="W34" s="716" t="e">
        <f t="shared" si="14"/>
        <v>#N/A</v>
      </c>
      <c r="X34" s="717"/>
      <c r="Y34" s="3321"/>
      <c r="Z34" s="718" t="str">
        <f t="shared" si="15"/>
        <v>项目建筑规模</v>
      </c>
      <c r="AA34" s="1535" t="e">
        <f t="shared" si="3"/>
        <v>#N/A</v>
      </c>
      <c r="AB34" s="1535" t="e">
        <f t="shared" si="4"/>
        <v>#N/A</v>
      </c>
      <c r="AC34" s="2146" t="e">
        <f t="shared" si="5"/>
        <v>#N/A</v>
      </c>
    </row>
    <row r="35" spans="1:29" ht="15">
      <c r="A35" s="429"/>
      <c r="B35" s="379" t="s">
        <v>2386</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8"/>
      <c r="M35" s="2942"/>
      <c r="N35" s="2942"/>
      <c r="O35" s="2942"/>
      <c r="P35" s="3355"/>
      <c r="Q35" s="1534" t="str">
        <f t="shared" si="11"/>
        <v>建筑结构</v>
      </c>
      <c r="R35" s="712" t="s">
        <v>17</v>
      </c>
      <c r="S35" s="713">
        <f t="shared" si="12"/>
        <v>100</v>
      </c>
      <c r="T35" s="712" t="s">
        <v>17</v>
      </c>
      <c r="U35" s="713">
        <f t="shared" si="13"/>
        <v>100</v>
      </c>
      <c r="V35" s="712" t="s">
        <v>17</v>
      </c>
      <c r="W35" s="713">
        <f t="shared" si="14"/>
        <v>100</v>
      </c>
      <c r="X35" s="1537"/>
      <c r="Y35" s="3321"/>
      <c r="Z35" s="1538" t="str">
        <f t="shared" si="15"/>
        <v>建筑结构</v>
      </c>
      <c r="AA35" s="1535">
        <f t="shared" si="3"/>
        <v>1</v>
      </c>
      <c r="AB35" s="1535">
        <f t="shared" si="4"/>
        <v>1</v>
      </c>
      <c r="AC35" s="2146">
        <f t="shared" si="5"/>
        <v>1</v>
      </c>
    </row>
    <row r="36" spans="1:29" ht="15">
      <c r="A36" s="429"/>
      <c r="B36" s="379" t="s">
        <v>2480</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8"/>
      <c r="M36" s="2942"/>
      <c r="N36" s="2942"/>
      <c r="O36" s="2942"/>
      <c r="P36" s="3355"/>
      <c r="Q36" s="1534" t="str">
        <f t="shared" si="11"/>
        <v>公共部分装修</v>
      </c>
      <c r="R36" s="712" t="s">
        <v>17</v>
      </c>
      <c r="S36" s="713">
        <f t="shared" si="12"/>
        <v>100</v>
      </c>
      <c r="T36" s="712" t="s">
        <v>17</v>
      </c>
      <c r="U36" s="713">
        <f t="shared" si="13"/>
        <v>100</v>
      </c>
      <c r="V36" s="712" t="s">
        <v>17</v>
      </c>
      <c r="W36" s="713">
        <f t="shared" si="14"/>
        <v>100</v>
      </c>
      <c r="X36" s="1537"/>
      <c r="Y36" s="3321"/>
      <c r="Z36" s="1538" t="str">
        <f t="shared" si="15"/>
        <v>公共部分装修</v>
      </c>
      <c r="AA36" s="1535">
        <f t="shared" si="3"/>
        <v>1</v>
      </c>
      <c r="AB36" s="1535">
        <f t="shared" si="4"/>
        <v>1</v>
      </c>
      <c r="AC36" s="2146">
        <f t="shared" si="5"/>
        <v>1</v>
      </c>
    </row>
    <row r="37" spans="1:29" ht="15">
      <c r="A37" s="429"/>
      <c r="B37" s="379" t="s">
        <v>2481</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8"/>
      <c r="M37" s="2942"/>
      <c r="N37" s="2942"/>
      <c r="O37" s="2942"/>
      <c r="P37" s="3355"/>
      <c r="Q37" s="1534" t="str">
        <f t="shared" si="11"/>
        <v>成新度</v>
      </c>
      <c r="R37" s="712" t="s">
        <v>17</v>
      </c>
      <c r="S37" s="713" t="e">
        <f t="shared" si="12"/>
        <v>#N/A</v>
      </c>
      <c r="T37" s="712" t="s">
        <v>17</v>
      </c>
      <c r="U37" s="713" t="e">
        <f t="shared" si="13"/>
        <v>#N/A</v>
      </c>
      <c r="V37" s="712" t="s">
        <v>17</v>
      </c>
      <c r="W37" s="713" t="e">
        <f t="shared" si="14"/>
        <v>#N/A</v>
      </c>
      <c r="X37" s="1537"/>
      <c r="Y37" s="3321"/>
      <c r="Z37" s="1538" t="str">
        <f t="shared" si="15"/>
        <v>成新度</v>
      </c>
      <c r="AA37" s="1535" t="e">
        <f t="shared" si="3"/>
        <v>#N/A</v>
      </c>
      <c r="AB37" s="1535" t="e">
        <f t="shared" si="4"/>
        <v>#N/A</v>
      </c>
      <c r="AC37" s="2146" t="e">
        <f t="shared" si="5"/>
        <v>#N/A</v>
      </c>
    </row>
    <row r="38" spans="1:29" s="112" customFormat="1" ht="15">
      <c r="A38" s="430"/>
      <c r="B38" s="379" t="s">
        <v>2513</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3"/>
      <c r="M38" s="2944"/>
      <c r="N38" s="2944"/>
      <c r="O38" s="2944"/>
      <c r="P38" s="3355"/>
      <c r="Q38" s="1525" t="str">
        <f t="shared" si="11"/>
        <v>写字楼等级</v>
      </c>
      <c r="R38" s="708" t="s">
        <v>17</v>
      </c>
      <c r="S38" s="709">
        <f t="shared" si="12"/>
        <v>100</v>
      </c>
      <c r="T38" s="708" t="s">
        <v>17</v>
      </c>
      <c r="U38" s="709">
        <f t="shared" si="13"/>
        <v>100</v>
      </c>
      <c r="V38" s="708" t="s">
        <v>17</v>
      </c>
      <c r="W38" s="709">
        <f t="shared" si="14"/>
        <v>100</v>
      </c>
      <c r="X38" s="710"/>
      <c r="Y38" s="3321"/>
      <c r="Z38" s="55" t="str">
        <f t="shared" si="15"/>
        <v>写字楼等级</v>
      </c>
      <c r="AA38" s="711">
        <f t="shared" si="3"/>
        <v>1</v>
      </c>
      <c r="AB38" s="711">
        <f t="shared" si="4"/>
        <v>1</v>
      </c>
      <c r="AC38" s="2143">
        <f t="shared" si="5"/>
        <v>1</v>
      </c>
    </row>
    <row r="39" spans="1:29" ht="15">
      <c r="A39" s="429"/>
      <c r="B39" s="379" t="s">
        <v>2514</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8"/>
      <c r="M39" s="2942"/>
      <c r="N39" s="2942"/>
      <c r="O39" s="2942"/>
      <c r="P39" s="3355" t="s">
        <v>2384</v>
      </c>
      <c r="Q39" s="1534" t="str">
        <f t="shared" si="11"/>
        <v>物业管理</v>
      </c>
      <c r="R39" s="712" t="s">
        <v>17</v>
      </c>
      <c r="S39" s="713">
        <f t="shared" si="12"/>
        <v>100</v>
      </c>
      <c r="T39" s="712" t="s">
        <v>17</v>
      </c>
      <c r="U39" s="713">
        <f t="shared" si="13"/>
        <v>100</v>
      </c>
      <c r="V39" s="712" t="s">
        <v>17</v>
      </c>
      <c r="W39" s="713">
        <f t="shared" si="14"/>
        <v>100</v>
      </c>
      <c r="X39" s="1537"/>
      <c r="Y39" s="3321" t="s">
        <v>2384</v>
      </c>
      <c r="Z39" s="1538" t="str">
        <f t="shared" si="15"/>
        <v>物业管理</v>
      </c>
      <c r="AA39" s="1535">
        <f t="shared" si="3"/>
        <v>1</v>
      </c>
      <c r="AB39" s="1535">
        <f t="shared" si="4"/>
        <v>1</v>
      </c>
      <c r="AC39" s="2146">
        <f t="shared" si="5"/>
        <v>1</v>
      </c>
    </row>
    <row r="40" spans="1:29" ht="15">
      <c r="A40" s="429"/>
      <c r="B40" s="379" t="s">
        <v>2482</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8"/>
      <c r="M40" s="2942"/>
      <c r="N40" s="2942"/>
      <c r="O40" s="2942"/>
      <c r="P40" s="3355"/>
      <c r="Q40" s="1534" t="str">
        <f t="shared" si="11"/>
        <v>市政基础设施</v>
      </c>
      <c r="R40" s="712" t="s">
        <v>17</v>
      </c>
      <c r="S40" s="713">
        <f t="shared" si="12"/>
        <v>100</v>
      </c>
      <c r="T40" s="712" t="s">
        <v>17</v>
      </c>
      <c r="U40" s="713">
        <f t="shared" si="13"/>
        <v>100</v>
      </c>
      <c r="V40" s="712" t="s">
        <v>17</v>
      </c>
      <c r="W40" s="713">
        <f t="shared" si="14"/>
        <v>100</v>
      </c>
      <c r="X40" s="1537"/>
      <c r="Y40" s="3321"/>
      <c r="Z40" s="1538" t="str">
        <f t="shared" si="15"/>
        <v>市政基础设施</v>
      </c>
      <c r="AA40" s="1535">
        <f t="shared" si="3"/>
        <v>1</v>
      </c>
      <c r="AB40" s="1535">
        <f t="shared" si="4"/>
        <v>1</v>
      </c>
      <c r="AC40" s="2146">
        <f t="shared" si="5"/>
        <v>1</v>
      </c>
    </row>
    <row r="41" spans="1:29" ht="15">
      <c r="A41" s="429"/>
      <c r="B41" s="379" t="s">
        <v>2484</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8"/>
      <c r="M41" s="2942"/>
      <c r="N41" s="2942"/>
      <c r="O41" s="2942"/>
      <c r="P41" s="3355"/>
      <c r="Q41" s="1534" t="str">
        <f t="shared" si="11"/>
        <v>层高</v>
      </c>
      <c r="R41" s="712" t="s">
        <v>17</v>
      </c>
      <c r="S41" s="713">
        <f t="shared" si="12"/>
        <v>100</v>
      </c>
      <c r="T41" s="712" t="s">
        <v>17</v>
      </c>
      <c r="U41" s="713">
        <f t="shared" si="13"/>
        <v>100</v>
      </c>
      <c r="V41" s="712" t="s">
        <v>17</v>
      </c>
      <c r="W41" s="713">
        <f t="shared" si="14"/>
        <v>100</v>
      </c>
      <c r="X41" s="1537"/>
      <c r="Y41" s="3321"/>
      <c r="Z41" s="1538" t="str">
        <f t="shared" si="15"/>
        <v>层高</v>
      </c>
      <c r="AA41" s="1535">
        <f t="shared" si="3"/>
        <v>1</v>
      </c>
      <c r="AB41" s="1535">
        <f t="shared" si="4"/>
        <v>1</v>
      </c>
      <c r="AC41" s="2146">
        <f t="shared" si="5"/>
        <v>1</v>
      </c>
    </row>
    <row r="42" spans="1:29" s="428" customFormat="1" ht="15">
      <c r="A42" s="425"/>
      <c r="B42" s="1536" t="s">
        <v>2515</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7"/>
      <c r="M42" s="2949"/>
      <c r="N42" s="2949"/>
      <c r="O42" s="2949"/>
      <c r="P42" s="3355"/>
      <c r="Q42" s="714" t="str">
        <f t="shared" si="11"/>
        <v>单套建筑面积</v>
      </c>
      <c r="R42" s="715" t="s">
        <v>17</v>
      </c>
      <c r="S42" s="716">
        <f t="shared" si="12"/>
        <v>100</v>
      </c>
      <c r="T42" s="715" t="s">
        <v>17</v>
      </c>
      <c r="U42" s="716">
        <f t="shared" si="13"/>
        <v>100</v>
      </c>
      <c r="V42" s="715" t="s">
        <v>17</v>
      </c>
      <c r="W42" s="716">
        <f t="shared" si="14"/>
        <v>100</v>
      </c>
      <c r="X42" s="717"/>
      <c r="Y42" s="3321"/>
      <c r="Z42" s="718" t="str">
        <f t="shared" si="15"/>
        <v>单套建筑面积</v>
      </c>
      <c r="AA42" s="1535">
        <f t="shared" si="3"/>
        <v>1</v>
      </c>
      <c r="AB42" s="1535">
        <f t="shared" si="4"/>
        <v>1</v>
      </c>
      <c r="AC42" s="2146">
        <f t="shared" si="5"/>
        <v>1</v>
      </c>
    </row>
    <row r="43" spans="1:29" ht="15">
      <c r="A43" s="429"/>
      <c r="B43" s="379" t="s">
        <v>2487</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8"/>
      <c r="M43" s="2942"/>
      <c r="N43" s="2942"/>
      <c r="O43" s="2942"/>
      <c r="P43" s="3355"/>
      <c r="Q43" s="1534" t="str">
        <f t="shared" si="11"/>
        <v>内部装修</v>
      </c>
      <c r="R43" s="712" t="s">
        <v>17</v>
      </c>
      <c r="S43" s="713">
        <f t="shared" si="12"/>
        <v>100</v>
      </c>
      <c r="T43" s="712" t="s">
        <v>17</v>
      </c>
      <c r="U43" s="713">
        <f t="shared" si="13"/>
        <v>100</v>
      </c>
      <c r="V43" s="712" t="s">
        <v>17</v>
      </c>
      <c r="W43" s="713">
        <f t="shared" si="14"/>
        <v>100</v>
      </c>
      <c r="X43" s="1537"/>
      <c r="Y43" s="3321"/>
      <c r="Z43" s="1538" t="str">
        <f t="shared" si="15"/>
        <v>内部装修</v>
      </c>
      <c r="AA43" s="1535">
        <f t="shared" si="3"/>
        <v>1</v>
      </c>
      <c r="AB43" s="1535">
        <f t="shared" si="4"/>
        <v>1</v>
      </c>
      <c r="AC43" s="2146">
        <f t="shared" si="5"/>
        <v>1</v>
      </c>
    </row>
    <row r="44" spans="1:29" ht="15">
      <c r="A44" s="429"/>
      <c r="B44" s="379" t="s">
        <v>2395</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8"/>
      <c r="M44" s="2942"/>
      <c r="N44" s="2942"/>
      <c r="O44" s="2942"/>
      <c r="P44" s="3355"/>
      <c r="Q44" s="1534" t="str">
        <f t="shared" si="11"/>
        <v>内部装修维护情况</v>
      </c>
      <c r="R44" s="712" t="s">
        <v>17</v>
      </c>
      <c r="S44" s="713">
        <f t="shared" si="12"/>
        <v>100</v>
      </c>
      <c r="T44" s="712" t="s">
        <v>17</v>
      </c>
      <c r="U44" s="713">
        <f t="shared" si="13"/>
        <v>100</v>
      </c>
      <c r="V44" s="712" t="s">
        <v>17</v>
      </c>
      <c r="W44" s="713">
        <f t="shared" si="14"/>
        <v>100</v>
      </c>
      <c r="X44" s="1537"/>
      <c r="Y44" s="3321"/>
      <c r="Z44" s="1538" t="str">
        <f t="shared" si="15"/>
        <v>内部装修维护情况</v>
      </c>
      <c r="AA44" s="1535">
        <f t="shared" si="3"/>
        <v>1</v>
      </c>
      <c r="AB44" s="1535">
        <f t="shared" si="4"/>
        <v>1</v>
      </c>
      <c r="AC44" s="2146">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3"/>
      <c r="M45" s="2944"/>
      <c r="N45" s="2944"/>
      <c r="O45" s="2944"/>
      <c r="P45" s="3355"/>
      <c r="Q45" s="1525">
        <f t="shared" si="11"/>
        <v>111</v>
      </c>
      <c r="R45" s="708" t="s">
        <v>17</v>
      </c>
      <c r="S45" s="709">
        <f t="shared" si="12"/>
        <v>100</v>
      </c>
      <c r="T45" s="708" t="s">
        <v>17</v>
      </c>
      <c r="U45" s="709">
        <f t="shared" si="13"/>
        <v>100</v>
      </c>
      <c r="V45" s="708" t="s">
        <v>17</v>
      </c>
      <c r="W45" s="709">
        <f t="shared" si="14"/>
        <v>100</v>
      </c>
      <c r="X45" s="710"/>
      <c r="Y45" s="3321"/>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8"/>
      <c r="M46" s="2942"/>
      <c r="N46" s="2942"/>
      <c r="O46" s="2942"/>
      <c r="P46" s="3355"/>
      <c r="Q46" s="1534">
        <f t="shared" si="11"/>
        <v>111</v>
      </c>
      <c r="R46" s="712" t="s">
        <v>17</v>
      </c>
      <c r="S46" s="713">
        <f t="shared" si="12"/>
        <v>100</v>
      </c>
      <c r="T46" s="712" t="s">
        <v>17</v>
      </c>
      <c r="U46" s="713">
        <f t="shared" si="13"/>
        <v>100</v>
      </c>
      <c r="V46" s="712" t="s">
        <v>17</v>
      </c>
      <c r="W46" s="713">
        <f t="shared" si="14"/>
        <v>100</v>
      </c>
      <c r="X46" s="1537"/>
      <c r="Y46" s="3321"/>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8"/>
      <c r="M47" s="2942"/>
      <c r="N47" s="2942"/>
      <c r="O47" s="2942"/>
      <c r="P47" s="3356"/>
      <c r="Q47" s="1534">
        <f t="shared" si="11"/>
        <v>111</v>
      </c>
      <c r="R47" s="712" t="s">
        <v>17</v>
      </c>
      <c r="S47" s="713">
        <f t="shared" si="12"/>
        <v>100</v>
      </c>
      <c r="T47" s="712" t="s">
        <v>17</v>
      </c>
      <c r="U47" s="713">
        <f t="shared" si="13"/>
        <v>100</v>
      </c>
      <c r="V47" s="712" t="s">
        <v>17</v>
      </c>
      <c r="W47" s="713">
        <f t="shared" si="14"/>
        <v>100</v>
      </c>
      <c r="X47" s="1537"/>
      <c r="Y47" s="3357"/>
      <c r="Z47" s="1538">
        <f t="shared" si="15"/>
        <v>111</v>
      </c>
      <c r="AA47" s="1535">
        <f t="shared" si="3"/>
        <v>1</v>
      </c>
      <c r="AB47" s="1535">
        <f t="shared" si="4"/>
        <v>1</v>
      </c>
      <c r="AC47" s="2146">
        <f t="shared" si="5"/>
        <v>1</v>
      </c>
    </row>
    <row r="48" spans="1:29" ht="15">
      <c r="A48" s="436" t="s">
        <v>2396</v>
      </c>
      <c r="B48" s="437"/>
      <c r="C48" s="1314" t="s">
        <v>1</v>
      </c>
      <c r="D48" s="1315"/>
      <c r="E48" s="1316"/>
      <c r="F48" s="1317"/>
      <c r="G48" s="1318"/>
      <c r="H48" s="1319"/>
      <c r="I48" s="1316"/>
      <c r="J48" s="442"/>
      <c r="K48" s="721"/>
      <c r="L48" s="2950"/>
      <c r="M48" s="2942"/>
      <c r="N48" s="2942"/>
      <c r="O48" s="2942"/>
      <c r="P48" s="3315" t="str">
        <f>A48</f>
        <v>成交单价（元/平方米）</v>
      </c>
      <c r="Q48" s="3316"/>
      <c r="R48" s="3353">
        <f>E48</f>
        <v>0</v>
      </c>
      <c r="S48" s="3353"/>
      <c r="T48" s="3353">
        <f>G48</f>
        <v>0</v>
      </c>
      <c r="U48" s="3353"/>
      <c r="V48" s="3353">
        <f>I48</f>
        <v>0</v>
      </c>
      <c r="W48" s="3353"/>
      <c r="X48" s="403"/>
      <c r="Y48" s="719"/>
      <c r="Z48" s="403"/>
      <c r="AA48" s="403"/>
      <c r="AB48" s="403"/>
      <c r="AC48" s="584"/>
    </row>
    <row r="49" spans="1:29" ht="15.75" thickBot="1">
      <c r="A49" s="443" t="s">
        <v>2488</v>
      </c>
      <c r="B49" s="444"/>
      <c r="C49" s="1320" t="e">
        <f>R50</f>
        <v>#DIV/0!</v>
      </c>
      <c r="D49" s="2536" t="s">
        <v>2878</v>
      </c>
      <c r="E49" s="1321" t="e">
        <f>R49</f>
        <v>#DIV/0!</v>
      </c>
      <c r="F49" s="2537"/>
      <c r="G49" s="1320" t="e">
        <f>T49</f>
        <v>#DIV/0!</v>
      </c>
      <c r="H49" s="2537"/>
      <c r="I49" s="1321" t="e">
        <f>V49</f>
        <v>#DIV/0!</v>
      </c>
      <c r="J49" s="2537"/>
      <c r="K49" s="2539">
        <f>F49+H49+J49</f>
        <v>0</v>
      </c>
      <c r="L49" s="2950"/>
      <c r="M49" s="2942"/>
      <c r="N49" s="2942"/>
      <c r="O49" s="2942"/>
      <c r="P49" s="3315" t="str">
        <f>A49</f>
        <v>比较价值（元/平方米）</v>
      </c>
      <c r="Q49" s="3316"/>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3"/>
      <c r="Y49" s="403"/>
      <c r="Z49" s="403"/>
      <c r="AA49" s="403"/>
      <c r="AB49" s="403"/>
      <c r="AC49" s="584"/>
    </row>
    <row r="50" spans="1:29" ht="15.75" thickBot="1">
      <c r="A50" s="447" t="s">
        <v>2489</v>
      </c>
      <c r="B50" s="448"/>
      <c r="C50" s="1323" t="e">
        <f>R50</f>
        <v>#DIV/0!</v>
      </c>
      <c r="D50" s="1323"/>
      <c r="E50" s="1323"/>
      <c r="F50" s="1323"/>
      <c r="G50" s="1323"/>
      <c r="H50" s="1323"/>
      <c r="I50" s="1323"/>
      <c r="J50" s="449"/>
      <c r="K50" s="722"/>
      <c r="L50" s="2950"/>
      <c r="M50" s="2942"/>
      <c r="N50" s="2942"/>
      <c r="O50" s="2942"/>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30"/>
      <c r="Y50" s="2130"/>
      <c r="Z50" s="2130"/>
      <c r="AA50" s="2130"/>
      <c r="AB50" s="2130"/>
      <c r="AC50" s="2131"/>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2" t="s">
        <v>2490</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2" t="s">
        <v>2491</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7" customFormat="1" ht="13.5" customHeight="1">
      <c r="A55" s="2954"/>
      <c r="B55" s="2954"/>
      <c r="C55" s="452" t="s">
        <v>2492</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7"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1" t="s">
        <v>2493</v>
      </c>
      <c r="B58" s="697"/>
      <c r="C58" s="702"/>
      <c r="D58" s="702"/>
      <c r="E58" s="702"/>
      <c r="F58" s="703"/>
      <c r="G58" s="703"/>
      <c r="H58" s="702"/>
      <c r="I58" s="702"/>
      <c r="J58" s="702"/>
      <c r="K58" s="704"/>
      <c r="L58" s="1071"/>
      <c r="M58" s="1069"/>
      <c r="N58" s="2995"/>
      <c r="O58" s="2995"/>
      <c r="P58" s="2984"/>
      <c r="Q58" s="2965"/>
      <c r="R58" s="2951"/>
      <c r="S58" s="2951"/>
      <c r="T58" s="2951"/>
      <c r="U58" s="2951"/>
      <c r="V58" s="2951"/>
      <c r="W58" s="2951"/>
      <c r="X58" s="2951"/>
      <c r="Y58" s="2951"/>
      <c r="Z58" s="2951"/>
      <c r="AA58" s="2951"/>
      <c r="AB58" s="2951"/>
      <c r="AC58" s="2951"/>
    </row>
    <row r="59" spans="1:29" s="463" customFormat="1" ht="15">
      <c r="A59" s="460" t="s">
        <v>2367</v>
      </c>
      <c r="B59" s="461"/>
      <c r="C59" s="1344" t="str">
        <f>YEAR(C7)&amp;"-"&amp;MONTH(C7)</f>
        <v>2021-4</v>
      </c>
      <c r="D59" s="1345">
        <f>EDATE(C59,-1)</f>
        <v>44256</v>
      </c>
      <c r="E59" s="1345">
        <f>EDATE(D59,-1)</f>
        <v>44228</v>
      </c>
      <c r="F59" s="1345">
        <f t="shared" ref="F59:O59" si="16">EDATE(E59,-1)</f>
        <v>44197</v>
      </c>
      <c r="G59" s="1345">
        <f t="shared" si="16"/>
        <v>44166</v>
      </c>
      <c r="H59" s="1345">
        <f t="shared" si="16"/>
        <v>44136</v>
      </c>
      <c r="I59" s="1345">
        <f t="shared" si="16"/>
        <v>44105</v>
      </c>
      <c r="J59" s="1345">
        <f t="shared" si="16"/>
        <v>44075</v>
      </c>
      <c r="K59" s="1345">
        <f t="shared" si="16"/>
        <v>44044</v>
      </c>
      <c r="L59" s="1345">
        <f t="shared" si="16"/>
        <v>44013</v>
      </c>
      <c r="M59" s="1345">
        <f t="shared" si="16"/>
        <v>43983</v>
      </c>
      <c r="N59" s="1345">
        <f t="shared" si="16"/>
        <v>43952</v>
      </c>
      <c r="O59" s="1345">
        <f t="shared" si="16"/>
        <v>43922</v>
      </c>
      <c r="P59" s="2985"/>
      <c r="Q59" s="2967"/>
      <c r="R59" s="2967"/>
      <c r="S59" s="2967"/>
      <c r="T59" s="2967"/>
      <c r="U59" s="2967"/>
      <c r="V59" s="2967"/>
      <c r="W59" s="2967"/>
      <c r="X59" s="2967"/>
      <c r="Y59" s="2967"/>
      <c r="Z59" s="2967"/>
      <c r="AA59" s="2967"/>
      <c r="AB59" s="2967"/>
      <c r="AC59" s="2967"/>
    </row>
    <row r="60" spans="1:29" s="112" customFormat="1" ht="15">
      <c r="A60" s="464"/>
      <c r="B60" s="465"/>
      <c r="C60" s="1343">
        <v>100</v>
      </c>
      <c r="D60" s="467"/>
      <c r="E60" s="467"/>
      <c r="F60" s="467"/>
      <c r="G60" s="467"/>
      <c r="H60" s="467"/>
      <c r="I60" s="467"/>
      <c r="J60" s="467"/>
      <c r="K60" s="467"/>
      <c r="L60" s="467"/>
      <c r="M60" s="468"/>
      <c r="N60" s="467"/>
      <c r="O60" s="468"/>
      <c r="P60" s="2986"/>
      <c r="Q60" s="2885"/>
      <c r="R60" s="2885"/>
      <c r="S60" s="2885"/>
      <c r="T60" s="2885"/>
      <c r="U60" s="2885"/>
      <c r="V60" s="2885"/>
      <c r="W60" s="2885"/>
      <c r="X60" s="2885"/>
      <c r="Y60" s="2885"/>
      <c r="Z60" s="2885"/>
      <c r="AA60" s="2885"/>
      <c r="AB60" s="2885"/>
      <c r="AC60" s="2885"/>
    </row>
    <row r="61" spans="1:29" s="112" customFormat="1" ht="15.75" thickBot="1">
      <c r="A61" s="470" t="s">
        <v>2404</v>
      </c>
      <c r="B61" s="471"/>
      <c r="C61" s="472"/>
      <c r="D61" s="473"/>
      <c r="E61" s="473"/>
      <c r="F61" s="473"/>
      <c r="G61" s="473"/>
      <c r="H61" s="473"/>
      <c r="I61" s="473"/>
      <c r="J61" s="473"/>
      <c r="K61" s="473"/>
      <c r="L61" s="473"/>
      <c r="M61" s="474"/>
      <c r="N61" s="473"/>
      <c r="O61" s="474"/>
      <c r="P61" s="2986"/>
      <c r="Q61" s="2965"/>
      <c r="R61" s="2885"/>
      <c r="S61" s="2885"/>
      <c r="T61" s="2885"/>
      <c r="U61" s="2885"/>
      <c r="V61" s="2885"/>
      <c r="W61" s="2885"/>
      <c r="X61" s="2885"/>
      <c r="Y61" s="2885"/>
      <c r="Z61" s="2885"/>
      <c r="AA61" s="2885"/>
      <c r="AB61" s="2885"/>
      <c r="AC61" s="2885"/>
    </row>
    <row r="62" spans="1:29" s="112" customFormat="1" ht="15">
      <c r="A62" s="476" t="s">
        <v>2369</v>
      </c>
      <c r="B62" s="465"/>
      <c r="C62" s="477" t="s">
        <v>2471</v>
      </c>
      <c r="D62" s="478"/>
      <c r="E62" s="478"/>
      <c r="F62" s="478"/>
      <c r="G62" s="478"/>
      <c r="H62" s="478"/>
      <c r="I62" s="478"/>
      <c r="J62" s="478"/>
      <c r="K62" s="478"/>
      <c r="L62" s="479"/>
      <c r="M62" s="480"/>
      <c r="N62" s="2978"/>
      <c r="O62" s="2978"/>
      <c r="P62" s="2987"/>
      <c r="Q62" s="2965"/>
      <c r="R62" s="2885"/>
      <c r="S62" s="2885"/>
      <c r="T62" s="2885"/>
      <c r="U62" s="2885"/>
      <c r="V62" s="2885"/>
      <c r="W62" s="2885"/>
      <c r="X62" s="2885"/>
      <c r="Y62" s="2885"/>
      <c r="Z62" s="2885"/>
      <c r="AA62" s="2885"/>
      <c r="AB62" s="2885"/>
      <c r="AC62" s="2885"/>
    </row>
    <row r="63" spans="1:29" s="112" customFormat="1" ht="15.75" thickBot="1">
      <c r="A63" s="476"/>
      <c r="B63" s="465"/>
      <c r="C63" s="466">
        <v>100</v>
      </c>
      <c r="D63" s="467"/>
      <c r="E63" s="467"/>
      <c r="F63" s="467"/>
      <c r="G63" s="467"/>
      <c r="H63" s="467"/>
      <c r="I63" s="467"/>
      <c r="J63" s="467"/>
      <c r="K63" s="467"/>
      <c r="L63" s="467"/>
      <c r="M63" s="469"/>
      <c r="N63" s="2978"/>
      <c r="O63" s="2978"/>
      <c r="P63" s="2986"/>
      <c r="Q63" s="2965"/>
      <c r="R63" s="2885"/>
      <c r="S63" s="2885"/>
      <c r="T63" s="2885"/>
      <c r="U63" s="2885"/>
      <c r="V63" s="2885"/>
      <c r="W63" s="2885"/>
      <c r="X63" s="2885"/>
      <c r="Y63" s="2885"/>
      <c r="Z63" s="2885"/>
      <c r="AA63" s="2885"/>
      <c r="AB63" s="2885"/>
      <c r="AC63" s="2885"/>
    </row>
    <row r="64" spans="1:29">
      <c r="A64" s="482" t="s">
        <v>2407</v>
      </c>
      <c r="B64" s="483" t="s">
        <v>2373</v>
      </c>
      <c r="C64" s="484">
        <f>C9</f>
        <v>0</v>
      </c>
      <c r="D64" s="485"/>
      <c r="E64" s="485"/>
      <c r="F64" s="485"/>
      <c r="G64" s="485"/>
      <c r="H64" s="485"/>
      <c r="I64" s="485"/>
      <c r="J64" s="485"/>
      <c r="K64" s="486"/>
      <c r="L64" s="487"/>
      <c r="M64" s="488"/>
      <c r="N64" s="2979"/>
      <c r="O64" s="2979"/>
      <c r="P64" s="2988"/>
      <c r="Q64" s="2965"/>
      <c r="R64" s="2951"/>
      <c r="S64" s="2951"/>
      <c r="T64" s="2951"/>
      <c r="U64" s="2951"/>
      <c r="V64" s="2951"/>
      <c r="W64" s="2951"/>
      <c r="X64" s="2951"/>
      <c r="Y64" s="2951"/>
      <c r="Z64" s="2951"/>
      <c r="AA64" s="2951"/>
      <c r="AB64" s="2951"/>
      <c r="AC64" s="2951"/>
    </row>
    <row r="65" spans="1:29" ht="15.75" thickBot="1">
      <c r="A65" s="489"/>
      <c r="B65" s="490"/>
      <c r="C65" s="491">
        <v>100</v>
      </c>
      <c r="D65" s="491"/>
      <c r="E65" s="491"/>
      <c r="F65" s="491"/>
      <c r="G65" s="491"/>
      <c r="H65" s="491"/>
      <c r="I65" s="491"/>
      <c r="J65" s="491"/>
      <c r="K65" s="491"/>
      <c r="L65" s="491"/>
      <c r="M65" s="492"/>
      <c r="N65" s="2980"/>
      <c r="O65" s="2980"/>
      <c r="P65" s="2988"/>
      <c r="Q65" s="2965"/>
      <c r="R65" s="2951"/>
      <c r="S65" s="2951"/>
      <c r="T65" s="2951"/>
      <c r="U65" s="2951"/>
      <c r="V65" s="2951"/>
      <c r="W65" s="2951"/>
      <c r="X65" s="2951"/>
      <c r="Y65" s="2951"/>
      <c r="Z65" s="2951"/>
      <c r="AA65" s="2951"/>
      <c r="AB65" s="2951"/>
      <c r="AC65" s="2951"/>
    </row>
    <row r="66" spans="1:29" ht="27.75" thickTop="1">
      <c r="A66" s="489"/>
      <c r="B66" s="493" t="s">
        <v>2376</v>
      </c>
      <c r="C66" s="494" t="s">
        <v>2408</v>
      </c>
      <c r="D66" s="494" t="s">
        <v>2409</v>
      </c>
      <c r="E66" s="494" t="s">
        <v>2410</v>
      </c>
      <c r="F66" s="494" t="s">
        <v>2411</v>
      </c>
      <c r="G66" s="494" t="s">
        <v>2412</v>
      </c>
      <c r="H66" s="494" t="s">
        <v>2413</v>
      </c>
      <c r="I66" s="494" t="s">
        <v>2414</v>
      </c>
      <c r="J66" s="494"/>
      <c r="K66" s="495"/>
      <c r="L66" s="496"/>
      <c r="M66" s="497"/>
      <c r="N66" s="2979"/>
      <c r="O66" s="2979"/>
      <c r="P66" s="2988"/>
      <c r="Q66" s="2965"/>
      <c r="R66" s="2951"/>
      <c r="S66" s="2951"/>
      <c r="T66" s="2951"/>
      <c r="U66" s="2951"/>
      <c r="V66" s="2951"/>
      <c r="W66" s="2951"/>
      <c r="X66" s="2951"/>
      <c r="Y66" s="2951"/>
      <c r="Z66" s="2951"/>
      <c r="AA66" s="2951"/>
      <c r="AB66" s="2951"/>
      <c r="AC66" s="2951"/>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0"/>
      <c r="O67" s="2980"/>
      <c r="P67" s="2988"/>
      <c r="Q67" s="2965"/>
      <c r="R67" s="2951"/>
      <c r="S67" s="2951"/>
      <c r="T67" s="2951"/>
      <c r="U67" s="2951"/>
      <c r="V67" s="2951"/>
      <c r="W67" s="2951"/>
      <c r="X67" s="2951"/>
      <c r="Y67" s="2951"/>
      <c r="Z67" s="2951"/>
      <c r="AA67" s="2951"/>
      <c r="AB67" s="2951"/>
      <c r="AC67" s="2951"/>
    </row>
    <row r="68" spans="1:29" ht="15.75" thickTop="1">
      <c r="A68" s="489"/>
      <c r="B68" s="501" t="s">
        <v>2377</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9"/>
      <c r="B69" s="503"/>
      <c r="C69" s="504"/>
      <c r="D69" s="504"/>
      <c r="E69" s="504"/>
      <c r="F69" s="504"/>
      <c r="G69" s="504"/>
      <c r="H69" s="504"/>
      <c r="I69" s="504"/>
      <c r="J69" s="504"/>
      <c r="K69" s="505"/>
      <c r="L69" s="506"/>
      <c r="M69" s="507"/>
      <c r="N69" s="2979"/>
      <c r="O69" s="2979"/>
      <c r="P69" s="2988"/>
      <c r="Q69" s="2965"/>
      <c r="R69" s="2951"/>
      <c r="S69" s="2951"/>
      <c r="T69" s="2951"/>
      <c r="U69" s="2951"/>
      <c r="V69" s="2951"/>
      <c r="W69" s="2951"/>
      <c r="X69" s="2951"/>
      <c r="Y69" s="2951"/>
      <c r="Z69" s="2951"/>
      <c r="AA69" s="2951"/>
      <c r="AB69" s="2951"/>
      <c r="AC69" s="2951"/>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0"/>
      <c r="O70" s="2980"/>
      <c r="P70" s="2988"/>
      <c r="Q70" s="2965"/>
      <c r="R70" s="2951"/>
      <c r="S70" s="2951"/>
      <c r="T70" s="2951"/>
      <c r="U70" s="2951"/>
      <c r="V70" s="2951"/>
      <c r="W70" s="2951"/>
      <c r="X70" s="2951"/>
      <c r="Y70" s="2951"/>
      <c r="Z70" s="2951"/>
      <c r="AA70" s="2951"/>
      <c r="AB70" s="2951"/>
      <c r="AC70" s="2951"/>
    </row>
    <row r="71" spans="1:29" s="428" customFormat="1" ht="15.75" thickTop="1">
      <c r="A71" s="508"/>
      <c r="B71" s="493">
        <f>B12</f>
        <v>111</v>
      </c>
      <c r="C71" s="509"/>
      <c r="D71" s="509"/>
      <c r="E71" s="509"/>
      <c r="F71" s="509"/>
      <c r="G71" s="509"/>
      <c r="H71" s="510"/>
      <c r="I71" s="510"/>
      <c r="J71" s="510"/>
      <c r="K71" s="510"/>
      <c r="L71" s="511"/>
      <c r="M71" s="512"/>
      <c r="N71" s="2981"/>
      <c r="O71" s="2981"/>
      <c r="P71" s="2989"/>
      <c r="Q71" s="2972"/>
      <c r="R71" s="2973"/>
      <c r="S71" s="2973"/>
      <c r="T71" s="2973"/>
      <c r="U71" s="2973"/>
      <c r="V71" s="2973"/>
      <c r="W71" s="2973"/>
      <c r="X71" s="2973"/>
      <c r="Y71" s="2973"/>
      <c r="Z71" s="2973"/>
      <c r="AA71" s="2973"/>
      <c r="AB71" s="2973"/>
      <c r="AC71" s="2973"/>
    </row>
    <row r="72" spans="1:29" s="428" customFormat="1" ht="15.75" thickBot="1">
      <c r="A72" s="508"/>
      <c r="B72" s="498"/>
      <c r="C72" s="515"/>
      <c r="D72" s="491"/>
      <c r="E72" s="491"/>
      <c r="F72" s="491"/>
      <c r="G72" s="491"/>
      <c r="H72" s="491"/>
      <c r="I72" s="491"/>
      <c r="J72" s="491"/>
      <c r="K72" s="491"/>
      <c r="L72" s="491"/>
      <c r="M72" s="492"/>
      <c r="N72" s="2980"/>
      <c r="O72" s="2980"/>
      <c r="P72" s="2989"/>
      <c r="Q72" s="2972"/>
      <c r="R72" s="2973"/>
      <c r="S72" s="2973"/>
      <c r="T72" s="2973"/>
      <c r="U72" s="2973"/>
      <c r="V72" s="2973"/>
      <c r="W72" s="2973"/>
      <c r="X72" s="2973"/>
      <c r="Y72" s="2973"/>
      <c r="Z72" s="2973"/>
      <c r="AA72" s="2973"/>
      <c r="AB72" s="2973"/>
      <c r="AC72" s="2973"/>
    </row>
    <row r="73" spans="1:29" s="428" customFormat="1" ht="15.75" thickTop="1">
      <c r="A73" s="508"/>
      <c r="B73" s="493">
        <f>B13</f>
        <v>111</v>
      </c>
      <c r="C73" s="509"/>
      <c r="D73" s="509"/>
      <c r="E73" s="509"/>
      <c r="F73" s="509"/>
      <c r="G73" s="509"/>
      <c r="H73" s="510"/>
      <c r="I73" s="510"/>
      <c r="J73" s="510"/>
      <c r="K73" s="510"/>
      <c r="L73" s="511"/>
      <c r="M73" s="512"/>
      <c r="N73" s="2981"/>
      <c r="O73" s="2981"/>
      <c r="P73" s="2990"/>
      <c r="Q73" s="2975"/>
      <c r="R73" s="2973"/>
      <c r="S73" s="2973"/>
      <c r="T73" s="2973"/>
      <c r="U73" s="2973"/>
      <c r="V73" s="2973"/>
      <c r="W73" s="2973"/>
      <c r="X73" s="2973"/>
      <c r="Y73" s="2973"/>
      <c r="Z73" s="2973"/>
      <c r="AA73" s="2973"/>
      <c r="AB73" s="2973"/>
      <c r="AC73" s="2973"/>
    </row>
    <row r="74" spans="1:29" s="428" customFormat="1" ht="15.75" thickBot="1">
      <c r="A74" s="508"/>
      <c r="B74" s="498"/>
      <c r="C74" s="515"/>
      <c r="D74" s="515"/>
      <c r="E74" s="515"/>
      <c r="F74" s="515"/>
      <c r="G74" s="515"/>
      <c r="H74" s="517"/>
      <c r="I74" s="517"/>
      <c r="J74" s="517"/>
      <c r="K74" s="517"/>
      <c r="L74" s="517"/>
      <c r="M74" s="518"/>
      <c r="N74" s="2981"/>
      <c r="O74" s="2981"/>
      <c r="P74" s="2989"/>
      <c r="Q74" s="2972"/>
      <c r="R74" s="2973"/>
      <c r="S74" s="2973"/>
      <c r="T74" s="2973"/>
      <c r="U74" s="2973"/>
      <c r="V74" s="2973"/>
      <c r="W74" s="2973"/>
      <c r="X74" s="2973"/>
      <c r="Y74" s="2973"/>
      <c r="Z74" s="2973"/>
      <c r="AA74" s="2973"/>
      <c r="AB74" s="2973"/>
      <c r="AC74" s="2973"/>
    </row>
    <row r="75" spans="1:29" s="428" customFormat="1" ht="15.75" thickTop="1">
      <c r="A75" s="508"/>
      <c r="B75" s="501">
        <f>B14</f>
        <v>111</v>
      </c>
      <c r="C75" s="478"/>
      <c r="D75" s="478"/>
      <c r="E75" s="478"/>
      <c r="F75" s="478"/>
      <c r="G75" s="478"/>
      <c r="H75" s="519"/>
      <c r="I75" s="519"/>
      <c r="J75" s="519"/>
      <c r="K75" s="519"/>
      <c r="L75" s="520"/>
      <c r="M75" s="521"/>
      <c r="N75" s="2981"/>
      <c r="O75" s="2981"/>
      <c r="P75" s="2991"/>
      <c r="Q75" s="2972"/>
      <c r="R75" s="2973"/>
      <c r="S75" s="2973"/>
      <c r="T75" s="2973"/>
      <c r="U75" s="2973"/>
      <c r="V75" s="2973"/>
      <c r="W75" s="2973"/>
      <c r="X75" s="2973"/>
      <c r="Y75" s="2973"/>
      <c r="Z75" s="2973"/>
      <c r="AA75" s="2973"/>
      <c r="AB75" s="2973"/>
      <c r="AC75" s="2973"/>
    </row>
    <row r="76" spans="1:29" s="428" customFormat="1" ht="15.75" thickBot="1">
      <c r="A76" s="523"/>
      <c r="B76" s="524"/>
      <c r="C76" s="525"/>
      <c r="D76" s="525"/>
      <c r="E76" s="525"/>
      <c r="F76" s="525"/>
      <c r="G76" s="525"/>
      <c r="H76" s="526"/>
      <c r="I76" s="526"/>
      <c r="J76" s="526"/>
      <c r="K76" s="526"/>
      <c r="L76" s="526"/>
      <c r="M76" s="527"/>
      <c r="N76" s="2981"/>
      <c r="O76" s="2981"/>
      <c r="P76" s="2989"/>
      <c r="Q76" s="2972"/>
      <c r="R76" s="2973"/>
      <c r="S76" s="2973"/>
      <c r="T76" s="2973"/>
      <c r="U76" s="2973"/>
      <c r="V76" s="2973"/>
      <c r="W76" s="2973"/>
      <c r="X76" s="2973"/>
      <c r="Y76" s="2973"/>
      <c r="Z76" s="2973"/>
      <c r="AA76" s="2973"/>
      <c r="AB76" s="2973"/>
      <c r="AC76" s="2973"/>
    </row>
    <row r="77" spans="1:29">
      <c r="A77" s="482" t="s">
        <v>2378</v>
      </c>
      <c r="B77" s="483" t="s">
        <v>2516</v>
      </c>
      <c r="C77" s="528" t="s">
        <v>2416</v>
      </c>
      <c r="D77" s="528" t="s">
        <v>2417</v>
      </c>
      <c r="E77" s="528" t="s">
        <v>2418</v>
      </c>
      <c r="F77" s="528" t="s">
        <v>2419</v>
      </c>
      <c r="G77" s="528" t="s">
        <v>2420</v>
      </c>
      <c r="H77" s="484"/>
      <c r="I77" s="484"/>
      <c r="J77" s="484"/>
      <c r="K77" s="529"/>
      <c r="L77" s="530"/>
      <c r="M77" s="531"/>
      <c r="N77" s="2979"/>
      <c r="O77" s="2979"/>
      <c r="P77" s="2992"/>
      <c r="Q77" s="2965"/>
      <c r="R77" s="2951"/>
      <c r="S77" s="2951"/>
      <c r="T77" s="2951"/>
      <c r="U77" s="2951"/>
      <c r="V77" s="2951"/>
      <c r="W77" s="2951"/>
      <c r="X77" s="2951"/>
      <c r="Y77" s="2951"/>
      <c r="Z77" s="2951"/>
      <c r="AA77" s="2951"/>
      <c r="AB77" s="2951"/>
      <c r="AC77" s="2951"/>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0"/>
      <c r="O78" s="2980"/>
      <c r="P78" s="2988"/>
      <c r="Q78" s="2965"/>
      <c r="R78" s="2951"/>
      <c r="S78" s="2951"/>
      <c r="T78" s="2951"/>
      <c r="U78" s="2951"/>
      <c r="V78" s="2951"/>
      <c r="W78" s="2951"/>
      <c r="X78" s="2951"/>
      <c r="Y78" s="2951"/>
      <c r="Z78" s="2951"/>
      <c r="AA78" s="2951"/>
      <c r="AB78" s="2951"/>
      <c r="AC78" s="2951"/>
    </row>
    <row r="79" spans="1:29" ht="15.75" thickTop="1">
      <c r="A79" s="489"/>
      <c r="B79" s="493" t="s">
        <v>2421</v>
      </c>
      <c r="C79" s="533" t="s">
        <v>2416</v>
      </c>
      <c r="D79" s="533" t="s">
        <v>2417</v>
      </c>
      <c r="E79" s="533" t="s">
        <v>2418</v>
      </c>
      <c r="F79" s="533" t="s">
        <v>2419</v>
      </c>
      <c r="G79" s="533" t="s">
        <v>2420</v>
      </c>
      <c r="H79" s="494"/>
      <c r="I79" s="494"/>
      <c r="J79" s="494"/>
      <c r="K79" s="495"/>
      <c r="L79" s="496"/>
      <c r="M79" s="497"/>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0"/>
      <c r="O80" s="2980"/>
      <c r="P80" s="2988"/>
      <c r="Q80" s="2965"/>
      <c r="R80" s="2951"/>
      <c r="S80" s="2951"/>
      <c r="T80" s="2951"/>
      <c r="U80" s="2951"/>
      <c r="V80" s="2951"/>
      <c r="W80" s="2951"/>
      <c r="X80" s="2951"/>
      <c r="Y80" s="2951"/>
      <c r="Z80" s="2951"/>
      <c r="AA80" s="2951"/>
      <c r="AB80" s="2951"/>
      <c r="AC80" s="2951"/>
    </row>
    <row r="81" spans="1:29" ht="15.75" thickTop="1">
      <c r="A81" s="489"/>
      <c r="B81" s="493" t="s">
        <v>2422</v>
      </c>
      <c r="C81" s="533" t="s">
        <v>2416</v>
      </c>
      <c r="D81" s="533" t="s">
        <v>2417</v>
      </c>
      <c r="E81" s="533" t="s">
        <v>2418</v>
      </c>
      <c r="F81" s="533" t="s">
        <v>2419</v>
      </c>
      <c r="G81" s="533" t="s">
        <v>2420</v>
      </c>
      <c r="H81" s="494"/>
      <c r="I81" s="494"/>
      <c r="J81" s="494"/>
      <c r="K81" s="495"/>
      <c r="L81" s="496"/>
      <c r="M81" s="497"/>
      <c r="N81" s="2979"/>
      <c r="O81" s="2979"/>
      <c r="P81" s="2988"/>
      <c r="Q81" s="2965"/>
      <c r="R81" s="2951"/>
      <c r="S81" s="2951"/>
      <c r="T81" s="2951"/>
      <c r="U81" s="2951"/>
      <c r="V81" s="2951"/>
      <c r="W81" s="2951"/>
      <c r="X81" s="2951"/>
      <c r="Y81" s="2951"/>
      <c r="Z81" s="2951"/>
      <c r="AA81" s="2951"/>
      <c r="AB81" s="2951"/>
      <c r="AC81" s="2951"/>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0"/>
      <c r="O82" s="2980"/>
      <c r="P82" s="2988"/>
      <c r="Q82" s="2965"/>
      <c r="R82" s="2951"/>
      <c r="S82" s="2951"/>
      <c r="T82" s="2951"/>
      <c r="U82" s="2951"/>
      <c r="V82" s="2951"/>
      <c r="W82" s="2951"/>
      <c r="X82" s="2951"/>
      <c r="Y82" s="2951"/>
      <c r="Z82" s="2951"/>
      <c r="AA82" s="2951"/>
      <c r="AB82" s="2951"/>
      <c r="AC82" s="2951"/>
    </row>
    <row r="83" spans="1:29" ht="15.75" thickTop="1">
      <c r="A83" s="489"/>
      <c r="B83" s="501" t="s">
        <v>2508</v>
      </c>
      <c r="C83" s="614" t="s">
        <v>2494</v>
      </c>
      <c r="D83" s="614" t="s">
        <v>2495</v>
      </c>
      <c r="E83" s="614" t="s">
        <v>2496</v>
      </c>
      <c r="F83" s="614" t="s">
        <v>2497</v>
      </c>
      <c r="G83" s="614" t="s">
        <v>2498</v>
      </c>
      <c r="H83" s="494"/>
      <c r="I83" s="494"/>
      <c r="J83" s="494"/>
      <c r="K83" s="494"/>
      <c r="L83" s="494"/>
      <c r="M83" s="1289"/>
      <c r="N83" s="2980"/>
      <c r="O83" s="2980"/>
      <c r="P83" s="2988"/>
      <c r="Q83" s="2965"/>
      <c r="R83" s="2951"/>
      <c r="S83" s="2951"/>
      <c r="T83" s="2951"/>
      <c r="U83" s="2951"/>
      <c r="V83" s="2951"/>
      <c r="W83" s="2951"/>
      <c r="X83" s="2951"/>
      <c r="Y83" s="2951"/>
      <c r="Z83" s="2951"/>
      <c r="AA83" s="2951"/>
      <c r="AB83" s="2951"/>
      <c r="AC83" s="2951"/>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0"/>
      <c r="O84" s="2980"/>
      <c r="P84" s="2988"/>
      <c r="Q84" s="2965"/>
      <c r="R84" s="2951"/>
      <c r="S84" s="2951"/>
      <c r="T84" s="2951"/>
      <c r="U84" s="2951"/>
      <c r="V84" s="2951"/>
      <c r="W84" s="2951"/>
      <c r="X84" s="2951"/>
      <c r="Y84" s="2951"/>
      <c r="Z84" s="2951"/>
      <c r="AA84" s="2951"/>
      <c r="AB84" s="2951"/>
      <c r="AC84" s="2951"/>
    </row>
    <row r="85" spans="1:29" ht="15.75" thickTop="1">
      <c r="A85" s="489"/>
      <c r="B85" s="493" t="s">
        <v>2517</v>
      </c>
      <c r="C85" s="533" t="s">
        <v>2416</v>
      </c>
      <c r="D85" s="533" t="s">
        <v>2417</v>
      </c>
      <c r="E85" s="533" t="s">
        <v>2418</v>
      </c>
      <c r="F85" s="533" t="s">
        <v>2419</v>
      </c>
      <c r="G85" s="533" t="s">
        <v>2420</v>
      </c>
      <c r="H85" s="494"/>
      <c r="I85" s="494"/>
      <c r="J85" s="494"/>
      <c r="K85" s="495"/>
      <c r="L85" s="496"/>
      <c r="M85" s="497"/>
      <c r="N85" s="2979"/>
      <c r="O85" s="2979"/>
      <c r="P85" s="2988"/>
      <c r="Q85" s="2965"/>
      <c r="R85" s="2951"/>
      <c r="S85" s="2951"/>
      <c r="T85" s="2951"/>
      <c r="U85" s="2951"/>
      <c r="V85" s="2951"/>
      <c r="W85" s="2951"/>
      <c r="X85" s="2951"/>
      <c r="Y85" s="2951"/>
      <c r="Z85" s="2951"/>
      <c r="AA85" s="2951"/>
      <c r="AB85" s="2951"/>
      <c r="AC85" s="2951"/>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0"/>
      <c r="O86" s="2980"/>
      <c r="P86" s="2988"/>
      <c r="Q86" s="2965"/>
      <c r="R86" s="2951"/>
      <c r="S86" s="2951"/>
      <c r="T86" s="2951"/>
      <c r="U86" s="2951"/>
      <c r="V86" s="2951"/>
      <c r="W86" s="2951"/>
      <c r="X86" s="2951"/>
      <c r="Y86" s="2951"/>
      <c r="Z86" s="2951"/>
      <c r="AA86" s="2951"/>
      <c r="AB86" s="2951"/>
      <c r="AC86" s="2951"/>
    </row>
    <row r="87" spans="1:29" s="112" customFormat="1" ht="27.75" thickTop="1">
      <c r="A87" s="534"/>
      <c r="B87" s="493" t="s">
        <v>2518</v>
      </c>
      <c r="C87" s="509"/>
      <c r="D87" s="509"/>
      <c r="E87" s="509"/>
      <c r="F87" s="509"/>
      <c r="G87" s="509"/>
      <c r="H87" s="509"/>
      <c r="I87" s="509"/>
      <c r="J87" s="509"/>
      <c r="K87" s="509"/>
      <c r="L87" s="535"/>
      <c r="M87" s="536"/>
      <c r="N87" s="2978"/>
      <c r="O87" s="2978"/>
      <c r="P87" s="2988"/>
      <c r="Q87" s="2965"/>
      <c r="R87" s="2885"/>
      <c r="S87" s="2885"/>
      <c r="T87" s="2885"/>
      <c r="U87" s="2885"/>
      <c r="V87" s="2885"/>
      <c r="W87" s="2885"/>
      <c r="X87" s="2885"/>
      <c r="Y87" s="2885"/>
      <c r="Z87" s="2885"/>
      <c r="AA87" s="2885"/>
      <c r="AB87" s="2885"/>
      <c r="AC87" s="2885"/>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4"/>
      <c r="B89" s="493" t="str">
        <f>B27</f>
        <v>楼层</v>
      </c>
      <c r="C89" s="509"/>
      <c r="D89" s="509"/>
      <c r="E89" s="509"/>
      <c r="F89" s="2111"/>
      <c r="G89" s="509"/>
      <c r="H89" s="509"/>
      <c r="I89" s="509"/>
      <c r="J89" s="509"/>
      <c r="K89" s="509"/>
      <c r="L89" s="509"/>
      <c r="M89" s="536"/>
      <c r="N89" s="2978"/>
      <c r="O89" s="2978"/>
      <c r="P89" s="2988"/>
      <c r="Q89" s="2965"/>
      <c r="R89" s="2885"/>
      <c r="S89" s="2885"/>
      <c r="T89" s="2885"/>
      <c r="U89" s="2885"/>
      <c r="V89" s="2885"/>
      <c r="W89" s="2885"/>
      <c r="X89" s="2885"/>
      <c r="Y89" s="2885"/>
      <c r="Z89" s="2885"/>
      <c r="AA89" s="2885"/>
      <c r="AB89" s="2885"/>
      <c r="AC89" s="2885"/>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0"/>
      <c r="O90" s="2980"/>
      <c r="P90" s="2988"/>
      <c r="Q90" s="2965"/>
      <c r="R90" s="2885"/>
      <c r="S90" s="2885"/>
      <c r="T90" s="2885"/>
      <c r="U90" s="2885"/>
      <c r="V90" s="2885"/>
      <c r="W90" s="2885"/>
      <c r="X90" s="2885"/>
      <c r="Y90" s="2885"/>
      <c r="Z90" s="2885"/>
      <c r="AA90" s="2885"/>
      <c r="AB90" s="2885"/>
      <c r="AC90" s="2885"/>
    </row>
    <row r="91" spans="1:29" s="428" customFormat="1" ht="15.75" thickTop="1">
      <c r="A91" s="508"/>
      <c r="B91" s="493" t="str">
        <f>B28</f>
        <v>朝向</v>
      </c>
      <c r="C91" s="509"/>
      <c r="D91" s="509"/>
      <c r="E91" s="509"/>
      <c r="F91" s="509"/>
      <c r="G91" s="509"/>
      <c r="H91" s="510"/>
      <c r="I91" s="510"/>
      <c r="J91" s="510"/>
      <c r="K91" s="510"/>
      <c r="L91" s="511"/>
      <c r="M91" s="512"/>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9"/>
      <c r="B93" s="493">
        <f>B29</f>
        <v>111</v>
      </c>
      <c r="C93" s="509"/>
      <c r="D93" s="509"/>
      <c r="E93" s="509"/>
      <c r="F93" s="509"/>
      <c r="G93" s="509"/>
      <c r="H93" s="509"/>
      <c r="I93" s="509"/>
      <c r="J93" s="509"/>
      <c r="K93" s="509"/>
      <c r="L93" s="535"/>
      <c r="M93" s="536"/>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515"/>
      <c r="D94" s="491"/>
      <c r="E94" s="491"/>
      <c r="F94" s="491"/>
      <c r="G94" s="491"/>
      <c r="H94" s="491"/>
      <c r="I94" s="491"/>
      <c r="J94" s="491"/>
      <c r="K94" s="491"/>
      <c r="L94" s="491"/>
      <c r="M94" s="492"/>
      <c r="N94" s="2980"/>
      <c r="O94" s="2980"/>
      <c r="P94" s="2988"/>
      <c r="Q94" s="2965"/>
      <c r="R94" s="2951"/>
      <c r="S94" s="2951"/>
      <c r="T94" s="2951"/>
      <c r="U94" s="2951"/>
      <c r="V94" s="2951"/>
      <c r="W94" s="2951"/>
      <c r="X94" s="2951"/>
      <c r="Y94" s="2951"/>
      <c r="Z94" s="2951"/>
      <c r="AA94" s="2951"/>
      <c r="AB94" s="2951"/>
      <c r="AC94" s="2951"/>
    </row>
    <row r="95" spans="1:29" ht="15.75" thickTop="1">
      <c r="A95" s="489"/>
      <c r="B95" s="493">
        <f>B30</f>
        <v>111</v>
      </c>
      <c r="C95" s="509"/>
      <c r="D95" s="509"/>
      <c r="E95" s="509"/>
      <c r="F95" s="509"/>
      <c r="G95" s="538"/>
      <c r="H95" s="538"/>
      <c r="I95" s="538"/>
      <c r="J95" s="538"/>
      <c r="K95" s="539"/>
      <c r="L95" s="540"/>
      <c r="M95" s="541"/>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515"/>
      <c r="D96" s="515"/>
      <c r="E96" s="515"/>
      <c r="F96" s="515"/>
      <c r="G96" s="491"/>
      <c r="H96" s="491"/>
      <c r="I96" s="491"/>
      <c r="J96" s="491"/>
      <c r="K96" s="491"/>
      <c r="L96" s="491"/>
      <c r="M96" s="492"/>
      <c r="N96" s="2980"/>
      <c r="O96" s="2980"/>
      <c r="P96" s="2988"/>
      <c r="Q96" s="2965"/>
      <c r="R96" s="2951"/>
      <c r="S96" s="2951"/>
      <c r="T96" s="2951"/>
      <c r="U96" s="2951"/>
      <c r="V96" s="2951"/>
      <c r="W96" s="2951"/>
      <c r="X96" s="2951"/>
      <c r="Y96" s="2951"/>
      <c r="Z96" s="2951"/>
      <c r="AA96" s="2951"/>
      <c r="AB96" s="2951"/>
      <c r="AC96" s="2951"/>
    </row>
    <row r="97" spans="1:29" ht="15.75" thickTop="1">
      <c r="A97" s="489"/>
      <c r="B97" s="493">
        <f>B31</f>
        <v>111</v>
      </c>
      <c r="C97" s="509"/>
      <c r="D97" s="509"/>
      <c r="E97" s="509"/>
      <c r="F97" s="509"/>
      <c r="G97" s="538"/>
      <c r="H97" s="538"/>
      <c r="I97" s="538"/>
      <c r="J97" s="538"/>
      <c r="K97" s="539"/>
      <c r="L97" s="540"/>
      <c r="M97" s="541"/>
      <c r="N97" s="2979"/>
      <c r="O97" s="2979"/>
      <c r="P97" s="2988"/>
      <c r="Q97" s="2965"/>
      <c r="R97" s="2951"/>
      <c r="S97" s="2951"/>
      <c r="T97" s="2951"/>
      <c r="U97" s="2951"/>
      <c r="V97" s="2951"/>
      <c r="W97" s="2951"/>
      <c r="X97" s="2951"/>
      <c r="Y97" s="2951"/>
      <c r="Z97" s="2951"/>
      <c r="AA97" s="2951"/>
      <c r="AB97" s="2951"/>
      <c r="AC97" s="2951"/>
    </row>
    <row r="98" spans="1:29" ht="15.75" thickBot="1">
      <c r="A98" s="489"/>
      <c r="B98" s="498"/>
      <c r="C98" s="515"/>
      <c r="D98" s="491"/>
      <c r="E98" s="491"/>
      <c r="F98" s="491"/>
      <c r="G98" s="491"/>
      <c r="H98" s="491"/>
      <c r="I98" s="491"/>
      <c r="J98" s="491"/>
      <c r="K98" s="491"/>
      <c r="L98" s="491"/>
      <c r="M98" s="492"/>
      <c r="N98" s="2980"/>
      <c r="O98" s="2980"/>
      <c r="P98" s="2988"/>
      <c r="Q98" s="2965"/>
      <c r="R98" s="2951"/>
      <c r="S98" s="2951"/>
      <c r="T98" s="2951"/>
      <c r="U98" s="2951"/>
      <c r="V98" s="2951"/>
      <c r="W98" s="2951"/>
      <c r="X98" s="2951"/>
      <c r="Y98" s="2951"/>
      <c r="Z98" s="2951"/>
      <c r="AA98" s="2951"/>
      <c r="AB98" s="2951"/>
      <c r="AC98" s="2951"/>
    </row>
    <row r="99" spans="1:29" ht="15.75" thickTop="1">
      <c r="A99" s="489"/>
      <c r="B99" s="501">
        <f>B32</f>
        <v>111</v>
      </c>
      <c r="C99" s="478"/>
      <c r="D99" s="478"/>
      <c r="E99" s="478"/>
      <c r="F99" s="478"/>
      <c r="G99" s="542"/>
      <c r="H99" s="542"/>
      <c r="I99" s="542"/>
      <c r="J99" s="542"/>
      <c r="K99" s="543"/>
      <c r="L99" s="544"/>
      <c r="M99" s="545"/>
      <c r="N99" s="2979"/>
      <c r="O99" s="2979"/>
      <c r="P99" s="2988"/>
      <c r="Q99" s="2965"/>
      <c r="R99" s="2951"/>
      <c r="S99" s="2951"/>
      <c r="T99" s="2951"/>
      <c r="U99" s="2951"/>
      <c r="V99" s="2951"/>
      <c r="W99" s="2951"/>
      <c r="X99" s="2951"/>
      <c r="Y99" s="2951"/>
      <c r="Z99" s="2951"/>
      <c r="AA99" s="2951"/>
      <c r="AB99" s="2951"/>
      <c r="AC99" s="2951"/>
    </row>
    <row r="100" spans="1:29" ht="15.75" thickBot="1">
      <c r="A100" s="2112"/>
      <c r="B100" s="524"/>
      <c r="C100" s="525"/>
      <c r="D100" s="525"/>
      <c r="E100" s="525"/>
      <c r="F100" s="525"/>
      <c r="G100" s="546"/>
      <c r="H100" s="546"/>
      <c r="I100" s="546"/>
      <c r="J100" s="546"/>
      <c r="K100" s="546"/>
      <c r="L100" s="546"/>
      <c r="M100" s="547"/>
      <c r="N100" s="2980"/>
      <c r="O100" s="2980"/>
      <c r="P100" s="2988"/>
      <c r="Q100" s="2965"/>
      <c r="R100" s="2951"/>
      <c r="S100" s="2951"/>
      <c r="T100" s="2951"/>
      <c r="U100" s="2951"/>
      <c r="V100" s="2951"/>
      <c r="W100" s="2951"/>
      <c r="X100" s="2951"/>
      <c r="Y100" s="2951"/>
      <c r="Z100" s="2951"/>
      <c r="AA100" s="2951"/>
      <c r="AB100" s="2951"/>
      <c r="AC100" s="2951"/>
    </row>
    <row r="101" spans="1:29">
      <c r="A101" s="482" t="s">
        <v>2382</v>
      </c>
      <c r="B101" s="483" t="s">
        <v>2431</v>
      </c>
      <c r="C101" s="485"/>
      <c r="D101" s="485"/>
      <c r="E101" s="485"/>
      <c r="F101" s="485"/>
      <c r="G101" s="485"/>
      <c r="H101" s="485"/>
      <c r="I101" s="485"/>
      <c r="J101" s="485"/>
      <c r="K101" s="486"/>
      <c r="L101" s="487"/>
      <c r="M101" s="488"/>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9"/>
      <c r="B103" s="493" t="s">
        <v>2432</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8" customFormat="1">
      <c r="A104" s="548"/>
      <c r="B104" s="549"/>
      <c r="C104" s="550"/>
      <c r="D104" s="550"/>
      <c r="E104" s="550"/>
      <c r="F104" s="550"/>
      <c r="G104" s="550"/>
      <c r="H104" s="550"/>
      <c r="I104" s="550"/>
      <c r="J104" s="551"/>
      <c r="K104" s="551"/>
      <c r="L104" s="552"/>
      <c r="M104" s="553"/>
      <c r="N104" s="2981"/>
      <c r="O104" s="2981"/>
      <c r="P104" s="2989"/>
      <c r="Q104" s="2972"/>
      <c r="R104" s="2973"/>
      <c r="S104" s="2973"/>
      <c r="T104" s="2973"/>
      <c r="U104" s="2973"/>
      <c r="V104" s="2973"/>
      <c r="W104" s="2973"/>
      <c r="X104" s="2973"/>
      <c r="Y104" s="2973"/>
      <c r="Z104" s="2973"/>
      <c r="AA104" s="2973"/>
      <c r="AB104" s="2973"/>
      <c r="AC104" s="2973"/>
    </row>
    <row r="105" spans="1:29" s="428" customFormat="1" ht="15.75" thickBot="1">
      <c r="A105" s="508"/>
      <c r="B105" s="498"/>
      <c r="C105" s="515"/>
      <c r="D105" s="491"/>
      <c r="E105" s="491"/>
      <c r="F105" s="491"/>
      <c r="G105" s="491"/>
      <c r="H105" s="491"/>
      <c r="I105" s="491"/>
      <c r="J105" s="491"/>
      <c r="K105" s="491"/>
      <c r="L105" s="491"/>
      <c r="M105" s="492"/>
      <c r="N105" s="2980"/>
      <c r="O105" s="2980"/>
      <c r="P105" s="2989"/>
      <c r="Q105" s="2972"/>
      <c r="R105" s="2973"/>
      <c r="S105" s="2973"/>
      <c r="T105" s="2973"/>
      <c r="U105" s="2973"/>
      <c r="V105" s="2973"/>
      <c r="W105" s="2973"/>
      <c r="X105" s="2973"/>
      <c r="Y105" s="2973"/>
      <c r="Z105" s="2973"/>
      <c r="AA105" s="2973"/>
      <c r="AB105" s="2973"/>
      <c r="AC105" s="2973"/>
    </row>
    <row r="106" spans="1:29" ht="15" thickTop="1">
      <c r="A106" s="554"/>
      <c r="B106" s="493" t="s">
        <v>2433</v>
      </c>
      <c r="C106" s="509"/>
      <c r="D106" s="509"/>
      <c r="E106" s="538"/>
      <c r="F106" s="538"/>
      <c r="G106" s="538"/>
      <c r="H106" s="538"/>
      <c r="I106" s="538"/>
      <c r="J106" s="538"/>
      <c r="K106" s="539"/>
      <c r="L106" s="540"/>
      <c r="M106" s="541"/>
      <c r="N106" s="2979"/>
      <c r="O106" s="2979"/>
      <c r="P106" s="2988"/>
      <c r="Q106" s="2965"/>
      <c r="R106" s="2951"/>
      <c r="S106" s="2951"/>
      <c r="T106" s="2951"/>
      <c r="U106" s="2951"/>
      <c r="V106" s="2951"/>
      <c r="W106" s="2951"/>
      <c r="X106" s="2951"/>
      <c r="Y106" s="2951"/>
      <c r="Z106" s="2951"/>
      <c r="AA106" s="2951"/>
      <c r="AB106" s="2951"/>
      <c r="AC106" s="2951"/>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4"/>
      <c r="B108" s="493" t="s">
        <v>2435</v>
      </c>
      <c r="C108" s="509"/>
      <c r="D108" s="509"/>
      <c r="E108" s="509"/>
      <c r="F108" s="538"/>
      <c r="G108" s="538"/>
      <c r="H108" s="538"/>
      <c r="I108" s="538"/>
      <c r="J108" s="538"/>
      <c r="K108" s="539"/>
      <c r="L108" s="540"/>
      <c r="M108" s="541"/>
      <c r="N108" s="2979"/>
      <c r="O108" s="2979"/>
      <c r="P108" s="2988"/>
      <c r="Q108" s="2965"/>
      <c r="R108" s="2951"/>
      <c r="S108" s="2951"/>
      <c r="T108" s="2951"/>
      <c r="U108" s="2951"/>
      <c r="V108" s="2951"/>
      <c r="W108" s="2951"/>
      <c r="X108" s="2951"/>
      <c r="Y108" s="2951"/>
      <c r="Z108" s="2951"/>
      <c r="AA108" s="2951"/>
      <c r="AB108" s="2951"/>
      <c r="AC108" s="2951"/>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4"/>
      <c r="B110" s="493" t="s">
        <v>1877</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79"/>
      <c r="O110" s="2979"/>
      <c r="P110" s="2988"/>
      <c r="Q110" s="2965"/>
      <c r="R110" s="2951"/>
      <c r="S110" s="2951"/>
      <c r="T110" s="2951"/>
      <c r="U110" s="2951"/>
      <c r="V110" s="2951"/>
      <c r="W110" s="2951"/>
      <c r="X110" s="2951"/>
      <c r="Y110" s="2951"/>
      <c r="Z110" s="2951"/>
      <c r="AA110" s="2951"/>
      <c r="AB110" s="2951"/>
      <c r="AC110" s="2951"/>
    </row>
    <row r="111" spans="1:29">
      <c r="A111" s="554"/>
      <c r="B111" s="501"/>
      <c r="C111" s="558">
        <v>0.5</v>
      </c>
      <c r="D111" s="558">
        <v>0.6</v>
      </c>
      <c r="E111" s="558">
        <v>0.7</v>
      </c>
      <c r="F111" s="558">
        <v>0.8</v>
      </c>
      <c r="G111" s="558">
        <v>0.9</v>
      </c>
      <c r="H111" s="558">
        <v>1.0001</v>
      </c>
      <c r="I111" s="577"/>
      <c r="J111" s="577"/>
      <c r="K111" s="578"/>
      <c r="L111" s="579"/>
      <c r="M111" s="580"/>
      <c r="N111" s="2979"/>
      <c r="O111" s="2979"/>
      <c r="P111" s="2988"/>
      <c r="Q111" s="2965"/>
      <c r="R111" s="2951"/>
      <c r="S111" s="2951"/>
      <c r="T111" s="2951"/>
      <c r="U111" s="2951"/>
      <c r="V111" s="2951"/>
      <c r="W111" s="2951"/>
      <c r="X111" s="2951"/>
      <c r="Y111" s="2951"/>
      <c r="Z111" s="2951"/>
      <c r="AA111" s="2951"/>
      <c r="AB111" s="2951"/>
      <c r="AC111" s="2951"/>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0"/>
      <c r="O112" s="2980"/>
      <c r="P112" s="2988"/>
      <c r="Q112" s="2965"/>
      <c r="R112" s="2951"/>
      <c r="S112" s="2951"/>
      <c r="T112" s="2951"/>
      <c r="U112" s="2951"/>
      <c r="V112" s="2951"/>
      <c r="W112" s="2951"/>
      <c r="X112" s="2951"/>
      <c r="Y112" s="2951"/>
      <c r="Z112" s="2951"/>
      <c r="AA112" s="2951"/>
      <c r="AB112" s="2951"/>
      <c r="AC112" s="2951"/>
    </row>
    <row r="113" spans="1:29" s="428" customFormat="1" ht="15" thickTop="1">
      <c r="A113" s="548"/>
      <c r="B113" s="493" t="s">
        <v>2519</v>
      </c>
      <c r="C113" s="509"/>
      <c r="D113" s="509"/>
      <c r="E113" s="509"/>
      <c r="F113" s="509"/>
      <c r="G113" s="509"/>
      <c r="H113" s="538"/>
      <c r="I113" s="538"/>
      <c r="J113" s="538"/>
      <c r="K113" s="539"/>
      <c r="L113" s="540"/>
      <c r="M113" s="541"/>
      <c r="N113" s="2981"/>
      <c r="O113" s="2981"/>
      <c r="P113" s="2989"/>
      <c r="Q113" s="2972"/>
      <c r="R113" s="2973"/>
      <c r="S113" s="2973"/>
      <c r="T113" s="2973"/>
      <c r="U113" s="2973"/>
      <c r="V113" s="2973"/>
      <c r="W113" s="2973"/>
      <c r="X113" s="2973"/>
      <c r="Y113" s="2973"/>
      <c r="Z113" s="2973"/>
      <c r="AA113" s="2973"/>
      <c r="AB113" s="2973"/>
      <c r="AC113" s="2973"/>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4"/>
      <c r="B115" s="493" t="s">
        <v>2436</v>
      </c>
      <c r="C115" s="509"/>
      <c r="D115" s="509"/>
      <c r="E115" s="538"/>
      <c r="F115" s="538"/>
      <c r="G115" s="538"/>
      <c r="H115" s="538"/>
      <c r="I115" s="538"/>
      <c r="J115" s="538"/>
      <c r="K115" s="539"/>
      <c r="L115" s="540"/>
      <c r="M115" s="541"/>
      <c r="N115" s="2979"/>
      <c r="O115" s="2979"/>
      <c r="P115" s="2988"/>
      <c r="Q115" s="2965"/>
      <c r="R115" s="2951"/>
      <c r="S115" s="2951"/>
      <c r="T115" s="2951"/>
      <c r="U115" s="2951"/>
      <c r="V115" s="2951"/>
      <c r="W115" s="2951"/>
      <c r="X115" s="2951"/>
      <c r="Y115" s="2951"/>
      <c r="Z115" s="2951"/>
      <c r="AA115" s="2951"/>
      <c r="AB115" s="2951"/>
      <c r="AC115" s="2951"/>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4"/>
      <c r="B117" s="493" t="s">
        <v>2437</v>
      </c>
      <c r="C117" s="509"/>
      <c r="D117" s="509"/>
      <c r="E117" s="509"/>
      <c r="F117" s="509"/>
      <c r="G117" s="509"/>
      <c r="H117" s="538"/>
      <c r="I117" s="538"/>
      <c r="J117" s="538"/>
      <c r="K117" s="539"/>
      <c r="L117" s="540"/>
      <c r="M117" s="541"/>
      <c r="N117" s="2979"/>
      <c r="O117" s="2979"/>
      <c r="P117" s="2988"/>
      <c r="Q117" s="2965"/>
      <c r="R117" s="2951"/>
      <c r="S117" s="2951"/>
      <c r="T117" s="2951"/>
      <c r="U117" s="2951"/>
      <c r="V117" s="2951"/>
      <c r="W117" s="2951"/>
      <c r="X117" s="2951"/>
      <c r="Y117" s="2951"/>
      <c r="Z117" s="2951"/>
      <c r="AA117" s="2951"/>
      <c r="AB117" s="2951"/>
      <c r="AC117" s="2951"/>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0"/>
      <c r="O118" s="2980"/>
      <c r="P118" s="2988"/>
      <c r="Q118" s="2965"/>
      <c r="R118" s="2951"/>
      <c r="S118" s="2951"/>
      <c r="T118" s="2951"/>
      <c r="U118" s="2951"/>
      <c r="V118" s="2951"/>
      <c r="W118" s="2951"/>
      <c r="X118" s="2951"/>
      <c r="Y118" s="2951"/>
      <c r="Z118" s="2951"/>
      <c r="AA118" s="2951"/>
      <c r="AB118" s="2951"/>
      <c r="AC118" s="2951"/>
    </row>
    <row r="119" spans="1:29" ht="15" thickTop="1">
      <c r="A119" s="554"/>
      <c r="B119" s="590" t="s">
        <v>2520</v>
      </c>
      <c r="C119" s="538"/>
      <c r="D119" s="538"/>
      <c r="E119" s="538"/>
      <c r="F119" s="538"/>
      <c r="G119" s="538"/>
      <c r="H119" s="538"/>
      <c r="I119" s="538"/>
      <c r="J119" s="538"/>
      <c r="K119" s="538"/>
      <c r="L119" s="2152"/>
      <c r="M119" s="2153"/>
      <c r="N119" s="2980"/>
      <c r="O119" s="2980"/>
      <c r="P119" s="2993"/>
      <c r="Q119" s="2994"/>
      <c r="R119" s="2951"/>
      <c r="S119" s="2951"/>
      <c r="T119" s="2951"/>
      <c r="U119" s="2951"/>
      <c r="V119" s="2951"/>
      <c r="W119" s="2951"/>
      <c r="X119" s="2951"/>
      <c r="Y119" s="2951"/>
      <c r="Z119" s="2951"/>
      <c r="AA119" s="2951"/>
      <c r="AB119" s="2951"/>
      <c r="AC119" s="2951"/>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0"/>
      <c r="O120" s="2980"/>
      <c r="P120" s="2988"/>
      <c r="Q120" s="2965"/>
      <c r="R120" s="2951"/>
      <c r="S120" s="2951"/>
      <c r="T120" s="2951"/>
      <c r="U120" s="2951"/>
      <c r="V120" s="2951"/>
      <c r="W120" s="2951"/>
      <c r="X120" s="2951"/>
      <c r="Y120" s="2951"/>
      <c r="Z120" s="2951"/>
      <c r="AA120" s="2951"/>
      <c r="AB120" s="2951"/>
      <c r="AC120" s="2951"/>
    </row>
    <row r="121" spans="1:29" s="428" customFormat="1" ht="15" thickTop="1">
      <c r="A121" s="548"/>
      <c r="B121" s="493" t="s">
        <v>2503</v>
      </c>
      <c r="C121" s="509"/>
      <c r="D121" s="509"/>
      <c r="E121" s="509"/>
      <c r="F121" s="538"/>
      <c r="G121" s="510"/>
      <c r="H121" s="510"/>
      <c r="I121" s="510"/>
      <c r="J121" s="510"/>
      <c r="K121" s="510"/>
      <c r="L121" s="511"/>
      <c r="M121" s="512"/>
      <c r="N121" s="2981"/>
      <c r="O121" s="2981"/>
      <c r="P121" s="2989"/>
      <c r="Q121" s="2972"/>
      <c r="R121" s="2973"/>
      <c r="S121" s="2973"/>
      <c r="T121" s="2973"/>
      <c r="U121" s="2973"/>
      <c r="V121" s="2973"/>
      <c r="W121" s="2973"/>
      <c r="X121" s="2973"/>
      <c r="Y121" s="2973"/>
      <c r="Z121" s="2973"/>
      <c r="AA121" s="2973"/>
      <c r="AB121" s="2973"/>
      <c r="AC121" s="2973"/>
    </row>
    <row r="122" spans="1:29" s="428" customFormat="1" ht="15.75" thickBot="1">
      <c r="A122" s="508"/>
      <c r="B122" s="490"/>
      <c r="C122" s="515"/>
      <c r="D122" s="515"/>
      <c r="E122" s="515"/>
      <c r="F122" s="515"/>
      <c r="G122" s="515"/>
      <c r="H122" s="515"/>
      <c r="I122" s="515"/>
      <c r="J122" s="515"/>
      <c r="K122" s="515"/>
      <c r="L122" s="515"/>
      <c r="M122" s="515"/>
      <c r="N122" s="2981"/>
      <c r="O122" s="2981"/>
      <c r="P122" s="2989"/>
      <c r="Q122" s="2972"/>
      <c r="R122" s="2973"/>
      <c r="S122" s="2973"/>
      <c r="T122" s="2973"/>
      <c r="U122" s="2973"/>
      <c r="V122" s="2973"/>
      <c r="W122" s="2973"/>
      <c r="X122" s="2973"/>
      <c r="Y122" s="2973"/>
      <c r="Z122" s="2973"/>
      <c r="AA122" s="2973"/>
      <c r="AB122" s="2973"/>
      <c r="AC122" s="2973"/>
    </row>
    <row r="123" spans="1:29" ht="15" thickTop="1">
      <c r="A123" s="554"/>
      <c r="B123" s="493" t="s">
        <v>2439</v>
      </c>
      <c r="C123" s="509"/>
      <c r="D123" s="509"/>
      <c r="E123" s="509"/>
      <c r="F123" s="538"/>
      <c r="G123" s="538"/>
      <c r="H123" s="538"/>
      <c r="I123" s="538"/>
      <c r="J123" s="538"/>
      <c r="K123" s="539"/>
      <c r="L123" s="540"/>
      <c r="M123" s="541"/>
      <c r="N123" s="2979"/>
      <c r="O123" s="2979"/>
      <c r="P123" s="2988"/>
      <c r="Q123" s="2965"/>
      <c r="R123" s="2951"/>
      <c r="S123" s="2951"/>
      <c r="T123" s="2951"/>
      <c r="U123" s="2951"/>
      <c r="V123" s="2951"/>
      <c r="W123" s="2951"/>
      <c r="X123" s="2951"/>
      <c r="Y123" s="2951"/>
      <c r="Z123" s="2951"/>
      <c r="AA123" s="2951"/>
      <c r="AB123" s="2951"/>
      <c r="AC123" s="2951"/>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4"/>
      <c r="B125" s="493" t="s">
        <v>2440</v>
      </c>
      <c r="C125" s="533" t="s">
        <v>2416</v>
      </c>
      <c r="D125" s="533" t="s">
        <v>2417</v>
      </c>
      <c r="E125" s="533" t="s">
        <v>2418</v>
      </c>
      <c r="F125" s="533" t="s">
        <v>2419</v>
      </c>
      <c r="G125" s="533" t="s">
        <v>2420</v>
      </c>
      <c r="H125" s="494"/>
      <c r="I125" s="494"/>
      <c r="J125" s="494"/>
      <c r="K125" s="495"/>
      <c r="L125" s="496"/>
      <c r="M125" s="497"/>
      <c r="N125" s="2979"/>
      <c r="O125" s="2979"/>
      <c r="P125" s="2989"/>
      <c r="Q125" s="2965"/>
      <c r="R125" s="2951"/>
      <c r="S125" s="2951"/>
      <c r="T125" s="2951"/>
      <c r="U125" s="2951"/>
      <c r="V125" s="2951"/>
      <c r="W125" s="2951"/>
      <c r="X125" s="2951"/>
      <c r="Y125" s="2951"/>
      <c r="Z125" s="2951"/>
      <c r="AA125" s="2951"/>
      <c r="AB125" s="2951"/>
      <c r="AC125" s="2951"/>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0"/>
      <c r="O126" s="2980"/>
      <c r="P126" s="2988"/>
      <c r="Q126" s="2965"/>
      <c r="R126" s="2951"/>
      <c r="S126" s="2951"/>
      <c r="T126" s="2951"/>
      <c r="U126" s="2951"/>
      <c r="V126" s="2951"/>
      <c r="W126" s="2951"/>
      <c r="X126" s="2951"/>
      <c r="Y126" s="2951"/>
      <c r="Z126" s="2951"/>
      <c r="AA126" s="2951"/>
      <c r="AB126" s="2951"/>
      <c r="AC126" s="2951"/>
    </row>
    <row r="127" spans="1:29" s="428" customFormat="1" ht="15" thickTop="1">
      <c r="A127" s="548"/>
      <c r="B127" s="493">
        <f>B45</f>
        <v>111</v>
      </c>
      <c r="C127" s="509"/>
      <c r="D127" s="509"/>
      <c r="E127" s="509"/>
      <c r="F127" s="509"/>
      <c r="G127" s="509"/>
      <c r="H127" s="510"/>
      <c r="I127" s="510"/>
      <c r="J127" s="510"/>
      <c r="K127" s="510"/>
      <c r="L127" s="511"/>
      <c r="M127" s="512"/>
      <c r="N127" s="2981"/>
      <c r="O127" s="2981"/>
      <c r="P127" s="2989"/>
      <c r="Q127" s="2972"/>
      <c r="R127" s="2973"/>
      <c r="S127" s="2973"/>
      <c r="T127" s="2973"/>
      <c r="U127" s="2973"/>
      <c r="V127" s="2973"/>
      <c r="W127" s="2973"/>
      <c r="X127" s="2973"/>
      <c r="Y127" s="2973"/>
      <c r="Z127" s="2973"/>
      <c r="AA127" s="2973"/>
      <c r="AB127" s="2973"/>
      <c r="AC127" s="2973"/>
    </row>
    <row r="128" spans="1:29" s="428" customFormat="1" ht="15.75" thickBot="1">
      <c r="A128" s="508"/>
      <c r="B128" s="498"/>
      <c r="C128" s="515"/>
      <c r="D128" s="491"/>
      <c r="E128" s="491"/>
      <c r="F128" s="491"/>
      <c r="G128" s="515"/>
      <c r="H128" s="517"/>
      <c r="I128" s="517"/>
      <c r="J128" s="517"/>
      <c r="K128" s="517"/>
      <c r="L128" s="517"/>
      <c r="M128" s="518"/>
      <c r="N128" s="2981"/>
      <c r="O128" s="2981"/>
      <c r="P128" s="2989"/>
      <c r="Q128" s="2972"/>
      <c r="R128" s="2973"/>
      <c r="S128" s="2973"/>
      <c r="T128" s="2973"/>
      <c r="U128" s="2973"/>
      <c r="V128" s="2973"/>
      <c r="W128" s="2973"/>
      <c r="X128" s="2973"/>
      <c r="Y128" s="2973"/>
      <c r="Z128" s="2973"/>
      <c r="AA128" s="2973"/>
      <c r="AB128" s="2973"/>
      <c r="AC128" s="2973"/>
    </row>
    <row r="129" spans="1:29" ht="15" thickTop="1">
      <c r="A129" s="554"/>
      <c r="B129" s="493">
        <f>B46</f>
        <v>111</v>
      </c>
      <c r="C129" s="509"/>
      <c r="D129" s="509"/>
      <c r="E129" s="509"/>
      <c r="F129" s="509"/>
      <c r="G129" s="538"/>
      <c r="H129" s="538"/>
      <c r="I129" s="538"/>
      <c r="J129" s="538"/>
      <c r="K129" s="539"/>
      <c r="L129" s="540"/>
      <c r="M129" s="541"/>
      <c r="N129" s="2979"/>
      <c r="O129" s="2979"/>
      <c r="P129" s="2988"/>
      <c r="Q129" s="2965"/>
      <c r="R129" s="2951"/>
      <c r="S129" s="2951"/>
      <c r="T129" s="2951"/>
      <c r="U129" s="2951"/>
      <c r="V129" s="2951"/>
      <c r="W129" s="2951"/>
      <c r="X129" s="2951"/>
      <c r="Y129" s="2951"/>
      <c r="Z129" s="2951"/>
      <c r="AA129" s="2951"/>
      <c r="AB129" s="2951"/>
      <c r="AC129" s="2951"/>
    </row>
    <row r="130" spans="1:29" ht="15.75" thickBot="1">
      <c r="A130" s="489"/>
      <c r="B130" s="498"/>
      <c r="C130" s="515"/>
      <c r="D130" s="515"/>
      <c r="E130" s="515"/>
      <c r="F130" s="515"/>
      <c r="G130" s="491"/>
      <c r="H130" s="491"/>
      <c r="I130" s="491"/>
      <c r="J130" s="491"/>
      <c r="K130" s="491"/>
      <c r="L130" s="491"/>
      <c r="M130" s="492"/>
      <c r="N130" s="2980"/>
      <c r="O130" s="2980"/>
      <c r="P130" s="2988"/>
      <c r="Q130" s="2965"/>
      <c r="R130" s="2951"/>
      <c r="S130" s="2951"/>
      <c r="T130" s="2951"/>
      <c r="U130" s="2951"/>
      <c r="V130" s="2951"/>
      <c r="W130" s="2951"/>
      <c r="X130" s="2951"/>
      <c r="Y130" s="2951"/>
      <c r="Z130" s="2951"/>
      <c r="AA130" s="2951"/>
      <c r="AB130" s="2951"/>
      <c r="AC130" s="2951"/>
    </row>
    <row r="131" spans="1:29" ht="15" thickTop="1">
      <c r="A131" s="554"/>
      <c r="B131" s="501">
        <f>B47</f>
        <v>111</v>
      </c>
      <c r="C131" s="478"/>
      <c r="D131" s="478"/>
      <c r="E131" s="478"/>
      <c r="F131" s="478"/>
      <c r="G131" s="542"/>
      <c r="H131" s="542"/>
      <c r="I131" s="542"/>
      <c r="J131" s="542"/>
      <c r="K131" s="478"/>
      <c r="L131" s="479"/>
      <c r="M131" s="545"/>
      <c r="N131" s="2979"/>
      <c r="O131" s="2979"/>
      <c r="P131" s="2988"/>
      <c r="Q131" s="2965"/>
      <c r="R131" s="2951"/>
      <c r="S131" s="2951"/>
      <c r="T131" s="2951"/>
      <c r="U131" s="2951"/>
      <c r="V131" s="2951"/>
      <c r="W131" s="2951"/>
      <c r="X131" s="2951"/>
      <c r="Y131" s="2951"/>
      <c r="Z131" s="2951"/>
      <c r="AA131" s="2951"/>
      <c r="AB131" s="2951"/>
      <c r="AC131" s="2951"/>
    </row>
    <row r="132" spans="1:29" ht="15.75" thickBot="1">
      <c r="A132" s="2112"/>
      <c r="B132" s="524"/>
      <c r="C132" s="525"/>
      <c r="D132" s="525"/>
      <c r="E132" s="525"/>
      <c r="F132" s="525"/>
      <c r="G132" s="546"/>
      <c r="H132" s="546"/>
      <c r="I132" s="546"/>
      <c r="J132" s="546"/>
      <c r="K132" s="546"/>
      <c r="L132" s="546"/>
      <c r="M132" s="547"/>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36">
      <c r="A4" s="1663" t="str">
        <f>"受贵公司委托，我公司对"&amp;项目基本情况!S1&amp;"进行了预评估。"</f>
        <v>受贵公司委托，我公司对出让国有建设用地使用权及在建建筑物房地产抵押价值进行了预评估。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估价对象为出让国有建设用地使用权及在建建筑物房地产，为所有。根据《国有土地使用证》[]，估价对象（分摊）出让国有建设用地使用权面积为39947平方米，建筑面积为133675.47平方米。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39947平方米，规划建筑面积为133675.47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2021年4月25日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本次评估采用的主估价方法为成本法和假设开发法。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2347</v>
      </c>
      <c r="B1" s="2141" t="s">
        <v>2521</v>
      </c>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IF(C2="——",ROUND(C43*D3/10000,0),ROUND(C43*D3/10000,0)-D2)</f>
        <v>#DIV/0!</v>
      </c>
      <c r="C2" s="2065"/>
      <c r="D2" s="1036" t="e">
        <f ca="1">SUMIF(INDIRECT("'"&amp;F2&amp;"'"&amp;"!A:A"),"承租人权益价值",INDIRECT("'"&amp;F2&amp;"'"&amp;"!c:c"))</f>
        <v>#REF!</v>
      </c>
      <c r="E2" s="2066" t="s">
        <v>2150</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2151</v>
      </c>
      <c r="B3" s="564" t="e">
        <f ca="1">IF(C2="——",C43,ROUND(B2*10000/D3,0))</f>
        <v>#DIV/0!</v>
      </c>
      <c r="C3" s="358" t="s">
        <v>2463</v>
      </c>
      <c r="D3" s="357">
        <f>IF(D1="",'数据-汇总表'!E3,SUMIF('数据-汇总表'!$C19:$C33,D1,'数据-汇总表'!$E19:$E33))</f>
        <v>133675.47</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2464</v>
      </c>
      <c r="B4" s="360"/>
      <c r="C4" s="3313" t="s">
        <v>2465</v>
      </c>
      <c r="D4" s="3326"/>
      <c r="E4" s="3327" t="s">
        <v>2466</v>
      </c>
      <c r="F4" s="3328"/>
      <c r="G4" s="3313" t="s">
        <v>2467</v>
      </c>
      <c r="H4" s="3326"/>
      <c r="I4" s="3313" t="s">
        <v>2468</v>
      </c>
      <c r="J4" s="3326"/>
      <c r="K4" s="565" t="s">
        <v>2469</v>
      </c>
      <c r="L4" s="1042"/>
      <c r="M4" s="1043"/>
      <c r="N4" s="1043"/>
      <c r="O4" s="1043"/>
      <c r="P4" s="3329" t="s">
        <v>2470</v>
      </c>
      <c r="Q4" s="3330"/>
      <c r="R4" s="3335" t="s">
        <v>2466</v>
      </c>
      <c r="S4" s="3336"/>
      <c r="T4" s="3335" t="s">
        <v>2467</v>
      </c>
      <c r="U4" s="3336"/>
      <c r="V4" s="3322" t="s">
        <v>2468</v>
      </c>
      <c r="W4" s="3322"/>
      <c r="X4" s="1537"/>
      <c r="Y4" s="3335" t="s">
        <v>2470</v>
      </c>
      <c r="Z4" s="3336"/>
      <c r="AA4" s="3323" t="s">
        <v>2466</v>
      </c>
      <c r="AB4" s="3324" t="s">
        <v>2467</v>
      </c>
      <c r="AC4" s="3323" t="s">
        <v>2468</v>
      </c>
    </row>
    <row r="5" spans="1:29" ht="15">
      <c r="A5" s="362"/>
      <c r="B5" s="363"/>
      <c r="C5" s="3343" t="s">
        <v>2361</v>
      </c>
      <c r="D5" s="3344"/>
      <c r="E5" s="3350" t="s">
        <v>2362</v>
      </c>
      <c r="F5" s="3351"/>
      <c r="G5" s="3343" t="s">
        <v>2363</v>
      </c>
      <c r="H5" s="3344"/>
      <c r="I5" s="3343" t="s">
        <v>2364</v>
      </c>
      <c r="J5" s="3344"/>
      <c r="K5" s="565"/>
      <c r="L5" s="1042"/>
      <c r="M5" s="1043"/>
      <c r="N5" s="1043"/>
      <c r="O5" s="1043"/>
      <c r="P5" s="3331"/>
      <c r="Q5" s="3332"/>
      <c r="R5" s="3337"/>
      <c r="S5" s="3338"/>
      <c r="T5" s="3337"/>
      <c r="U5" s="3338"/>
      <c r="V5" s="3322"/>
      <c r="W5" s="3322"/>
      <c r="X5" s="1537"/>
      <c r="Y5" s="3337"/>
      <c r="Z5" s="3338"/>
      <c r="AA5" s="3324"/>
      <c r="AB5" s="3324"/>
      <c r="AC5" s="3324"/>
    </row>
    <row r="6" spans="1:29" ht="15.75" thickBot="1">
      <c r="A6" s="364"/>
      <c r="B6" s="365"/>
      <c r="C6" s="3341" t="s">
        <v>2365</v>
      </c>
      <c r="D6" s="3342"/>
      <c r="E6" s="3348" t="s">
        <v>2365</v>
      </c>
      <c r="F6" s="3349"/>
      <c r="G6" s="3341" t="s">
        <v>2365</v>
      </c>
      <c r="H6" s="3342"/>
      <c r="I6" s="3341" t="s">
        <v>2365</v>
      </c>
      <c r="J6" s="3342"/>
      <c r="K6" s="565" t="s">
        <v>2366</v>
      </c>
      <c r="L6" s="1042"/>
      <c r="M6" s="1043"/>
      <c r="N6" s="1043"/>
      <c r="O6" s="1043"/>
      <c r="P6" s="3333"/>
      <c r="Q6" s="3334"/>
      <c r="R6" s="3337"/>
      <c r="S6" s="3338"/>
      <c r="T6" s="3339"/>
      <c r="U6" s="3340"/>
      <c r="V6" s="3322"/>
      <c r="W6" s="3322"/>
      <c r="X6" s="1537"/>
      <c r="Y6" s="3339"/>
      <c r="Z6" s="3340"/>
      <c r="AA6" s="3325"/>
      <c r="AB6" s="3325"/>
      <c r="AC6" s="3325"/>
    </row>
    <row r="7" spans="1:29" s="112" customFormat="1" ht="15.75" thickBot="1">
      <c r="A7" s="366" t="s">
        <v>2367</v>
      </c>
      <c r="B7" s="367"/>
      <c r="C7" s="368">
        <f>'数据-取费表'!B2</f>
        <v>44311</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45" t="s">
        <v>2368</v>
      </c>
      <c r="Q7" s="3347"/>
      <c r="R7" s="708" t="s">
        <v>17</v>
      </c>
      <c r="S7" s="709">
        <f t="shared" ref="S7:S15" si="0">F7</f>
        <v>0</v>
      </c>
      <c r="T7" s="708" t="s">
        <v>17</v>
      </c>
      <c r="U7" s="709">
        <f t="shared" ref="U7:U15" si="1">H7</f>
        <v>0</v>
      </c>
      <c r="V7" s="708" t="s">
        <v>17</v>
      </c>
      <c r="W7" s="709">
        <f t="shared" ref="W7:W15" si="2">J7</f>
        <v>0</v>
      </c>
      <c r="X7" s="710"/>
      <c r="Y7" s="3345" t="s">
        <v>2368</v>
      </c>
      <c r="Z7" s="3346"/>
      <c r="AA7" s="711" t="e">
        <f>D7/F7</f>
        <v>#DIV/0!</v>
      </c>
      <c r="AB7" s="711" t="e">
        <f>D7/H7</f>
        <v>#DIV/0!</v>
      </c>
      <c r="AC7" s="711" t="e">
        <f>D7/J7</f>
        <v>#DIV/0!</v>
      </c>
    </row>
    <row r="8" spans="1:29" s="112" customFormat="1" ht="15.75" thickBot="1">
      <c r="A8" s="366" t="s">
        <v>2369</v>
      </c>
      <c r="B8" s="367"/>
      <c r="C8" s="372" t="s">
        <v>2370</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45" t="s">
        <v>2371</v>
      </c>
      <c r="Q8" s="3346"/>
      <c r="R8" s="708" t="s">
        <v>17</v>
      </c>
      <c r="S8" s="709">
        <f t="shared" si="0"/>
        <v>0</v>
      </c>
      <c r="T8" s="708" t="s">
        <v>17</v>
      </c>
      <c r="U8" s="709">
        <f t="shared" si="1"/>
        <v>0</v>
      </c>
      <c r="V8" s="708" t="s">
        <v>17</v>
      </c>
      <c r="W8" s="709">
        <f t="shared" si="2"/>
        <v>0</v>
      </c>
      <c r="X8" s="710"/>
      <c r="Y8" s="3345" t="s">
        <v>2371</v>
      </c>
      <c r="Z8" s="3346"/>
      <c r="AA8" s="711" t="e">
        <f t="shared" ref="AA8:AA40" si="3">D8/F8</f>
        <v>#DIV/0!</v>
      </c>
      <c r="AB8" s="711" t="e">
        <f t="shared" ref="AB8:AB40" si="4">D8/H8</f>
        <v>#DIV/0!</v>
      </c>
      <c r="AC8" s="711" t="e">
        <f t="shared" ref="AC8:AC40" si="5">D8/J8</f>
        <v>#DIV/0!</v>
      </c>
    </row>
    <row r="9" spans="1:29" s="112" customFormat="1">
      <c r="A9" s="373" t="s">
        <v>2372</v>
      </c>
      <c r="B9" s="67" t="s">
        <v>2373</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16"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711">
        <f t="shared" si="5"/>
        <v>1</v>
      </c>
    </row>
    <row r="10" spans="1:29" s="384" customFormat="1" ht="27">
      <c r="A10" s="378"/>
      <c r="B10" s="379" t="s">
        <v>2376</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16"/>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
      <c r="A11" s="385"/>
      <c r="B11" s="379" t="s">
        <v>2377</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16"/>
      <c r="Q11" s="1525" t="str">
        <f t="shared" si="6"/>
        <v>容积率</v>
      </c>
      <c r="R11" s="708" t="s">
        <v>17</v>
      </c>
      <c r="S11" s="709" t="e">
        <f t="shared" si="0"/>
        <v>#N/A</v>
      </c>
      <c r="T11" s="708" t="s">
        <v>17</v>
      </c>
      <c r="U11" s="709" t="e">
        <f t="shared" si="1"/>
        <v>#N/A</v>
      </c>
      <c r="V11" s="708" t="s">
        <v>17</v>
      </c>
      <c r="W11" s="709" t="e">
        <f t="shared" si="2"/>
        <v>#N/A</v>
      </c>
      <c r="X11" s="710"/>
      <c r="Y11" s="3210"/>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16"/>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16"/>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16"/>
      <c r="Q14" s="1525">
        <f t="shared" si="6"/>
        <v>111</v>
      </c>
      <c r="R14" s="708" t="s">
        <v>17</v>
      </c>
      <c r="S14" s="709">
        <f t="shared" si="0"/>
        <v>100</v>
      </c>
      <c r="T14" s="708" t="s">
        <v>17</v>
      </c>
      <c r="U14" s="709">
        <f t="shared" si="1"/>
        <v>100</v>
      </c>
      <c r="V14" s="708" t="s">
        <v>17</v>
      </c>
      <c r="W14" s="709">
        <f t="shared" si="2"/>
        <v>100</v>
      </c>
      <c r="X14" s="710"/>
      <c r="Y14" s="3210"/>
      <c r="Z14" s="55">
        <f t="shared" si="7"/>
        <v>111</v>
      </c>
      <c r="AA14" s="711">
        <f t="shared" si="3"/>
        <v>1</v>
      </c>
      <c r="AB14" s="711">
        <f t="shared" si="4"/>
        <v>1</v>
      </c>
      <c r="AC14" s="711">
        <f t="shared" si="5"/>
        <v>1</v>
      </c>
    </row>
    <row r="15" spans="1:29" ht="57">
      <c r="A15" s="397" t="s">
        <v>2378</v>
      </c>
      <c r="B15" s="65" t="s">
        <v>2522</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18" t="s">
        <v>2379</v>
      </c>
      <c r="Q15" s="1534" t="str">
        <f t="shared" si="6"/>
        <v>产业集聚程度</v>
      </c>
      <c r="R15" s="712" t="s">
        <v>17</v>
      </c>
      <c r="S15" s="713">
        <f t="shared" si="0"/>
        <v>100</v>
      </c>
      <c r="T15" s="712" t="s">
        <v>17</v>
      </c>
      <c r="U15" s="713">
        <f t="shared" si="1"/>
        <v>100</v>
      </c>
      <c r="V15" s="712" t="s">
        <v>17</v>
      </c>
      <c r="W15" s="713">
        <f t="shared" si="2"/>
        <v>100</v>
      </c>
      <c r="X15" s="1537"/>
      <c r="Y15" s="3318" t="s">
        <v>2379</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19"/>
      <c r="Q16" s="1534"/>
      <c r="R16" s="712"/>
      <c r="S16" s="713"/>
      <c r="T16" s="712"/>
      <c r="U16" s="713"/>
      <c r="V16" s="712"/>
      <c r="W16" s="713"/>
      <c r="X16" s="1537"/>
      <c r="Y16" s="3319"/>
      <c r="Z16" s="1538"/>
      <c r="AA16" s="1535">
        <v>1</v>
      </c>
      <c r="AB16" s="1535">
        <v>1</v>
      </c>
      <c r="AC16" s="1535">
        <v>1</v>
      </c>
    </row>
    <row r="17" spans="1:29" ht="85.5">
      <c r="A17" s="385"/>
      <c r="B17" s="408" t="s">
        <v>1946</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19"/>
      <c r="Q17" s="1534" t="str">
        <f>B17</f>
        <v>交通便捷度</v>
      </c>
      <c r="R17" s="712" t="s">
        <v>17</v>
      </c>
      <c r="S17" s="713">
        <f>F17</f>
        <v>100</v>
      </c>
      <c r="T17" s="712" t="s">
        <v>17</v>
      </c>
      <c r="U17" s="713">
        <f>H17</f>
        <v>100</v>
      </c>
      <c r="V17" s="712" t="s">
        <v>17</v>
      </c>
      <c r="W17" s="713">
        <f>J17</f>
        <v>100</v>
      </c>
      <c r="X17" s="1537"/>
      <c r="Y17" s="3319"/>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19"/>
      <c r="Q18" s="1534"/>
      <c r="R18" s="712"/>
      <c r="S18" s="713"/>
      <c r="T18" s="712"/>
      <c r="U18" s="713"/>
      <c r="V18" s="712"/>
      <c r="W18" s="713"/>
      <c r="X18" s="1537"/>
      <c r="Y18" s="3319"/>
      <c r="Z18" s="1538"/>
      <c r="AA18" s="1535">
        <v>1</v>
      </c>
      <c r="AB18" s="1535">
        <v>1</v>
      </c>
      <c r="AC18" s="1535">
        <v>1</v>
      </c>
    </row>
    <row r="19" spans="1:29" ht="42.75">
      <c r="A19" s="385"/>
      <c r="B19" s="408" t="s">
        <v>2507</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19"/>
      <c r="Q19" s="1534" t="str">
        <f>B19</f>
        <v>公共配套设施</v>
      </c>
      <c r="R19" s="712" t="s">
        <v>17</v>
      </c>
      <c r="S19" s="713">
        <f>F19</f>
        <v>100</v>
      </c>
      <c r="T19" s="712" t="s">
        <v>17</v>
      </c>
      <c r="U19" s="713">
        <f>H19</f>
        <v>100</v>
      </c>
      <c r="V19" s="712" t="s">
        <v>17</v>
      </c>
      <c r="W19" s="713">
        <f>J19</f>
        <v>100</v>
      </c>
      <c r="X19" s="1537"/>
      <c r="Y19" s="3319"/>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19"/>
      <c r="Q20" s="1534"/>
      <c r="R20" s="712"/>
      <c r="S20" s="713"/>
      <c r="T20" s="712"/>
      <c r="U20" s="713"/>
      <c r="V20" s="712"/>
      <c r="W20" s="713"/>
      <c r="X20" s="1537"/>
      <c r="Y20" s="3319"/>
      <c r="Z20" s="1538"/>
      <c r="AA20" s="1535">
        <v>1</v>
      </c>
      <c r="AB20" s="1535">
        <v>1</v>
      </c>
      <c r="AC20" s="1535">
        <v>1</v>
      </c>
    </row>
    <row r="21" spans="1:29" ht="28.5">
      <c r="A21" s="385"/>
      <c r="B21" s="1291" t="s">
        <v>2508</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19"/>
      <c r="Q21" s="1534" t="str">
        <f>B21</f>
        <v>基础设施水平</v>
      </c>
      <c r="R21" s="712" t="s">
        <v>17</v>
      </c>
      <c r="S21" s="713">
        <f>F21</f>
        <v>100</v>
      </c>
      <c r="T21" s="712" t="s">
        <v>17</v>
      </c>
      <c r="U21" s="713">
        <f>H21</f>
        <v>100</v>
      </c>
      <c r="V21" s="712" t="s">
        <v>17</v>
      </c>
      <c r="W21" s="713">
        <f>J21</f>
        <v>100</v>
      </c>
      <c r="X21" s="1537"/>
      <c r="Y21" s="3319"/>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19"/>
      <c r="Q22" s="1534"/>
      <c r="R22" s="712"/>
      <c r="S22" s="713"/>
      <c r="T22" s="712"/>
      <c r="U22" s="713"/>
      <c r="V22" s="712"/>
      <c r="W22" s="713"/>
      <c r="X22" s="1537"/>
      <c r="Y22" s="3319"/>
      <c r="Z22" s="1538"/>
      <c r="AA22" s="1535">
        <v>1</v>
      </c>
      <c r="AB22" s="1535">
        <v>1</v>
      </c>
      <c r="AC22" s="1535">
        <v>1</v>
      </c>
    </row>
    <row r="23" spans="1:29" ht="71.25">
      <c r="A23" s="385"/>
      <c r="B23" s="408" t="s">
        <v>2509</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19"/>
      <c r="Q23" s="1534" t="str">
        <f>B23</f>
        <v>环境质量</v>
      </c>
      <c r="R23" s="712" t="s">
        <v>17</v>
      </c>
      <c r="S23" s="713">
        <f>F23</f>
        <v>100</v>
      </c>
      <c r="T23" s="712" t="s">
        <v>17</v>
      </c>
      <c r="U23" s="713">
        <f>H23</f>
        <v>100</v>
      </c>
      <c r="V23" s="712" t="s">
        <v>17</v>
      </c>
      <c r="W23" s="713">
        <f>J23</f>
        <v>100</v>
      </c>
      <c r="X23" s="1537"/>
      <c r="Y23" s="3319"/>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19"/>
      <c r="Q24" s="1534"/>
      <c r="R24" s="712"/>
      <c r="S24" s="713"/>
      <c r="T24" s="712"/>
      <c r="U24" s="713"/>
      <c r="V24" s="712"/>
      <c r="W24" s="713"/>
      <c r="X24" s="1537"/>
      <c r="Y24" s="3319"/>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19"/>
      <c r="Q25" s="1534">
        <f>B25</f>
        <v>111</v>
      </c>
      <c r="R25" s="712" t="s">
        <v>17</v>
      </c>
      <c r="S25" s="713">
        <f>F25</f>
        <v>100</v>
      </c>
      <c r="T25" s="712" t="s">
        <v>17</v>
      </c>
      <c r="U25" s="713">
        <f>H25</f>
        <v>100</v>
      </c>
      <c r="V25" s="712" t="s">
        <v>17</v>
      </c>
      <c r="W25" s="713">
        <f>J25</f>
        <v>100</v>
      </c>
      <c r="X25" s="1537"/>
      <c r="Y25" s="3319"/>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19"/>
      <c r="Q26" s="1534">
        <f t="shared" ref="Q26:Q40" si="11">B26</f>
        <v>111</v>
      </c>
      <c r="R26" s="712" t="s">
        <v>17</v>
      </c>
      <c r="S26" s="713">
        <f>F26</f>
        <v>100</v>
      </c>
      <c r="T26" s="712" t="s">
        <v>17</v>
      </c>
      <c r="U26" s="713">
        <f>H26</f>
        <v>100</v>
      </c>
      <c r="V26" s="712" t="s">
        <v>17</v>
      </c>
      <c r="W26" s="713">
        <f>J26</f>
        <v>100</v>
      </c>
      <c r="X26" s="1537"/>
      <c r="Y26" s="3319"/>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19"/>
      <c r="Q27" s="1525">
        <f t="shared" si="11"/>
        <v>111</v>
      </c>
      <c r="R27" s="708" t="s">
        <v>17</v>
      </c>
      <c r="S27" s="709">
        <f>F27</f>
        <v>100</v>
      </c>
      <c r="T27" s="708" t="s">
        <v>17</v>
      </c>
      <c r="U27" s="709">
        <f>H27</f>
        <v>100</v>
      </c>
      <c r="V27" s="708" t="s">
        <v>17</v>
      </c>
      <c r="W27" s="709">
        <f>J27</f>
        <v>100</v>
      </c>
      <c r="X27" s="710"/>
      <c r="Y27" s="3319"/>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19"/>
      <c r="Q28" s="1534">
        <f t="shared" si="11"/>
        <v>111</v>
      </c>
      <c r="R28" s="712" t="s">
        <v>17</v>
      </c>
      <c r="S28" s="713">
        <f t="shared" ref="S28:S40" si="12">F28</f>
        <v>100</v>
      </c>
      <c r="T28" s="712" t="s">
        <v>17</v>
      </c>
      <c r="U28" s="713">
        <f t="shared" ref="U28:U40" si="13">H28</f>
        <v>100</v>
      </c>
      <c r="V28" s="712" t="s">
        <v>17</v>
      </c>
      <c r="W28" s="713">
        <f t="shared" ref="W28:W40" si="14">J28</f>
        <v>100</v>
      </c>
      <c r="X28" s="1537"/>
      <c r="Y28" s="3319"/>
      <c r="Z28" s="1538">
        <f t="shared" ref="Z28:Z40" si="15">Q28</f>
        <v>111</v>
      </c>
      <c r="AA28" s="1535">
        <f t="shared" si="3"/>
        <v>1</v>
      </c>
      <c r="AB28" s="1535">
        <f t="shared" si="4"/>
        <v>1</v>
      </c>
      <c r="AC28" s="1535">
        <f t="shared" si="5"/>
        <v>1</v>
      </c>
    </row>
    <row r="29" spans="1:29" ht="28.5">
      <c r="A29" s="423" t="s">
        <v>2382</v>
      </c>
      <c r="B29" s="67" t="s">
        <v>2512</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20" t="s">
        <v>2384</v>
      </c>
      <c r="Q29" s="1534" t="str">
        <f t="shared" si="11"/>
        <v>建筑类型</v>
      </c>
      <c r="R29" s="712" t="s">
        <v>17</v>
      </c>
      <c r="S29" s="713">
        <f t="shared" si="12"/>
        <v>100</v>
      </c>
      <c r="T29" s="712" t="s">
        <v>17</v>
      </c>
      <c r="U29" s="713">
        <f t="shared" si="13"/>
        <v>100</v>
      </c>
      <c r="V29" s="712" t="s">
        <v>17</v>
      </c>
      <c r="W29" s="713">
        <f t="shared" si="14"/>
        <v>100</v>
      </c>
      <c r="X29" s="1537"/>
      <c r="Y29" s="3321" t="s">
        <v>2384</v>
      </c>
      <c r="Z29" s="1538" t="str">
        <f t="shared" si="15"/>
        <v>建筑类型</v>
      </c>
      <c r="AA29" s="1535">
        <f t="shared" si="3"/>
        <v>1</v>
      </c>
      <c r="AB29" s="1535">
        <f t="shared" si="4"/>
        <v>1</v>
      </c>
      <c r="AC29" s="1535">
        <f t="shared" si="5"/>
        <v>1</v>
      </c>
    </row>
    <row r="30" spans="1:29" s="428" customFormat="1" ht="15">
      <c r="A30" s="425"/>
      <c r="B30" s="379" t="s">
        <v>2385</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21"/>
      <c r="Q30" s="714" t="str">
        <f t="shared" si="11"/>
        <v>项目建筑规模</v>
      </c>
      <c r="R30" s="715" t="s">
        <v>17</v>
      </c>
      <c r="S30" s="716" t="e">
        <f t="shared" si="12"/>
        <v>#N/A</v>
      </c>
      <c r="T30" s="715" t="s">
        <v>17</v>
      </c>
      <c r="U30" s="716" t="e">
        <f t="shared" si="13"/>
        <v>#N/A</v>
      </c>
      <c r="V30" s="715" t="s">
        <v>17</v>
      </c>
      <c r="W30" s="716" t="e">
        <f t="shared" si="14"/>
        <v>#N/A</v>
      </c>
      <c r="X30" s="717"/>
      <c r="Y30" s="3321"/>
      <c r="Z30" s="718" t="str">
        <f t="shared" si="15"/>
        <v>项目建筑规模</v>
      </c>
      <c r="AA30" s="1535" t="e">
        <f t="shared" si="3"/>
        <v>#N/A</v>
      </c>
      <c r="AB30" s="1535" t="e">
        <f t="shared" si="4"/>
        <v>#N/A</v>
      </c>
      <c r="AC30" s="1535" t="e">
        <f t="shared" si="5"/>
        <v>#N/A</v>
      </c>
    </row>
    <row r="31" spans="1:29" ht="15">
      <c r="A31" s="429"/>
      <c r="B31" s="379" t="s">
        <v>2386</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21"/>
      <c r="Q31" s="1534" t="str">
        <f t="shared" si="11"/>
        <v>建筑结构</v>
      </c>
      <c r="R31" s="712" t="s">
        <v>17</v>
      </c>
      <c r="S31" s="713">
        <f t="shared" si="12"/>
        <v>100</v>
      </c>
      <c r="T31" s="712" t="s">
        <v>17</v>
      </c>
      <c r="U31" s="713">
        <f t="shared" si="13"/>
        <v>100</v>
      </c>
      <c r="V31" s="712" t="s">
        <v>17</v>
      </c>
      <c r="W31" s="713">
        <f t="shared" si="14"/>
        <v>100</v>
      </c>
      <c r="X31" s="1537"/>
      <c r="Y31" s="3321"/>
      <c r="Z31" s="1538" t="str">
        <f t="shared" si="15"/>
        <v>建筑结构</v>
      </c>
      <c r="AA31" s="1535">
        <f t="shared" si="3"/>
        <v>1</v>
      </c>
      <c r="AB31" s="1535">
        <f t="shared" si="4"/>
        <v>1</v>
      </c>
      <c r="AC31" s="1535">
        <f t="shared" si="5"/>
        <v>1</v>
      </c>
    </row>
    <row r="32" spans="1:29" ht="15">
      <c r="A32" s="429"/>
      <c r="B32" s="379" t="s">
        <v>2480</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21"/>
      <c r="Q32" s="1534" t="str">
        <f t="shared" si="11"/>
        <v>公共部分装修</v>
      </c>
      <c r="R32" s="712" t="s">
        <v>17</v>
      </c>
      <c r="S32" s="713">
        <f t="shared" si="12"/>
        <v>100</v>
      </c>
      <c r="T32" s="712" t="s">
        <v>17</v>
      </c>
      <c r="U32" s="713">
        <f t="shared" si="13"/>
        <v>100</v>
      </c>
      <c r="V32" s="712" t="s">
        <v>17</v>
      </c>
      <c r="W32" s="713">
        <f t="shared" si="14"/>
        <v>100</v>
      </c>
      <c r="X32" s="1537"/>
      <c r="Y32" s="3321"/>
      <c r="Z32" s="1538" t="str">
        <f t="shared" si="15"/>
        <v>公共部分装修</v>
      </c>
      <c r="AA32" s="1535">
        <f t="shared" si="3"/>
        <v>1</v>
      </c>
      <c r="AB32" s="1535">
        <f t="shared" si="4"/>
        <v>1</v>
      </c>
      <c r="AC32" s="1535">
        <f t="shared" si="5"/>
        <v>1</v>
      </c>
    </row>
    <row r="33" spans="1:29" ht="15">
      <c r="A33" s="429"/>
      <c r="B33" s="379" t="s">
        <v>2481</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21"/>
      <c r="Q33" s="1534" t="str">
        <f t="shared" si="11"/>
        <v>成新度</v>
      </c>
      <c r="R33" s="712" t="s">
        <v>17</v>
      </c>
      <c r="S33" s="713" t="e">
        <f t="shared" si="12"/>
        <v>#N/A</v>
      </c>
      <c r="T33" s="712" t="s">
        <v>17</v>
      </c>
      <c r="U33" s="713" t="e">
        <f t="shared" si="13"/>
        <v>#N/A</v>
      </c>
      <c r="V33" s="712" t="s">
        <v>17</v>
      </c>
      <c r="W33" s="713" t="e">
        <f t="shared" si="14"/>
        <v>#N/A</v>
      </c>
      <c r="X33" s="1537"/>
      <c r="Y33" s="3321"/>
      <c r="Z33" s="1538" t="str">
        <f t="shared" si="15"/>
        <v>成新度</v>
      </c>
      <c r="AA33" s="1535" t="e">
        <f t="shared" si="3"/>
        <v>#N/A</v>
      </c>
      <c r="AB33" s="1535" t="e">
        <f t="shared" si="4"/>
        <v>#N/A</v>
      </c>
      <c r="AC33" s="1535" t="e">
        <f t="shared" si="5"/>
        <v>#N/A</v>
      </c>
    </row>
    <row r="34" spans="1:29" s="112" customFormat="1" ht="15">
      <c r="A34" s="430"/>
      <c r="B34" s="379" t="s">
        <v>2514</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21"/>
      <c r="Q34" s="1525" t="str">
        <f t="shared" si="11"/>
        <v>物业管理</v>
      </c>
      <c r="R34" s="708" t="s">
        <v>17</v>
      </c>
      <c r="S34" s="709">
        <f t="shared" si="12"/>
        <v>100</v>
      </c>
      <c r="T34" s="708" t="s">
        <v>17</v>
      </c>
      <c r="U34" s="709">
        <f t="shared" si="13"/>
        <v>100</v>
      </c>
      <c r="V34" s="708" t="s">
        <v>17</v>
      </c>
      <c r="W34" s="709">
        <f t="shared" si="14"/>
        <v>100</v>
      </c>
      <c r="X34" s="710"/>
      <c r="Y34" s="3321"/>
      <c r="Z34" s="55" t="str">
        <f t="shared" si="15"/>
        <v>物业管理</v>
      </c>
      <c r="AA34" s="711">
        <f t="shared" si="3"/>
        <v>1</v>
      </c>
      <c r="AB34" s="711">
        <f t="shared" si="4"/>
        <v>1</v>
      </c>
      <c r="AC34" s="711">
        <f t="shared" si="5"/>
        <v>1</v>
      </c>
    </row>
    <row r="35" spans="1:29" ht="15">
      <c r="A35" s="429"/>
      <c r="B35" s="379" t="s">
        <v>2482</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21" t="s">
        <v>2384</v>
      </c>
      <c r="Q35" s="1534" t="str">
        <f t="shared" si="11"/>
        <v>市政基础设施</v>
      </c>
      <c r="R35" s="712" t="s">
        <v>17</v>
      </c>
      <c r="S35" s="713">
        <f t="shared" si="12"/>
        <v>100</v>
      </c>
      <c r="T35" s="712" t="s">
        <v>17</v>
      </c>
      <c r="U35" s="713">
        <f t="shared" si="13"/>
        <v>100</v>
      </c>
      <c r="V35" s="712" t="s">
        <v>17</v>
      </c>
      <c r="W35" s="713">
        <f t="shared" si="14"/>
        <v>100</v>
      </c>
      <c r="X35" s="1537"/>
      <c r="Y35" s="3321" t="s">
        <v>2384</v>
      </c>
      <c r="Z35" s="1538" t="str">
        <f t="shared" si="15"/>
        <v>市政基础设施</v>
      </c>
      <c r="AA35" s="1535">
        <f t="shared" si="3"/>
        <v>1</v>
      </c>
      <c r="AB35" s="1535">
        <f t="shared" si="4"/>
        <v>1</v>
      </c>
      <c r="AC35" s="1535">
        <f t="shared" si="5"/>
        <v>1</v>
      </c>
    </row>
    <row r="36" spans="1:29" ht="15">
      <c r="A36" s="429"/>
      <c r="B36" s="379" t="s">
        <v>2487</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21"/>
      <c r="Q36" s="1534" t="str">
        <f t="shared" si="11"/>
        <v>内部装修</v>
      </c>
      <c r="R36" s="712" t="s">
        <v>17</v>
      </c>
      <c r="S36" s="713">
        <f t="shared" si="12"/>
        <v>100</v>
      </c>
      <c r="T36" s="712" t="s">
        <v>17</v>
      </c>
      <c r="U36" s="713">
        <f t="shared" si="13"/>
        <v>100</v>
      </c>
      <c r="V36" s="712" t="s">
        <v>17</v>
      </c>
      <c r="W36" s="713">
        <f t="shared" si="14"/>
        <v>100</v>
      </c>
      <c r="X36" s="1537"/>
      <c r="Y36" s="3321"/>
      <c r="Z36" s="1538" t="str">
        <f t="shared" si="15"/>
        <v>内部装修</v>
      </c>
      <c r="AA36" s="1535">
        <f t="shared" si="3"/>
        <v>1</v>
      </c>
      <c r="AB36" s="1535">
        <f t="shared" si="4"/>
        <v>1</v>
      </c>
      <c r="AC36" s="1535">
        <f t="shared" si="5"/>
        <v>1</v>
      </c>
    </row>
    <row r="37" spans="1:29" ht="15">
      <c r="A37" s="429"/>
      <c r="B37" s="379" t="s">
        <v>2523</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21"/>
      <c r="Q37" s="1534" t="str">
        <f t="shared" si="11"/>
        <v>内部装修状况</v>
      </c>
      <c r="R37" s="712" t="s">
        <v>17</v>
      </c>
      <c r="S37" s="713">
        <f t="shared" si="12"/>
        <v>100</v>
      </c>
      <c r="T37" s="712" t="s">
        <v>17</v>
      </c>
      <c r="U37" s="713">
        <f t="shared" si="13"/>
        <v>100</v>
      </c>
      <c r="V37" s="712" t="s">
        <v>17</v>
      </c>
      <c r="W37" s="713">
        <f t="shared" si="14"/>
        <v>100</v>
      </c>
      <c r="X37" s="1537"/>
      <c r="Y37" s="3321"/>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21"/>
      <c r="Q38" s="714">
        <f t="shared" si="11"/>
        <v>111</v>
      </c>
      <c r="R38" s="715" t="s">
        <v>17</v>
      </c>
      <c r="S38" s="716">
        <f t="shared" si="12"/>
        <v>100</v>
      </c>
      <c r="T38" s="715" t="s">
        <v>17</v>
      </c>
      <c r="U38" s="716">
        <f t="shared" si="13"/>
        <v>100</v>
      </c>
      <c r="V38" s="715" t="s">
        <v>17</v>
      </c>
      <c r="W38" s="716">
        <f t="shared" si="14"/>
        <v>100</v>
      </c>
      <c r="X38" s="717"/>
      <c r="Y38" s="3321"/>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21"/>
      <c r="Q39" s="1534">
        <f t="shared" si="11"/>
        <v>111</v>
      </c>
      <c r="R39" s="712" t="s">
        <v>17</v>
      </c>
      <c r="S39" s="713">
        <f t="shared" si="12"/>
        <v>100</v>
      </c>
      <c r="T39" s="712" t="s">
        <v>17</v>
      </c>
      <c r="U39" s="713">
        <f t="shared" si="13"/>
        <v>100</v>
      </c>
      <c r="V39" s="712" t="s">
        <v>17</v>
      </c>
      <c r="W39" s="713">
        <f t="shared" si="14"/>
        <v>100</v>
      </c>
      <c r="X39" s="1537"/>
      <c r="Y39" s="3321"/>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57"/>
      <c r="Q40" s="1534">
        <f t="shared" si="11"/>
        <v>111</v>
      </c>
      <c r="R40" s="712" t="s">
        <v>17</v>
      </c>
      <c r="S40" s="713">
        <f t="shared" si="12"/>
        <v>100</v>
      </c>
      <c r="T40" s="712" t="s">
        <v>17</v>
      </c>
      <c r="U40" s="713">
        <f t="shared" si="13"/>
        <v>100</v>
      </c>
      <c r="V40" s="712" t="s">
        <v>17</v>
      </c>
      <c r="W40" s="713">
        <f t="shared" si="14"/>
        <v>100</v>
      </c>
      <c r="X40" s="1537"/>
      <c r="Y40" s="3357"/>
      <c r="Z40" s="1538">
        <f t="shared" si="15"/>
        <v>111</v>
      </c>
      <c r="AA40" s="1535">
        <f t="shared" si="3"/>
        <v>1</v>
      </c>
      <c r="AB40" s="1535">
        <f t="shared" si="4"/>
        <v>1</v>
      </c>
      <c r="AC40" s="1535">
        <f t="shared" si="5"/>
        <v>1</v>
      </c>
    </row>
    <row r="41" spans="1:29" ht="15">
      <c r="A41" s="436" t="s">
        <v>2396</v>
      </c>
      <c r="B41" s="437"/>
      <c r="C41" s="1314" t="s">
        <v>1</v>
      </c>
      <c r="D41" s="1315"/>
      <c r="E41" s="1316"/>
      <c r="F41" s="1317"/>
      <c r="G41" s="1318"/>
      <c r="H41" s="1319"/>
      <c r="I41" s="1316"/>
      <c r="J41" s="1319"/>
      <c r="K41" s="721"/>
      <c r="L41" s="1055"/>
      <c r="M41" s="1056"/>
      <c r="N41" s="1043"/>
      <c r="O41" s="1056"/>
      <c r="P41" s="3316" t="str">
        <f>A41</f>
        <v>成交单价（元/平方米）</v>
      </c>
      <c r="Q41" s="3316"/>
      <c r="R41" s="3353">
        <f>E41</f>
        <v>0</v>
      </c>
      <c r="S41" s="3353"/>
      <c r="T41" s="3353">
        <f>G41</f>
        <v>0</v>
      </c>
      <c r="U41" s="3353"/>
      <c r="V41" s="3353">
        <f>I41</f>
        <v>0</v>
      </c>
      <c r="W41" s="3353"/>
      <c r="X41" s="697"/>
      <c r="Y41" s="719"/>
      <c r="Z41" s="697"/>
      <c r="AA41" s="697"/>
      <c r="AB41" s="697"/>
      <c r="AC41" s="697"/>
    </row>
    <row r="42" spans="1:29" ht="15.75" thickBot="1">
      <c r="A42" s="443" t="s">
        <v>2488</v>
      </c>
      <c r="B42" s="444"/>
      <c r="C42" s="1320" t="e">
        <f>R43</f>
        <v>#DIV/0!</v>
      </c>
      <c r="D42" s="2536" t="s">
        <v>2878</v>
      </c>
      <c r="E42" s="1321" t="e">
        <f>R42</f>
        <v>#DIV/0!</v>
      </c>
      <c r="F42" s="2537"/>
      <c r="G42" s="1320" t="e">
        <f>T42</f>
        <v>#DIV/0!</v>
      </c>
      <c r="H42" s="2537"/>
      <c r="I42" s="1321" t="e">
        <f>V42</f>
        <v>#DIV/0!</v>
      </c>
      <c r="J42" s="2537"/>
      <c r="K42" s="2539">
        <f>F42+H42+J42</f>
        <v>0</v>
      </c>
      <c r="L42" s="1055"/>
      <c r="M42" s="1056"/>
      <c r="N42" s="1043"/>
      <c r="O42" s="1056"/>
      <c r="P42" s="3316" t="str">
        <f>A42</f>
        <v>比较价值（元/平方米）</v>
      </c>
      <c r="Q42" s="3316"/>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7"/>
      <c r="Y42" s="697"/>
      <c r="Z42" s="697"/>
      <c r="AA42" s="697"/>
      <c r="AB42" s="697"/>
      <c r="AC42" s="697"/>
    </row>
    <row r="43" spans="1:29" ht="15.75" thickBot="1">
      <c r="A43" s="447" t="s">
        <v>2489</v>
      </c>
      <c r="B43" s="448"/>
      <c r="C43" s="1323" t="e">
        <f>R43</f>
        <v>#DIV/0!</v>
      </c>
      <c r="D43" s="1323"/>
      <c r="E43" s="1323"/>
      <c r="F43" s="1323"/>
      <c r="G43" s="1323"/>
      <c r="H43" s="1323"/>
      <c r="I43" s="1323"/>
      <c r="J43" s="1323"/>
      <c r="K43" s="722"/>
      <c r="L43" s="1055"/>
      <c r="M43" s="1056"/>
      <c r="N43" s="1056"/>
      <c r="O43" s="1056"/>
      <c r="P43" s="3310" t="str">
        <f>A43</f>
        <v>估价对象XX用房的比较价值（楼面单价，元/平方米）</v>
      </c>
      <c r="Q43" s="3311"/>
      <c r="R43" s="3352" t="e">
        <f>IF(F1="售价",ROUND(IF(D42="简单平均",AVERAGE(R42:V42),R42*F42+T42*H42+V42*J42),0),ROUND(IF(D42="简单平均",AVERAGE(R42:V42),R42*F42+T42*H42+V42*J42),1))</f>
        <v>#DIV/0!</v>
      </c>
      <c r="S43" s="3352"/>
      <c r="T43" s="3352"/>
      <c r="U43" s="3352"/>
      <c r="V43" s="3352"/>
      <c r="W43" s="3352"/>
      <c r="X43" s="697"/>
      <c r="Y43" s="697"/>
      <c r="Z43" s="697"/>
      <c r="AA43" s="697"/>
      <c r="AB43" s="697"/>
      <c r="AC43" s="697"/>
    </row>
    <row r="44" spans="1:29">
      <c r="A44" s="2951"/>
      <c r="B44" s="2951"/>
      <c r="C44" s="2951"/>
      <c r="D44" s="2951"/>
      <c r="E44" s="2951"/>
      <c r="F44" s="2951"/>
      <c r="G44" s="2955"/>
      <c r="H44" s="2951"/>
      <c r="I44" s="2951"/>
      <c r="J44" s="2951"/>
      <c r="K44" s="2956"/>
      <c r="L44" s="1018"/>
      <c r="M44" s="1056"/>
      <c r="N44" s="1056"/>
      <c r="O44" s="1056"/>
    </row>
    <row r="45" spans="1:29">
      <c r="A45" s="2951"/>
      <c r="B45" s="2951"/>
      <c r="C45" s="2951"/>
      <c r="D45" s="2951"/>
      <c r="E45" s="2951"/>
      <c r="F45" s="2951"/>
      <c r="G45" s="2951"/>
      <c r="H45" s="2951"/>
      <c r="I45" s="2951"/>
      <c r="J45" s="2951"/>
      <c r="K45" s="2956"/>
      <c r="L45" s="1018"/>
      <c r="M45" s="1056"/>
      <c r="N45" s="1056"/>
      <c r="O45" s="1056"/>
    </row>
    <row r="46" spans="1:29" ht="13.5" customHeight="1">
      <c r="A46" s="2951"/>
      <c r="B46" s="2951"/>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6"/>
      <c r="L46" s="1018"/>
      <c r="M46" s="1056"/>
      <c r="N46" s="1056"/>
      <c r="O46" s="1056"/>
    </row>
    <row r="47" spans="1:29" ht="13.5" customHeight="1">
      <c r="A47" s="2951"/>
      <c r="B47" s="2951"/>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6"/>
      <c r="L47" s="1018"/>
      <c r="M47" s="1056"/>
      <c r="N47" s="1056"/>
      <c r="O47" s="1056"/>
    </row>
    <row r="48" spans="1:29" s="457" customFormat="1" ht="13.5" customHeight="1">
      <c r="A48" s="2954"/>
      <c r="B48" s="2954"/>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9"/>
      <c r="L48" s="1059"/>
      <c r="M48" s="1057"/>
      <c r="N48" s="1057"/>
      <c r="O48" s="1057"/>
    </row>
    <row r="49" spans="1:17" s="457" customFormat="1">
      <c r="A49" s="2954"/>
      <c r="B49" s="2957"/>
      <c r="C49" s="2958"/>
      <c r="D49" s="2954"/>
      <c r="E49" s="2954"/>
      <c r="F49" s="2954"/>
      <c r="G49" s="2954"/>
      <c r="H49" s="2954"/>
      <c r="I49" s="2954"/>
      <c r="J49" s="2954"/>
      <c r="K49" s="2959"/>
      <c r="L49" s="1059"/>
      <c r="M49" s="1057"/>
      <c r="N49" s="1057"/>
      <c r="O49" s="1057"/>
    </row>
    <row r="50" spans="1:17">
      <c r="A50" s="2951"/>
      <c r="B50" s="2957"/>
      <c r="C50" s="2958"/>
      <c r="D50" s="2951"/>
      <c r="E50" s="2951"/>
      <c r="F50" s="2951"/>
      <c r="G50" s="2951"/>
      <c r="H50" s="2951"/>
      <c r="I50" s="2951"/>
      <c r="J50" s="2951"/>
      <c r="K50" s="2956"/>
      <c r="L50" s="1018"/>
      <c r="M50" s="1056"/>
      <c r="N50" s="1056"/>
      <c r="O50" s="1056"/>
    </row>
    <row r="51" spans="1:17" ht="21.75" thickBot="1">
      <c r="A51" s="701" t="s">
        <v>2493</v>
      </c>
      <c r="B51" s="697"/>
      <c r="C51" s="702"/>
      <c r="D51" s="702"/>
      <c r="E51" s="702"/>
      <c r="F51" s="703"/>
      <c r="G51" s="703"/>
      <c r="H51" s="702"/>
      <c r="I51" s="702"/>
      <c r="J51" s="702"/>
      <c r="K51" s="1070"/>
      <c r="L51" s="1071"/>
      <c r="M51" s="1069"/>
      <c r="N51" s="1069"/>
      <c r="O51" s="1069"/>
      <c r="P51" s="458"/>
      <c r="Q51" s="459"/>
    </row>
    <row r="52" spans="1:17" s="463" customFormat="1" ht="15">
      <c r="A52" s="460" t="s">
        <v>2367</v>
      </c>
      <c r="B52" s="461"/>
      <c r="C52" s="1344" t="str">
        <f>YEAR(C7)&amp;"-"&amp;MONTH(C7)</f>
        <v>2021-4</v>
      </c>
      <c r="D52" s="1345">
        <f>EDATE(C52,-1)</f>
        <v>44256</v>
      </c>
      <c r="E52" s="1345">
        <f t="shared" ref="E52:O52" si="16">EDATE(D52,-1)</f>
        <v>44228</v>
      </c>
      <c r="F52" s="1345">
        <f t="shared" si="16"/>
        <v>44197</v>
      </c>
      <c r="G52" s="1345">
        <f t="shared" si="16"/>
        <v>44166</v>
      </c>
      <c r="H52" s="1345">
        <f t="shared" si="16"/>
        <v>44136</v>
      </c>
      <c r="I52" s="1345">
        <f t="shared" si="16"/>
        <v>44105</v>
      </c>
      <c r="J52" s="1345">
        <f t="shared" si="16"/>
        <v>44075</v>
      </c>
      <c r="K52" s="1345">
        <f t="shared" si="16"/>
        <v>44044</v>
      </c>
      <c r="L52" s="1345">
        <f t="shared" si="16"/>
        <v>44013</v>
      </c>
      <c r="M52" s="1345">
        <f t="shared" si="16"/>
        <v>43983</v>
      </c>
      <c r="N52" s="1345">
        <f t="shared" si="16"/>
        <v>43952</v>
      </c>
      <c r="O52" s="1345">
        <f t="shared" si="16"/>
        <v>43922</v>
      </c>
      <c r="P52" s="462"/>
    </row>
    <row r="53" spans="1:17" s="112" customFormat="1" ht="15">
      <c r="A53" s="464"/>
      <c r="B53" s="465"/>
      <c r="C53" s="1343">
        <v>100</v>
      </c>
      <c r="D53" s="467"/>
      <c r="E53" s="467"/>
      <c r="F53" s="467"/>
      <c r="G53" s="467"/>
      <c r="H53" s="467"/>
      <c r="I53" s="467"/>
      <c r="J53" s="467"/>
      <c r="K53" s="467"/>
      <c r="L53" s="467"/>
      <c r="M53" s="468"/>
      <c r="N53" s="467"/>
      <c r="O53" s="469"/>
      <c r="P53" s="459"/>
    </row>
    <row r="54" spans="1:17" s="112" customFormat="1" ht="15.75" thickBot="1">
      <c r="A54" s="470" t="s">
        <v>2404</v>
      </c>
      <c r="B54" s="471"/>
      <c r="C54" s="472"/>
      <c r="D54" s="473"/>
      <c r="E54" s="473"/>
      <c r="F54" s="473"/>
      <c r="G54" s="473"/>
      <c r="H54" s="473"/>
      <c r="I54" s="473"/>
      <c r="J54" s="473"/>
      <c r="K54" s="473"/>
      <c r="L54" s="473"/>
      <c r="M54" s="474"/>
      <c r="N54" s="2996"/>
      <c r="O54" s="2997"/>
      <c r="P54" s="459"/>
      <c r="Q54" s="459"/>
    </row>
    <row r="55" spans="1:17" s="112" customFormat="1" ht="15">
      <c r="A55" s="476" t="s">
        <v>2369</v>
      </c>
      <c r="B55" s="465"/>
      <c r="C55" s="477" t="s">
        <v>2471</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2407</v>
      </c>
      <c r="B57" s="483" t="s">
        <v>2373</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2376</v>
      </c>
      <c r="C59" s="494" t="s">
        <v>2408</v>
      </c>
      <c r="D59" s="494" t="s">
        <v>2409</v>
      </c>
      <c r="E59" s="494" t="s">
        <v>2410</v>
      </c>
      <c r="F59" s="494" t="s">
        <v>2411</v>
      </c>
      <c r="G59" s="494" t="s">
        <v>2412</v>
      </c>
      <c r="H59" s="494" t="s">
        <v>2413</v>
      </c>
      <c r="I59" s="494" t="s">
        <v>2414</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2377</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2378</v>
      </c>
      <c r="B70" s="483" t="s">
        <v>2524</v>
      </c>
      <c r="C70" s="528" t="s">
        <v>2416</v>
      </c>
      <c r="D70" s="528" t="s">
        <v>2417</v>
      </c>
      <c r="E70" s="528" t="s">
        <v>2418</v>
      </c>
      <c r="F70" s="528" t="s">
        <v>2419</v>
      </c>
      <c r="G70" s="528" t="s">
        <v>2420</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2421</v>
      </c>
      <c r="C72" s="533" t="s">
        <v>2416</v>
      </c>
      <c r="D72" s="533" t="s">
        <v>2417</v>
      </c>
      <c r="E72" s="533" t="s">
        <v>2418</v>
      </c>
      <c r="F72" s="533" t="s">
        <v>2419</v>
      </c>
      <c r="G72" s="533" t="s">
        <v>2420</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2422</v>
      </c>
      <c r="C74" s="533" t="s">
        <v>2416</v>
      </c>
      <c r="D74" s="533" t="s">
        <v>2417</v>
      </c>
      <c r="E74" s="533" t="s">
        <v>2418</v>
      </c>
      <c r="F74" s="533" t="s">
        <v>2419</v>
      </c>
      <c r="G74" s="533" t="s">
        <v>2420</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2508</v>
      </c>
      <c r="C76" s="614" t="s">
        <v>2494</v>
      </c>
      <c r="D76" s="614" t="s">
        <v>2495</v>
      </c>
      <c r="E76" s="614" t="s">
        <v>2496</v>
      </c>
      <c r="F76" s="614" t="s">
        <v>2497</v>
      </c>
      <c r="G76" s="614" t="s">
        <v>2498</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2517</v>
      </c>
      <c r="C78" s="533" t="s">
        <v>2416</v>
      </c>
      <c r="D78" s="533" t="s">
        <v>2417</v>
      </c>
      <c r="E78" s="533" t="s">
        <v>2418</v>
      </c>
      <c r="F78" s="533" t="s">
        <v>2419</v>
      </c>
      <c r="G78" s="533" t="s">
        <v>2420</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2" customFormat="1" ht="15.75" thickTop="1">
      <c r="A80" s="534"/>
      <c r="B80" s="493">
        <f>B25</f>
        <v>111</v>
      </c>
      <c r="C80" s="509"/>
      <c r="D80" s="509"/>
      <c r="E80" s="509"/>
      <c r="F80" s="509"/>
      <c r="G80" s="509"/>
      <c r="H80" s="509"/>
      <c r="I80" s="509"/>
      <c r="J80" s="509"/>
      <c r="K80" s="509"/>
      <c r="L80" s="535"/>
      <c r="M80" s="536"/>
      <c r="N80" s="1061"/>
      <c r="O80" s="1061"/>
      <c r="P80" s="45"/>
      <c r="Q80" s="459"/>
    </row>
    <row r="81" spans="1:17" s="112" customFormat="1" ht="15.75" thickBot="1">
      <c r="A81" s="534"/>
      <c r="B81" s="498"/>
      <c r="C81" s="515"/>
      <c r="D81" s="491"/>
      <c r="E81" s="491"/>
      <c r="F81" s="491"/>
      <c r="G81" s="491"/>
      <c r="H81" s="491"/>
      <c r="I81" s="491"/>
      <c r="J81" s="491"/>
      <c r="K81" s="491"/>
      <c r="L81" s="491"/>
      <c r="M81" s="492"/>
      <c r="N81" s="1063"/>
      <c r="O81" s="1063"/>
      <c r="P81" s="45"/>
      <c r="Q81" s="459"/>
    </row>
    <row r="82" spans="1:17" s="112" customFormat="1" ht="15.75" thickTop="1">
      <c r="A82" s="534"/>
      <c r="B82" s="493">
        <f>B26</f>
        <v>111</v>
      </c>
      <c r="C82" s="509"/>
      <c r="D82" s="509"/>
      <c r="E82" s="509"/>
      <c r="F82" s="509"/>
      <c r="G82" s="509"/>
      <c r="H82" s="509"/>
      <c r="I82" s="509"/>
      <c r="J82" s="509"/>
      <c r="K82" s="509"/>
      <c r="L82" s="535"/>
      <c r="M82" s="536"/>
      <c r="N82" s="1061"/>
      <c r="O82" s="1061"/>
      <c r="P82" s="45"/>
      <c r="Q82" s="459"/>
    </row>
    <row r="83" spans="1:17" s="112"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2382</v>
      </c>
      <c r="B88" s="483" t="s">
        <v>2431</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2432</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2433</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2435</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1877</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2436</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2437</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2439</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2525</v>
      </c>
      <c r="C106" s="533" t="s">
        <v>2416</v>
      </c>
      <c r="D106" s="533" t="s">
        <v>2417</v>
      </c>
      <c r="E106" s="533" t="s">
        <v>2418</v>
      </c>
      <c r="F106" s="533" t="s">
        <v>2419</v>
      </c>
      <c r="G106" s="533" t="s">
        <v>2420</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2526</v>
      </c>
      <c r="B1" s="1389"/>
      <c r="C1" s="1390" t="s">
        <v>2349</v>
      </c>
      <c r="D1" s="1391"/>
      <c r="E1" s="1392"/>
      <c r="F1" s="2063"/>
      <c r="G1" s="1393" t="s">
        <v>2462</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2149</v>
      </c>
      <c r="B2" s="1324" t="e">
        <f ca="1">IF(C2="——",IF(B37="元/平方米",ROUND(C39*D3/10000,0),ROUND(F3*C39/10000,0)),IF(B37="元/平方米",ROUND(C39*D3/10000,0),ROUND(F3*C39/10000,0))-D2)</f>
        <v>#DIV/0!</v>
      </c>
      <c r="C2" s="2065"/>
      <c r="D2" s="1036" t="e">
        <f ca="1">SUMIF(INDIRECT("'"&amp;F2&amp;"'"&amp;"!A:A"),"承租人权益价值",INDIRECT("'"&amp;F2&amp;"'"&amp;"!c:c"))</f>
        <v>#REF!</v>
      </c>
      <c r="E2" s="2066" t="s">
        <v>2150</v>
      </c>
      <c r="F2" s="2067"/>
      <c r="G2" s="1037"/>
      <c r="H2" s="1037"/>
      <c r="I2" s="1037"/>
      <c r="J2" s="1037"/>
      <c r="K2" s="1039"/>
      <c r="L2" s="2960"/>
      <c r="M2" s="2961"/>
      <c r="N2" s="2961"/>
      <c r="O2" s="2961"/>
      <c r="P2" s="1325"/>
      <c r="Q2" s="706"/>
      <c r="R2" s="706"/>
      <c r="S2" s="706"/>
      <c r="T2" s="706"/>
      <c r="U2" s="706"/>
      <c r="V2" s="706"/>
      <c r="W2" s="706"/>
      <c r="X2" s="706"/>
      <c r="Y2" s="706"/>
      <c r="Z2" s="706"/>
      <c r="AA2" s="706"/>
      <c r="AB2" s="706"/>
      <c r="AC2" s="707"/>
    </row>
    <row r="3" spans="1:29" s="356" customFormat="1" ht="28.5" customHeight="1" thickBot="1">
      <c r="A3" s="207" t="s">
        <v>2151</v>
      </c>
      <c r="B3" s="564" t="e">
        <f ca="1">IF(AND(C2="——",B37="元/平方米"),C39,ROUND(B2*10000/D3,0))</f>
        <v>#DIV/0!</v>
      </c>
      <c r="C3" s="358" t="s">
        <v>2463</v>
      </c>
      <c r="D3" s="357">
        <f>SUMIF('数据-汇总表'!$C19:$C33,D1,'数据-汇总表'!$E19:$E33)</f>
        <v>0</v>
      </c>
      <c r="E3" s="358" t="s">
        <v>2527</v>
      </c>
      <c r="F3" s="357">
        <f>SUMIF('数据-取费表'!A5:A15,D1,'数据-取费表'!AH5:AH15)</f>
        <v>0</v>
      </c>
      <c r="G3" s="1037"/>
      <c r="H3" s="1037"/>
      <c r="I3" s="1037"/>
      <c r="J3" s="1037"/>
      <c r="K3" s="1039"/>
      <c r="L3" s="2960"/>
      <c r="M3" s="2961"/>
      <c r="N3" s="2961"/>
      <c r="O3" s="2961"/>
      <c r="P3" s="1325"/>
      <c r="Q3" s="706"/>
      <c r="R3" s="706"/>
      <c r="S3" s="706"/>
      <c r="T3" s="706"/>
      <c r="U3" s="706"/>
      <c r="V3" s="706"/>
      <c r="W3" s="706"/>
      <c r="X3" s="706"/>
      <c r="Y3" s="706"/>
      <c r="Z3" s="706"/>
      <c r="AA3" s="706"/>
      <c r="AB3" s="723"/>
      <c r="AC3" s="720"/>
    </row>
    <row r="4" spans="1:29" ht="15">
      <c r="A4" s="359" t="s">
        <v>2464</v>
      </c>
      <c r="B4" s="360"/>
      <c r="C4" s="3313" t="s">
        <v>2465</v>
      </c>
      <c r="D4" s="3326"/>
      <c r="E4" s="3327" t="s">
        <v>2466</v>
      </c>
      <c r="F4" s="3328"/>
      <c r="G4" s="3313" t="s">
        <v>2467</v>
      </c>
      <c r="H4" s="3326"/>
      <c r="I4" s="3313" t="s">
        <v>2468</v>
      </c>
      <c r="J4" s="3326"/>
      <c r="K4" s="565" t="s">
        <v>2469</v>
      </c>
      <c r="L4" s="2941"/>
      <c r="M4" s="2942"/>
      <c r="N4" s="2942"/>
      <c r="O4" s="2942"/>
      <c r="P4" s="3329" t="s">
        <v>2470</v>
      </c>
      <c r="Q4" s="3330"/>
      <c r="R4" s="3335" t="s">
        <v>2466</v>
      </c>
      <c r="S4" s="3336"/>
      <c r="T4" s="3335" t="s">
        <v>2467</v>
      </c>
      <c r="U4" s="3336"/>
      <c r="V4" s="3322" t="s">
        <v>2468</v>
      </c>
      <c r="W4" s="3322"/>
      <c r="X4" s="1537"/>
      <c r="Y4" s="3335" t="s">
        <v>2470</v>
      </c>
      <c r="Z4" s="3336"/>
      <c r="AA4" s="3323" t="s">
        <v>2466</v>
      </c>
      <c r="AB4" s="3324" t="s">
        <v>2467</v>
      </c>
      <c r="AC4" s="3323" t="s">
        <v>2468</v>
      </c>
    </row>
    <row r="5" spans="1:29" ht="15">
      <c r="A5" s="362"/>
      <c r="B5" s="363"/>
      <c r="C5" s="3343" t="s">
        <v>2361</v>
      </c>
      <c r="D5" s="3344"/>
      <c r="E5" s="3350" t="s">
        <v>2362</v>
      </c>
      <c r="F5" s="3351"/>
      <c r="G5" s="3343" t="s">
        <v>2363</v>
      </c>
      <c r="H5" s="3344"/>
      <c r="I5" s="3343" t="s">
        <v>2364</v>
      </c>
      <c r="J5" s="3344"/>
      <c r="K5" s="565"/>
      <c r="L5" s="2941"/>
      <c r="M5" s="2942"/>
      <c r="N5" s="2942"/>
      <c r="O5" s="2942"/>
      <c r="P5" s="3331"/>
      <c r="Q5" s="3332"/>
      <c r="R5" s="3337"/>
      <c r="S5" s="3338"/>
      <c r="T5" s="3337"/>
      <c r="U5" s="3338"/>
      <c r="V5" s="3322"/>
      <c r="W5" s="3322"/>
      <c r="X5" s="1537"/>
      <c r="Y5" s="3337"/>
      <c r="Z5" s="3338"/>
      <c r="AA5" s="3324"/>
      <c r="AB5" s="3324"/>
      <c r="AC5" s="3324"/>
    </row>
    <row r="6" spans="1:29" ht="15.75" thickBot="1">
      <c r="A6" s="364"/>
      <c r="B6" s="365"/>
      <c r="C6" s="3341" t="s">
        <v>2365</v>
      </c>
      <c r="D6" s="3342"/>
      <c r="E6" s="3348" t="s">
        <v>2365</v>
      </c>
      <c r="F6" s="3349"/>
      <c r="G6" s="3341" t="s">
        <v>2365</v>
      </c>
      <c r="H6" s="3342"/>
      <c r="I6" s="3341" t="s">
        <v>2365</v>
      </c>
      <c r="J6" s="3342"/>
      <c r="K6" s="565" t="s">
        <v>2366</v>
      </c>
      <c r="L6" s="2941"/>
      <c r="M6" s="2942"/>
      <c r="N6" s="2942"/>
      <c r="O6" s="2942"/>
      <c r="P6" s="3333"/>
      <c r="Q6" s="3334"/>
      <c r="R6" s="3337"/>
      <c r="S6" s="3338"/>
      <c r="T6" s="3339"/>
      <c r="U6" s="3340"/>
      <c r="V6" s="3322"/>
      <c r="W6" s="3322"/>
      <c r="X6" s="1537"/>
      <c r="Y6" s="3339"/>
      <c r="Z6" s="3340"/>
      <c r="AA6" s="3325"/>
      <c r="AB6" s="3325"/>
      <c r="AC6" s="3325"/>
    </row>
    <row r="7" spans="1:29" s="112" customFormat="1" ht="15.75" thickBot="1">
      <c r="A7" s="366" t="s">
        <v>2367</v>
      </c>
      <c r="B7" s="367"/>
      <c r="C7" s="368">
        <f>'数据-取费表'!B2</f>
        <v>44311</v>
      </c>
      <c r="D7" s="369">
        <v>100</v>
      </c>
      <c r="E7" s="370"/>
      <c r="F7" s="371">
        <f>SUMIF(48:48,YEAR(E7)&amp;"-"&amp;MONTH(E7),49:49)</f>
        <v>0</v>
      </c>
      <c r="G7" s="370"/>
      <c r="H7" s="369">
        <f>SUMIF(48:48,YEAR(G7)&amp;"-"&amp;MONTH(G7),49:49)</f>
        <v>0</v>
      </c>
      <c r="I7" s="370"/>
      <c r="J7" s="369">
        <f>SUMIF(48:48,YEAR(I7)&amp;"-"&amp;MONTH(I7),49:49)</f>
        <v>0</v>
      </c>
      <c r="K7" s="566"/>
      <c r="L7" s="2943"/>
      <c r="M7" s="2944"/>
      <c r="N7" s="2944"/>
      <c r="O7" s="2944"/>
      <c r="P7" s="3345" t="s">
        <v>2368</v>
      </c>
      <c r="Q7" s="3347"/>
      <c r="R7" s="708" t="s">
        <v>17</v>
      </c>
      <c r="S7" s="709">
        <f t="shared" ref="S7:S14" si="0">F7</f>
        <v>0</v>
      </c>
      <c r="T7" s="708" t="s">
        <v>17</v>
      </c>
      <c r="U7" s="709">
        <f t="shared" ref="U7:U14" si="1">H7</f>
        <v>0</v>
      </c>
      <c r="V7" s="708" t="s">
        <v>17</v>
      </c>
      <c r="W7" s="709">
        <f t="shared" ref="W7:W14" si="2">J7</f>
        <v>0</v>
      </c>
      <c r="X7" s="710"/>
      <c r="Y7" s="3345" t="s">
        <v>2368</v>
      </c>
      <c r="Z7" s="3346"/>
      <c r="AA7" s="711" t="e">
        <f>D7/F7</f>
        <v>#DIV/0!</v>
      </c>
      <c r="AB7" s="711" t="e">
        <f>D7/H7</f>
        <v>#DIV/0!</v>
      </c>
      <c r="AC7" s="711" t="e">
        <f>D7/J7</f>
        <v>#DIV/0!</v>
      </c>
    </row>
    <row r="8" spans="1:29" s="112" customFormat="1" ht="15.75" thickBot="1">
      <c r="A8" s="366" t="s">
        <v>2369</v>
      </c>
      <c r="B8" s="367"/>
      <c r="C8" s="372" t="s">
        <v>2471</v>
      </c>
      <c r="D8" s="369">
        <v>100</v>
      </c>
      <c r="E8" s="372"/>
      <c r="F8" s="371">
        <f>SUMIF(51:51,E8,52:52)-SUMIF(51:51,C8,52:52)+100</f>
        <v>0</v>
      </c>
      <c r="G8" s="372"/>
      <c r="H8" s="369">
        <f>SUMIF(51:51,G8,52:52)-SUMIF(51:51,C8,52:52)+100</f>
        <v>0</v>
      </c>
      <c r="I8" s="372"/>
      <c r="J8" s="369">
        <f>SUMIF(51:51,I8,52:52)-SUMIF(51:51,C8,52:52)+100</f>
        <v>0</v>
      </c>
      <c r="K8" s="566"/>
      <c r="L8" s="2943"/>
      <c r="M8" s="2944"/>
      <c r="N8" s="2944"/>
      <c r="O8" s="2944"/>
      <c r="P8" s="3345" t="s">
        <v>2371</v>
      </c>
      <c r="Q8" s="3346"/>
      <c r="R8" s="708" t="s">
        <v>17</v>
      </c>
      <c r="S8" s="709">
        <f t="shared" si="0"/>
        <v>0</v>
      </c>
      <c r="T8" s="708" t="s">
        <v>17</v>
      </c>
      <c r="U8" s="709">
        <f t="shared" si="1"/>
        <v>0</v>
      </c>
      <c r="V8" s="708" t="s">
        <v>17</v>
      </c>
      <c r="W8" s="709">
        <f t="shared" si="2"/>
        <v>0</v>
      </c>
      <c r="X8" s="710"/>
      <c r="Y8" s="3345" t="s">
        <v>2371</v>
      </c>
      <c r="Z8" s="3346"/>
      <c r="AA8" s="711" t="e">
        <f t="shared" ref="AA8:AA36" si="3">D8/F8</f>
        <v>#DIV/0!</v>
      </c>
      <c r="AB8" s="711" t="e">
        <f t="shared" ref="AB8:AB36" si="4">D8/H8</f>
        <v>#DIV/0!</v>
      </c>
      <c r="AC8" s="711" t="e">
        <f t="shared" ref="AC8:AC36" si="5">D8/J8</f>
        <v>#DIV/0!</v>
      </c>
    </row>
    <row r="9" spans="1:29" s="112" customFormat="1">
      <c r="A9" s="64" t="s">
        <v>2372</v>
      </c>
      <c r="B9" s="594" t="s">
        <v>2373</v>
      </c>
      <c r="C9" s="374"/>
      <c r="D9" s="129">
        <v>100</v>
      </c>
      <c r="E9" s="377"/>
      <c r="F9" s="129">
        <f>SUMIF(53:53,E9,54:54)-SUMIF(53:53,C9,54:54)+100</f>
        <v>100</v>
      </c>
      <c r="G9" s="375"/>
      <c r="H9" s="129">
        <f>SUMIF(53:53,G9,54:54)-SUMIF(53:53,C9,54:54)+100</f>
        <v>100</v>
      </c>
      <c r="I9" s="375"/>
      <c r="J9" s="129">
        <f>SUMIF(53:53,I9,54:54)-SUMIF(53:53,C9,54:54)+100</f>
        <v>100</v>
      </c>
      <c r="K9" s="566"/>
      <c r="L9" s="2943"/>
      <c r="M9" s="2944"/>
      <c r="N9" s="2944"/>
      <c r="O9" s="2944"/>
      <c r="P9" s="3316" t="s">
        <v>2374</v>
      </c>
      <c r="Q9" s="1525" t="str">
        <f t="shared" ref="Q9:Q14" si="6">B9</f>
        <v>用途</v>
      </c>
      <c r="R9" s="708" t="s">
        <v>17</v>
      </c>
      <c r="S9" s="709">
        <f t="shared" si="0"/>
        <v>100</v>
      </c>
      <c r="T9" s="708" t="s">
        <v>17</v>
      </c>
      <c r="U9" s="709">
        <f t="shared" si="1"/>
        <v>100</v>
      </c>
      <c r="V9" s="708" t="s">
        <v>17</v>
      </c>
      <c r="W9" s="709">
        <f t="shared" si="2"/>
        <v>100</v>
      </c>
      <c r="X9" s="710"/>
      <c r="Y9" s="3210" t="s">
        <v>2375</v>
      </c>
      <c r="Z9" s="55" t="str">
        <f t="shared" ref="Z9:Z14" si="7">Q9</f>
        <v>用途</v>
      </c>
      <c r="AA9" s="711">
        <f t="shared" si="3"/>
        <v>1</v>
      </c>
      <c r="AB9" s="711">
        <f t="shared" si="4"/>
        <v>1</v>
      </c>
      <c r="AC9" s="711">
        <f t="shared" si="5"/>
        <v>1</v>
      </c>
    </row>
    <row r="10" spans="1:29" s="384" customFormat="1" ht="27">
      <c r="A10" s="595"/>
      <c r="B10" s="596" t="s">
        <v>2376</v>
      </c>
      <c r="C10" s="380"/>
      <c r="D10" s="130">
        <v>100</v>
      </c>
      <c r="E10" s="380"/>
      <c r="F10" s="130">
        <f>SUMIF(55:55,E10,56:56)-SUMIF(55:55,C10,56:56)+100</f>
        <v>100</v>
      </c>
      <c r="G10" s="381"/>
      <c r="H10" s="130">
        <f>SUMIF(55:55,G10,56:56)-SUMIF(55:55,C10,56:56)+100</f>
        <v>100</v>
      </c>
      <c r="I10" s="380"/>
      <c r="J10" s="130">
        <f>SUMIF(55:55,I10,56:56)-SUMIF(55:55,C10,56:56)+100</f>
        <v>100</v>
      </c>
      <c r="K10" s="567"/>
      <c r="L10" s="2945"/>
      <c r="M10" s="2946"/>
      <c r="N10" s="2946"/>
      <c r="O10" s="2946"/>
      <c r="P10" s="3316"/>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7"/>
      <c r="M11" s="2942"/>
      <c r="N11" s="2942"/>
      <c r="O11" s="2942"/>
      <c r="P11" s="3316"/>
      <c r="Q11" s="1525">
        <f t="shared" si="6"/>
        <v>111</v>
      </c>
      <c r="R11" s="708" t="s">
        <v>17</v>
      </c>
      <c r="S11" s="709">
        <f t="shared" si="0"/>
        <v>100</v>
      </c>
      <c r="T11" s="708" t="s">
        <v>17</v>
      </c>
      <c r="U11" s="709">
        <f t="shared" si="1"/>
        <v>100</v>
      </c>
      <c r="V11" s="708" t="s">
        <v>17</v>
      </c>
      <c r="W11" s="709">
        <f t="shared" si="2"/>
        <v>100</v>
      </c>
      <c r="X11" s="710"/>
      <c r="Y11" s="3210"/>
      <c r="Z11" s="55">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3"/>
      <c r="M12" s="2944"/>
      <c r="N12" s="2944"/>
      <c r="O12" s="2944"/>
      <c r="P12" s="3316"/>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8"/>
      <c r="M13" s="2942"/>
      <c r="N13" s="2942"/>
      <c r="O13" s="2942"/>
      <c r="P13" s="3316"/>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711">
        <f t="shared" si="5"/>
        <v>1</v>
      </c>
    </row>
    <row r="14" spans="1:29" ht="85.5">
      <c r="A14" s="359" t="s">
        <v>2378</v>
      </c>
      <c r="B14" s="583" t="s">
        <v>2528</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8"/>
      <c r="M14" s="2942"/>
      <c r="N14" s="2942"/>
      <c r="O14" s="2942"/>
      <c r="P14" s="3318" t="s">
        <v>2379</v>
      </c>
      <c r="Q14" s="1534" t="str">
        <f t="shared" si="6"/>
        <v>交通便捷度</v>
      </c>
      <c r="R14" s="712" t="s">
        <v>17</v>
      </c>
      <c r="S14" s="713">
        <f t="shared" si="0"/>
        <v>100</v>
      </c>
      <c r="T14" s="712" t="s">
        <v>17</v>
      </c>
      <c r="U14" s="713">
        <f t="shared" si="1"/>
        <v>100</v>
      </c>
      <c r="V14" s="712" t="s">
        <v>17</v>
      </c>
      <c r="W14" s="713">
        <f t="shared" si="2"/>
        <v>100</v>
      </c>
      <c r="X14" s="1537"/>
      <c r="Y14" s="3318" t="s">
        <v>2379</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8"/>
      <c r="M15" s="2942"/>
      <c r="N15" s="2942"/>
      <c r="O15" s="2942"/>
      <c r="P15" s="3319"/>
      <c r="Q15" s="1534"/>
      <c r="R15" s="712"/>
      <c r="S15" s="713"/>
      <c r="T15" s="712"/>
      <c r="U15" s="713"/>
      <c r="V15" s="712"/>
      <c r="W15" s="713"/>
      <c r="X15" s="1537"/>
      <c r="Y15" s="3319"/>
      <c r="Z15" s="1538"/>
      <c r="AA15" s="1535">
        <v>1</v>
      </c>
      <c r="AB15" s="1535">
        <v>1</v>
      </c>
      <c r="AC15" s="1535">
        <v>1</v>
      </c>
    </row>
    <row r="16" spans="1:29" ht="42.75">
      <c r="A16" s="362"/>
      <c r="B16" s="585" t="s">
        <v>2507</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8"/>
      <c r="M16" s="2942"/>
      <c r="N16" s="2942"/>
      <c r="O16" s="2942"/>
      <c r="P16" s="3319"/>
      <c r="Q16" s="1534" t="str">
        <f>B16</f>
        <v>公共配套设施</v>
      </c>
      <c r="R16" s="712" t="s">
        <v>17</v>
      </c>
      <c r="S16" s="713">
        <f>F16</f>
        <v>100</v>
      </c>
      <c r="T16" s="712" t="s">
        <v>17</v>
      </c>
      <c r="U16" s="713">
        <f>H16</f>
        <v>100</v>
      </c>
      <c r="V16" s="712" t="s">
        <v>17</v>
      </c>
      <c r="W16" s="713">
        <f>J16</f>
        <v>100</v>
      </c>
      <c r="X16" s="1537"/>
      <c r="Y16" s="3319"/>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8"/>
      <c r="M17" s="2942"/>
      <c r="N17" s="2942"/>
      <c r="O17" s="2942"/>
      <c r="P17" s="3319"/>
      <c r="Q17" s="1534"/>
      <c r="R17" s="712"/>
      <c r="S17" s="713"/>
      <c r="T17" s="712"/>
      <c r="U17" s="713"/>
      <c r="V17" s="712"/>
      <c r="W17" s="713"/>
      <c r="X17" s="1537"/>
      <c r="Y17" s="3319"/>
      <c r="Z17" s="1538"/>
      <c r="AA17" s="1535">
        <v>1</v>
      </c>
      <c r="AB17" s="1535">
        <v>1</v>
      </c>
      <c r="AC17" s="1535">
        <v>1</v>
      </c>
    </row>
    <row r="18" spans="1:29" ht="28.5">
      <c r="A18" s="362"/>
      <c r="B18" s="587" t="s">
        <v>2508</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8"/>
      <c r="M18" s="2942"/>
      <c r="N18" s="2942"/>
      <c r="O18" s="2942"/>
      <c r="P18" s="3319"/>
      <c r="Q18" s="1534" t="str">
        <f>B18</f>
        <v>基础设施水平</v>
      </c>
      <c r="R18" s="712" t="s">
        <v>17</v>
      </c>
      <c r="S18" s="713">
        <f>F18</f>
        <v>100</v>
      </c>
      <c r="T18" s="712" t="s">
        <v>17</v>
      </c>
      <c r="U18" s="713">
        <f>H18</f>
        <v>100</v>
      </c>
      <c r="V18" s="712" t="s">
        <v>17</v>
      </c>
      <c r="W18" s="713">
        <f>J18</f>
        <v>100</v>
      </c>
      <c r="X18" s="1537"/>
      <c r="Y18" s="3319"/>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8"/>
      <c r="M19" s="2942"/>
      <c r="N19" s="2942"/>
      <c r="O19" s="2942"/>
      <c r="P19" s="3319"/>
      <c r="Q19" s="1534"/>
      <c r="R19" s="712"/>
      <c r="S19" s="713"/>
      <c r="T19" s="712"/>
      <c r="U19" s="713"/>
      <c r="V19" s="712"/>
      <c r="W19" s="713"/>
      <c r="X19" s="1537"/>
      <c r="Y19" s="3319"/>
      <c r="Z19" s="1538"/>
      <c r="AA19" s="1535">
        <v>1</v>
      </c>
      <c r="AB19" s="1535">
        <v>1</v>
      </c>
      <c r="AC19" s="1535">
        <v>1</v>
      </c>
    </row>
    <row r="20" spans="1:29" ht="57">
      <c r="A20" s="362"/>
      <c r="B20" s="585" t="s">
        <v>2529</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8"/>
      <c r="M20" s="2942"/>
      <c r="N20" s="2942"/>
      <c r="O20" s="2942"/>
      <c r="P20" s="3319"/>
      <c r="Q20" s="1534" t="str">
        <f>B20</f>
        <v>自然及人文环境</v>
      </c>
      <c r="R20" s="712" t="s">
        <v>17</v>
      </c>
      <c r="S20" s="713">
        <f>F20</f>
        <v>100</v>
      </c>
      <c r="T20" s="712" t="s">
        <v>17</v>
      </c>
      <c r="U20" s="713">
        <f>H20</f>
        <v>100</v>
      </c>
      <c r="V20" s="712" t="s">
        <v>17</v>
      </c>
      <c r="W20" s="713">
        <f>J20</f>
        <v>100</v>
      </c>
      <c r="X20" s="1537"/>
      <c r="Y20" s="3319"/>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8"/>
      <c r="M21" s="2942"/>
      <c r="N21" s="2942"/>
      <c r="O21" s="2942"/>
      <c r="P21" s="3319"/>
      <c r="Q21" s="1534"/>
      <c r="R21" s="712"/>
      <c r="S21" s="713"/>
      <c r="T21" s="712"/>
      <c r="U21" s="713"/>
      <c r="V21" s="712"/>
      <c r="W21" s="713"/>
      <c r="X21" s="1537"/>
      <c r="Y21" s="3319"/>
      <c r="Z21" s="1538"/>
      <c r="AA21" s="1535">
        <v>1</v>
      </c>
      <c r="AB21" s="1535">
        <v>1</v>
      </c>
      <c r="AC21" s="1535">
        <v>1</v>
      </c>
    </row>
    <row r="22" spans="1:29" ht="15">
      <c r="A22" s="362"/>
      <c r="B22" s="585" t="s">
        <v>2530</v>
      </c>
      <c r="C22" s="571"/>
      <c r="D22" s="407">
        <v>100</v>
      </c>
      <c r="E22" s="571"/>
      <c r="F22" s="418">
        <f>SUMIF(71:71,E22,72:72)-SUMIF(71:71,C22,72:72)+100</f>
        <v>100</v>
      </c>
      <c r="G22" s="571"/>
      <c r="H22" s="392">
        <f>SUMIF(71:71,G22,72:72)-SUMIF(71:71,C22,72:72)+100</f>
        <v>100</v>
      </c>
      <c r="I22" s="571"/>
      <c r="J22" s="392">
        <f>SUMIF(71:71,I22,72:72)-SUMIF(71:71,C22,72:72)+100</f>
        <v>100</v>
      </c>
      <c r="K22" s="567"/>
      <c r="L22" s="2948"/>
      <c r="M22" s="2942"/>
      <c r="N22" s="2942"/>
      <c r="O22" s="2942"/>
      <c r="P22" s="3319"/>
      <c r="Q22" s="1534" t="str">
        <f>B22</f>
        <v>楼层</v>
      </c>
      <c r="R22" s="712" t="s">
        <v>17</v>
      </c>
      <c r="S22" s="713">
        <f>F22</f>
        <v>100</v>
      </c>
      <c r="T22" s="712" t="s">
        <v>17</v>
      </c>
      <c r="U22" s="713">
        <f>H22</f>
        <v>100</v>
      </c>
      <c r="V22" s="712" t="s">
        <v>17</v>
      </c>
      <c r="W22" s="713">
        <f>J22</f>
        <v>100</v>
      </c>
      <c r="X22" s="1537"/>
      <c r="Y22" s="3319"/>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8"/>
      <c r="M23" s="2942"/>
      <c r="N23" s="2942"/>
      <c r="O23" s="2942"/>
      <c r="P23" s="3319"/>
      <c r="Q23" s="1534">
        <f>B23</f>
        <v>111</v>
      </c>
      <c r="R23" s="712" t="s">
        <v>17</v>
      </c>
      <c r="S23" s="713">
        <f>F23</f>
        <v>100</v>
      </c>
      <c r="T23" s="712" t="s">
        <v>17</v>
      </c>
      <c r="U23" s="713">
        <f>H23</f>
        <v>100</v>
      </c>
      <c r="V23" s="712" t="s">
        <v>17</v>
      </c>
      <c r="W23" s="713">
        <f>J23</f>
        <v>100</v>
      </c>
      <c r="X23" s="1537"/>
      <c r="Y23" s="3319"/>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8"/>
      <c r="M24" s="2942"/>
      <c r="N24" s="2942"/>
      <c r="O24" s="2942"/>
      <c r="P24" s="3319"/>
      <c r="Q24" s="1534">
        <f t="shared" ref="Q24:Q36" si="11">B24</f>
        <v>111</v>
      </c>
      <c r="R24" s="712" t="s">
        <v>17</v>
      </c>
      <c r="S24" s="713">
        <f>F24</f>
        <v>100</v>
      </c>
      <c r="T24" s="712" t="s">
        <v>17</v>
      </c>
      <c r="U24" s="713">
        <f>H24</f>
        <v>100</v>
      </c>
      <c r="V24" s="712" t="s">
        <v>17</v>
      </c>
      <c r="W24" s="713">
        <f>J24</f>
        <v>100</v>
      </c>
      <c r="X24" s="1537"/>
      <c r="Y24" s="3319"/>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3"/>
      <c r="M25" s="2944"/>
      <c r="N25" s="2944"/>
      <c r="O25" s="2944"/>
      <c r="P25" s="3319"/>
      <c r="Q25" s="1525">
        <f t="shared" si="11"/>
        <v>111</v>
      </c>
      <c r="R25" s="708" t="s">
        <v>17</v>
      </c>
      <c r="S25" s="709">
        <f>F25</f>
        <v>100</v>
      </c>
      <c r="T25" s="708" t="s">
        <v>17</v>
      </c>
      <c r="U25" s="709">
        <f>H25</f>
        <v>100</v>
      </c>
      <c r="V25" s="708" t="s">
        <v>17</v>
      </c>
      <c r="W25" s="709">
        <f>J25</f>
        <v>100</v>
      </c>
      <c r="X25" s="710"/>
      <c r="Y25" s="3319"/>
      <c r="Z25" s="55">
        <f>Q25</f>
        <v>111</v>
      </c>
      <c r="AA25" s="1535">
        <f>D25/F25</f>
        <v>1</v>
      </c>
      <c r="AB25" s="1535">
        <f>D25/H25</f>
        <v>1</v>
      </c>
      <c r="AC25" s="1535">
        <f>D25/J25</f>
        <v>1</v>
      </c>
    </row>
    <row r="26" spans="1:29" ht="28.5">
      <c r="A26" s="606" t="s">
        <v>2382</v>
      </c>
      <c r="B26" s="66" t="s">
        <v>2531</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8"/>
      <c r="M26" s="2942"/>
      <c r="N26" s="2942"/>
      <c r="O26" s="2942"/>
      <c r="P26" s="3320" t="s">
        <v>2384</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21" t="s">
        <v>2384</v>
      </c>
      <c r="Z26" s="1538" t="str">
        <f t="shared" ref="Z26:Z36" si="15">Q26</f>
        <v>配套类型</v>
      </c>
      <c r="AA26" s="1535">
        <f t="shared" si="3"/>
        <v>1</v>
      </c>
      <c r="AB26" s="1535">
        <f t="shared" si="4"/>
        <v>1</v>
      </c>
      <c r="AC26" s="1535">
        <f t="shared" si="5"/>
        <v>1</v>
      </c>
    </row>
    <row r="27" spans="1:29" s="428" customFormat="1" ht="15">
      <c r="A27" s="607"/>
      <c r="B27" s="608" t="s">
        <v>2532</v>
      </c>
      <c r="C27" s="609"/>
      <c r="D27" s="130">
        <v>100</v>
      </c>
      <c r="E27" s="609"/>
      <c r="F27" s="418">
        <f>SUMIF(81:81,E27,82:82)-SUMIF(81:81,C27,82:82)+100</f>
        <v>100</v>
      </c>
      <c r="G27" s="609"/>
      <c r="H27" s="392">
        <f>SUMIF(81:81,G27,82:82)-SUMIF(81:81,C27,82:82)+100</f>
        <v>100</v>
      </c>
      <c r="I27" s="609"/>
      <c r="J27" s="392">
        <f>SUMIF(81:81,I27,82:82)-SUMIF(81:81,C27,82:82)+100</f>
        <v>100</v>
      </c>
      <c r="K27" s="568"/>
      <c r="L27" s="2947"/>
      <c r="M27" s="2949"/>
      <c r="N27" s="2949"/>
      <c r="O27" s="2949"/>
      <c r="P27" s="3321"/>
      <c r="Q27" s="714" t="str">
        <f t="shared" si="11"/>
        <v>项目停车位配比</v>
      </c>
      <c r="R27" s="715" t="s">
        <v>17</v>
      </c>
      <c r="S27" s="716">
        <f t="shared" si="12"/>
        <v>100</v>
      </c>
      <c r="T27" s="715" t="s">
        <v>17</v>
      </c>
      <c r="U27" s="716">
        <f t="shared" si="13"/>
        <v>100</v>
      </c>
      <c r="V27" s="715" t="s">
        <v>17</v>
      </c>
      <c r="W27" s="716">
        <f t="shared" si="14"/>
        <v>100</v>
      </c>
      <c r="X27" s="717"/>
      <c r="Y27" s="3321"/>
      <c r="Z27" s="718" t="str">
        <f t="shared" si="15"/>
        <v>项目停车位配比</v>
      </c>
      <c r="AA27" s="1535">
        <f t="shared" si="3"/>
        <v>1</v>
      </c>
      <c r="AB27" s="1535">
        <f t="shared" si="4"/>
        <v>1</v>
      </c>
      <c r="AC27" s="1535">
        <f t="shared" si="5"/>
        <v>1</v>
      </c>
    </row>
    <row r="28" spans="1:29" ht="15">
      <c r="A28" s="610"/>
      <c r="B28" s="608" t="s">
        <v>2533</v>
      </c>
      <c r="C28" s="417"/>
      <c r="D28" s="392">
        <v>100</v>
      </c>
      <c r="E28" s="417"/>
      <c r="F28" s="418">
        <f>SUMIF(83:83,E28,84:84)-SUMIF(83:83,C28,84:84)+100</f>
        <v>100</v>
      </c>
      <c r="G28" s="417"/>
      <c r="H28" s="392">
        <f>SUMIF(83:83,G28,84:84)-SUMIF(83:83,C28,84:84)+100</f>
        <v>100</v>
      </c>
      <c r="I28" s="417"/>
      <c r="J28" s="392">
        <f>SUMIF(83:83,I28,84:84)-SUMIF(83:83,C28,84:84)+100</f>
        <v>100</v>
      </c>
      <c r="K28" s="567"/>
      <c r="L28" s="2948"/>
      <c r="M28" s="2942"/>
      <c r="N28" s="2942"/>
      <c r="O28" s="2942"/>
      <c r="P28" s="3321"/>
      <c r="Q28" s="1534" t="str">
        <f t="shared" si="11"/>
        <v>公共部分装修</v>
      </c>
      <c r="R28" s="712" t="s">
        <v>17</v>
      </c>
      <c r="S28" s="713">
        <f t="shared" si="12"/>
        <v>100</v>
      </c>
      <c r="T28" s="712" t="s">
        <v>17</v>
      </c>
      <c r="U28" s="713">
        <f t="shared" si="13"/>
        <v>100</v>
      </c>
      <c r="V28" s="712" t="s">
        <v>17</v>
      </c>
      <c r="W28" s="713">
        <f t="shared" si="14"/>
        <v>100</v>
      </c>
      <c r="X28" s="1537"/>
      <c r="Y28" s="3321"/>
      <c r="Z28" s="1538" t="str">
        <f t="shared" si="15"/>
        <v>公共部分装修</v>
      </c>
      <c r="AA28" s="1535">
        <f t="shared" si="3"/>
        <v>1</v>
      </c>
      <c r="AB28" s="1535">
        <f t="shared" si="4"/>
        <v>1</v>
      </c>
      <c r="AC28" s="1535">
        <f t="shared" si="5"/>
        <v>1</v>
      </c>
    </row>
    <row r="29" spans="1:29" ht="15">
      <c r="A29" s="610"/>
      <c r="B29" s="608" t="s">
        <v>2534</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8"/>
      <c r="M29" s="2942"/>
      <c r="N29" s="2942"/>
      <c r="O29" s="2942"/>
      <c r="P29" s="3321"/>
      <c r="Q29" s="1534" t="str">
        <f t="shared" si="11"/>
        <v>成新率</v>
      </c>
      <c r="R29" s="712" t="s">
        <v>17</v>
      </c>
      <c r="S29" s="713" t="e">
        <f t="shared" si="12"/>
        <v>#N/A</v>
      </c>
      <c r="T29" s="712" t="s">
        <v>17</v>
      </c>
      <c r="U29" s="713" t="e">
        <f t="shared" si="13"/>
        <v>#N/A</v>
      </c>
      <c r="V29" s="712" t="s">
        <v>17</v>
      </c>
      <c r="W29" s="713" t="e">
        <f t="shared" si="14"/>
        <v>#N/A</v>
      </c>
      <c r="X29" s="1537"/>
      <c r="Y29" s="3321"/>
      <c r="Z29" s="1538" t="str">
        <f t="shared" si="15"/>
        <v>成新率</v>
      </c>
      <c r="AA29" s="1535" t="e">
        <f t="shared" si="3"/>
        <v>#N/A</v>
      </c>
      <c r="AB29" s="1535" t="e">
        <f t="shared" si="4"/>
        <v>#N/A</v>
      </c>
      <c r="AC29" s="1535" t="e">
        <f t="shared" si="5"/>
        <v>#N/A</v>
      </c>
    </row>
    <row r="30" spans="1:29" ht="15">
      <c r="A30" s="610"/>
      <c r="B30" s="608" t="s">
        <v>2535</v>
      </c>
      <c r="C30" s="611"/>
      <c r="D30" s="392">
        <v>100</v>
      </c>
      <c r="E30" s="611"/>
      <c r="F30" s="418">
        <f>SUMIF(88:88,E30,89:89)-SUMIF(88:88,C30,89:89)+100</f>
        <v>100</v>
      </c>
      <c r="G30" s="611"/>
      <c r="H30" s="392">
        <f>SUMIF(88:88,E30,89:89)-SUMIF(88:88,C30,89:89)+100</f>
        <v>100</v>
      </c>
      <c r="I30" s="611"/>
      <c r="J30" s="392">
        <f>SUMIF(88:88,E30,89:89)-SUMIF(88:88,C30,89:89)+100</f>
        <v>100</v>
      </c>
      <c r="K30" s="567"/>
      <c r="L30" s="2948"/>
      <c r="M30" s="2942"/>
      <c r="N30" s="2942"/>
      <c r="O30" s="2942"/>
      <c r="P30" s="3321"/>
      <c r="Q30" s="1534" t="str">
        <f t="shared" si="11"/>
        <v>物业等级</v>
      </c>
      <c r="R30" s="712" t="s">
        <v>17</v>
      </c>
      <c r="S30" s="713">
        <f t="shared" si="12"/>
        <v>100</v>
      </c>
      <c r="T30" s="712" t="s">
        <v>17</v>
      </c>
      <c r="U30" s="713">
        <f t="shared" si="13"/>
        <v>100</v>
      </c>
      <c r="V30" s="712" t="s">
        <v>17</v>
      </c>
      <c r="W30" s="713">
        <f t="shared" si="14"/>
        <v>100</v>
      </c>
      <c r="X30" s="1537"/>
      <c r="Y30" s="3321"/>
      <c r="Z30" s="1538" t="str">
        <f t="shared" si="15"/>
        <v>物业等级</v>
      </c>
      <c r="AA30" s="1535">
        <f t="shared" si="3"/>
        <v>1</v>
      </c>
      <c r="AB30" s="1535">
        <f t="shared" si="4"/>
        <v>1</v>
      </c>
      <c r="AC30" s="1535">
        <f t="shared" si="5"/>
        <v>1</v>
      </c>
    </row>
    <row r="31" spans="1:29" s="112" customFormat="1" ht="15">
      <c r="A31" s="612"/>
      <c r="B31" s="608" t="s">
        <v>2536</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3"/>
      <c r="M31" s="2944"/>
      <c r="N31" s="2944"/>
      <c r="O31" s="2944"/>
      <c r="P31" s="3321"/>
      <c r="Q31" s="1525" t="str">
        <f t="shared" si="11"/>
        <v>停车位面积</v>
      </c>
      <c r="R31" s="708" t="s">
        <v>17</v>
      </c>
      <c r="S31" s="709" t="e">
        <f t="shared" si="12"/>
        <v>#N/A</v>
      </c>
      <c r="T31" s="708" t="s">
        <v>17</v>
      </c>
      <c r="U31" s="709" t="e">
        <f t="shared" si="13"/>
        <v>#N/A</v>
      </c>
      <c r="V31" s="708" t="s">
        <v>17</v>
      </c>
      <c r="W31" s="709" t="e">
        <f t="shared" si="14"/>
        <v>#N/A</v>
      </c>
      <c r="X31" s="710"/>
      <c r="Y31" s="3321"/>
      <c r="Z31" s="55" t="str">
        <f t="shared" si="15"/>
        <v>停车位面积</v>
      </c>
      <c r="AA31" s="711" t="e">
        <f t="shared" si="3"/>
        <v>#N/A</v>
      </c>
      <c r="AB31" s="711" t="e">
        <f t="shared" si="4"/>
        <v>#N/A</v>
      </c>
      <c r="AC31" s="711" t="e">
        <f t="shared" si="5"/>
        <v>#N/A</v>
      </c>
    </row>
    <row r="32" spans="1:29" ht="15">
      <c r="A32" s="610"/>
      <c r="B32" s="608" t="s">
        <v>2537</v>
      </c>
      <c r="C32" s="417"/>
      <c r="D32" s="392">
        <v>100</v>
      </c>
      <c r="E32" s="417"/>
      <c r="F32" s="418">
        <f>SUMIF(93:93,E32,94:94)-SUMIF(93:93,C32,94:94)+100</f>
        <v>100</v>
      </c>
      <c r="G32" s="417"/>
      <c r="H32" s="392">
        <f>SUMIF(93:93,G32,94:94)-SUMIF(93:93,C32,94:94)+100</f>
        <v>100</v>
      </c>
      <c r="I32" s="417"/>
      <c r="J32" s="392">
        <f>SUMIF(93:93,I32,94:94)-SUMIF(93:93,C32,94:94)+100</f>
        <v>100</v>
      </c>
      <c r="K32" s="567"/>
      <c r="L32" s="2948"/>
      <c r="M32" s="2942"/>
      <c r="N32" s="2942"/>
      <c r="O32" s="2942"/>
      <c r="P32" s="3321" t="s">
        <v>2384</v>
      </c>
      <c r="Q32" s="1534" t="str">
        <f t="shared" si="11"/>
        <v>车位类型</v>
      </c>
      <c r="R32" s="712" t="s">
        <v>17</v>
      </c>
      <c r="S32" s="713">
        <f t="shared" si="12"/>
        <v>100</v>
      </c>
      <c r="T32" s="712" t="s">
        <v>17</v>
      </c>
      <c r="U32" s="713">
        <f t="shared" si="13"/>
        <v>100</v>
      </c>
      <c r="V32" s="712" t="s">
        <v>17</v>
      </c>
      <c r="W32" s="713">
        <f t="shared" si="14"/>
        <v>100</v>
      </c>
      <c r="X32" s="1537"/>
      <c r="Y32" s="3321" t="s">
        <v>2384</v>
      </c>
      <c r="Z32" s="1538" t="str">
        <f t="shared" si="15"/>
        <v>车位类型</v>
      </c>
      <c r="AA32" s="1535">
        <f t="shared" si="3"/>
        <v>1</v>
      </c>
      <c r="AB32" s="1535">
        <f t="shared" si="4"/>
        <v>1</v>
      </c>
      <c r="AC32" s="1535">
        <f t="shared" si="5"/>
        <v>1</v>
      </c>
    </row>
    <row r="33" spans="1:29" ht="15">
      <c r="A33" s="610"/>
      <c r="B33" s="608" t="s">
        <v>2538</v>
      </c>
      <c r="C33" s="417"/>
      <c r="D33" s="392">
        <v>100</v>
      </c>
      <c r="E33" s="417"/>
      <c r="F33" s="418">
        <f>SUMIF(95:95,E33,96:96)-SUMIF(95:95,C33,96:96)+100</f>
        <v>100</v>
      </c>
      <c r="G33" s="417"/>
      <c r="H33" s="392">
        <f>SUMIF(95:95,G33,96:96)-SUMIF(95:95,C33,96:96)+100</f>
        <v>100</v>
      </c>
      <c r="I33" s="417"/>
      <c r="J33" s="392">
        <f>SUMIF(95:95,I33,96:96)-SUMIF(95:95,C33,96:96)+100</f>
        <v>100</v>
      </c>
      <c r="K33" s="567"/>
      <c r="L33" s="2948"/>
      <c r="M33" s="2942"/>
      <c r="N33" s="2942"/>
      <c r="O33" s="2942"/>
      <c r="P33" s="3321"/>
      <c r="Q33" s="1534" t="str">
        <f t="shared" si="11"/>
        <v>是否直接入户</v>
      </c>
      <c r="R33" s="712" t="s">
        <v>17</v>
      </c>
      <c r="S33" s="713">
        <f t="shared" si="12"/>
        <v>100</v>
      </c>
      <c r="T33" s="712" t="s">
        <v>17</v>
      </c>
      <c r="U33" s="713">
        <f t="shared" si="13"/>
        <v>100</v>
      </c>
      <c r="V33" s="712" t="s">
        <v>17</v>
      </c>
      <c r="W33" s="713">
        <f t="shared" si="14"/>
        <v>100</v>
      </c>
      <c r="X33" s="1537"/>
      <c r="Y33" s="3321"/>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8"/>
      <c r="M34" s="2942"/>
      <c r="N34" s="2942"/>
      <c r="O34" s="2942"/>
      <c r="P34" s="3321"/>
      <c r="Q34" s="1534">
        <f t="shared" si="11"/>
        <v>111</v>
      </c>
      <c r="R34" s="712" t="s">
        <v>17</v>
      </c>
      <c r="S34" s="713">
        <f t="shared" si="12"/>
        <v>100</v>
      </c>
      <c r="T34" s="712" t="s">
        <v>17</v>
      </c>
      <c r="U34" s="713">
        <f t="shared" si="13"/>
        <v>100</v>
      </c>
      <c r="V34" s="712" t="s">
        <v>17</v>
      </c>
      <c r="W34" s="713">
        <f t="shared" si="14"/>
        <v>100</v>
      </c>
      <c r="X34" s="1537"/>
      <c r="Y34" s="3321"/>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7"/>
      <c r="M35" s="2949"/>
      <c r="N35" s="2949"/>
      <c r="O35" s="2949"/>
      <c r="P35" s="3321"/>
      <c r="Q35" s="714">
        <f t="shared" si="11"/>
        <v>111</v>
      </c>
      <c r="R35" s="715" t="s">
        <v>17</v>
      </c>
      <c r="S35" s="716">
        <f t="shared" si="12"/>
        <v>100</v>
      </c>
      <c r="T35" s="715" t="s">
        <v>17</v>
      </c>
      <c r="U35" s="716">
        <f t="shared" si="13"/>
        <v>100</v>
      </c>
      <c r="V35" s="715" t="s">
        <v>17</v>
      </c>
      <c r="W35" s="716">
        <f t="shared" si="14"/>
        <v>100</v>
      </c>
      <c r="X35" s="717"/>
      <c r="Y35" s="3321"/>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8"/>
      <c r="M36" s="2942"/>
      <c r="N36" s="2942"/>
      <c r="O36" s="2942"/>
      <c r="P36" s="3321"/>
      <c r="Q36" s="1534">
        <f t="shared" si="11"/>
        <v>111</v>
      </c>
      <c r="R36" s="712" t="s">
        <v>17</v>
      </c>
      <c r="S36" s="713">
        <f t="shared" si="12"/>
        <v>100</v>
      </c>
      <c r="T36" s="712" t="s">
        <v>17</v>
      </c>
      <c r="U36" s="713">
        <f t="shared" si="13"/>
        <v>100</v>
      </c>
      <c r="V36" s="712" t="s">
        <v>17</v>
      </c>
      <c r="W36" s="713">
        <f t="shared" si="14"/>
        <v>100</v>
      </c>
      <c r="X36" s="1537"/>
      <c r="Y36" s="3321"/>
      <c r="Z36" s="1538">
        <f t="shared" si="15"/>
        <v>111</v>
      </c>
      <c r="AA36" s="1535">
        <f t="shared" si="3"/>
        <v>1</v>
      </c>
      <c r="AB36" s="1535">
        <f t="shared" si="4"/>
        <v>1</v>
      </c>
      <c r="AC36" s="1535">
        <f t="shared" si="5"/>
        <v>1</v>
      </c>
    </row>
    <row r="37" spans="1:29" ht="15">
      <c r="A37" s="436" t="s">
        <v>2539</v>
      </c>
      <c r="B37" s="2157" t="s">
        <v>2540</v>
      </c>
      <c r="C37" s="1314" t="s">
        <v>1</v>
      </c>
      <c r="D37" s="1315"/>
      <c r="E37" s="1316"/>
      <c r="F37" s="1317"/>
      <c r="G37" s="1318"/>
      <c r="H37" s="1319"/>
      <c r="I37" s="1316"/>
      <c r="J37" s="1319"/>
      <c r="K37" s="574"/>
      <c r="L37" s="2950"/>
      <c r="M37" s="2951"/>
      <c r="N37" s="2942"/>
      <c r="O37" s="2951"/>
      <c r="P37" s="3316" t="str">
        <f>A37</f>
        <v>成交单价</v>
      </c>
      <c r="Q37" s="3316"/>
      <c r="R37" s="3353">
        <f>E37</f>
        <v>0</v>
      </c>
      <c r="S37" s="3353"/>
      <c r="T37" s="3353">
        <f>G37</f>
        <v>0</v>
      </c>
      <c r="U37" s="3353"/>
      <c r="V37" s="3353">
        <f>I37</f>
        <v>0</v>
      </c>
      <c r="W37" s="3353"/>
      <c r="X37" s="697"/>
      <c r="Y37" s="719"/>
      <c r="Z37" s="697"/>
      <c r="AA37" s="697"/>
      <c r="AB37" s="697"/>
      <c r="AC37" s="697"/>
    </row>
    <row r="38" spans="1:29" ht="15.75" thickBot="1">
      <c r="A38" s="443" t="s">
        <v>2541</v>
      </c>
      <c r="B38" s="444" t="str">
        <f>B37</f>
        <v>元/车位</v>
      </c>
      <c r="C38" s="1320" t="e">
        <f>R39</f>
        <v>#DIV/0!</v>
      </c>
      <c r="D38" s="2536" t="s">
        <v>2878</v>
      </c>
      <c r="E38" s="1321" t="e">
        <f>R38</f>
        <v>#DIV/0!</v>
      </c>
      <c r="F38" s="2537"/>
      <c r="G38" s="1320" t="e">
        <f>T38</f>
        <v>#DIV/0!</v>
      </c>
      <c r="H38" s="2537"/>
      <c r="I38" s="1321" t="e">
        <f>V38</f>
        <v>#DIV/0!</v>
      </c>
      <c r="J38" s="2537"/>
      <c r="K38" s="2539">
        <f>F38+H38+J38</f>
        <v>0</v>
      </c>
      <c r="L38" s="2950"/>
      <c r="M38" s="2951"/>
      <c r="N38" s="2951"/>
      <c r="O38" s="2951"/>
      <c r="P38" s="3316" t="str">
        <f>A38</f>
        <v>比较价值（元/平方米）</v>
      </c>
      <c r="Q38" s="3316"/>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7"/>
      <c r="Y38" s="697"/>
      <c r="Z38" s="697"/>
      <c r="AA38" s="697"/>
      <c r="AB38" s="697"/>
      <c r="AC38" s="697"/>
    </row>
    <row r="39" spans="1:29" ht="15.75" thickBot="1">
      <c r="A39" s="447" t="s">
        <v>2542</v>
      </c>
      <c r="B39" s="448"/>
      <c r="C39" s="1323" t="e">
        <f>R39</f>
        <v>#DIV/0!</v>
      </c>
      <c r="D39" s="1323"/>
      <c r="E39" s="1323"/>
      <c r="F39" s="1323"/>
      <c r="G39" s="1323"/>
      <c r="H39" s="1323"/>
      <c r="I39" s="1323"/>
      <c r="J39" s="1323"/>
      <c r="K39" s="575"/>
      <c r="L39" s="2950"/>
      <c r="M39" s="2951"/>
      <c r="N39" s="2951"/>
      <c r="O39" s="2951"/>
      <c r="P39" s="3310" t="str">
        <f>A39</f>
        <v>估价对象XX用房的比较价值（楼面单价，元/平方米）</v>
      </c>
      <c r="Q39" s="3311"/>
      <c r="R39" s="3405" t="e">
        <f>IF(F1="售价",ROUND(IF(D38="简单平均",AVERAGE(R38:W38),R38*F38+T38*H38+V38*J38),0),ROUND(IF(D38="简单平均",AVERAGE(R38:V38),R38*F38+T38*H38+V38*J38),1))</f>
        <v>#DIV/0!</v>
      </c>
      <c r="S39" s="3405"/>
      <c r="T39" s="3405"/>
      <c r="U39" s="3405"/>
      <c r="V39" s="3405"/>
      <c r="W39" s="3405"/>
      <c r="X39" s="697"/>
      <c r="Y39" s="697"/>
      <c r="Z39" s="697"/>
      <c r="AA39" s="697"/>
      <c r="AB39" s="697"/>
      <c r="AC39" s="697"/>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2" t="s">
        <v>2543</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2" t="s">
        <v>2544</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7" customFormat="1" ht="13.5" customHeight="1">
      <c r="A44" s="2954"/>
      <c r="B44" s="2954"/>
      <c r="C44" s="452" t="s">
        <v>2545</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7"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6" t="s">
        <v>2546</v>
      </c>
      <c r="B47" s="1056"/>
      <c r="C47" s="1069"/>
      <c r="D47" s="1069"/>
      <c r="E47" s="1069"/>
      <c r="F47" s="1327"/>
      <c r="G47" s="1327"/>
      <c r="H47" s="1069"/>
      <c r="I47" s="1069"/>
      <c r="J47" s="1069"/>
      <c r="K47" s="1070"/>
      <c r="L47" s="1071"/>
      <c r="M47" s="1069"/>
      <c r="N47" s="2995"/>
      <c r="O47" s="2995"/>
      <c r="P47" s="2984"/>
      <c r="Q47" s="2965"/>
      <c r="R47" s="2951"/>
      <c r="S47" s="2951"/>
      <c r="T47" s="2951"/>
      <c r="U47" s="2951"/>
      <c r="V47" s="2951"/>
      <c r="W47" s="2951"/>
      <c r="X47" s="2951"/>
      <c r="Y47" s="2951"/>
      <c r="Z47" s="2951"/>
      <c r="AA47" s="2951"/>
      <c r="AB47" s="2951"/>
      <c r="AC47" s="2951"/>
    </row>
    <row r="48" spans="1:29" s="463" customFormat="1" ht="15">
      <c r="A48" s="460" t="s">
        <v>2547</v>
      </c>
      <c r="B48" s="461"/>
      <c r="C48" s="1344" t="str">
        <f>YEAR(C7)&amp;"-"&amp;MONTH(C7)</f>
        <v>2021-4</v>
      </c>
      <c r="D48" s="1345">
        <f>EDATE(C48,-1)</f>
        <v>44256</v>
      </c>
      <c r="E48" s="1345">
        <f t="shared" ref="E48:O48" si="16">EDATE(D48,-1)</f>
        <v>44228</v>
      </c>
      <c r="F48" s="1345">
        <f t="shared" si="16"/>
        <v>44197</v>
      </c>
      <c r="G48" s="1345">
        <f t="shared" si="16"/>
        <v>44166</v>
      </c>
      <c r="H48" s="1345">
        <f t="shared" si="16"/>
        <v>44136</v>
      </c>
      <c r="I48" s="1345">
        <f t="shared" si="16"/>
        <v>44105</v>
      </c>
      <c r="J48" s="1345">
        <f t="shared" si="16"/>
        <v>44075</v>
      </c>
      <c r="K48" s="1345">
        <f t="shared" si="16"/>
        <v>44044</v>
      </c>
      <c r="L48" s="1345">
        <f t="shared" si="16"/>
        <v>44013</v>
      </c>
      <c r="M48" s="1345">
        <f t="shared" si="16"/>
        <v>43983</v>
      </c>
      <c r="N48" s="1345">
        <f t="shared" si="16"/>
        <v>43952</v>
      </c>
      <c r="O48" s="1345">
        <f t="shared" si="16"/>
        <v>43922</v>
      </c>
      <c r="P48" s="2985"/>
      <c r="Q48" s="2967"/>
      <c r="R48" s="2967"/>
      <c r="S48" s="2967"/>
      <c r="T48" s="2967"/>
      <c r="U48" s="2967"/>
      <c r="V48" s="2967"/>
      <c r="W48" s="2967"/>
      <c r="X48" s="2967"/>
      <c r="Y48" s="2967"/>
      <c r="Z48" s="2967"/>
      <c r="AA48" s="2967"/>
      <c r="AB48" s="2967"/>
      <c r="AC48" s="2967"/>
    </row>
    <row r="49" spans="1:29" s="112" customFormat="1" ht="15">
      <c r="A49" s="464"/>
      <c r="B49" s="465"/>
      <c r="C49" s="1337">
        <v>100</v>
      </c>
      <c r="D49" s="467"/>
      <c r="E49" s="467"/>
      <c r="F49" s="467"/>
      <c r="G49" s="467"/>
      <c r="H49" s="467"/>
      <c r="I49" s="467"/>
      <c r="J49" s="467"/>
      <c r="K49" s="467"/>
      <c r="L49" s="467"/>
      <c r="M49" s="468"/>
      <c r="N49" s="467"/>
      <c r="O49" s="468"/>
      <c r="P49" s="2986"/>
      <c r="Q49" s="2885"/>
      <c r="R49" s="2885"/>
      <c r="S49" s="2885"/>
      <c r="T49" s="2885"/>
      <c r="U49" s="2885"/>
      <c r="V49" s="2885"/>
      <c r="W49" s="2885"/>
      <c r="X49" s="2885"/>
      <c r="Y49" s="2885"/>
      <c r="Z49" s="2885"/>
      <c r="AA49" s="2885"/>
      <c r="AB49" s="2885"/>
      <c r="AC49" s="2885"/>
    </row>
    <row r="50" spans="1:29" s="112" customFormat="1" ht="15.75" thickBot="1">
      <c r="A50" s="470" t="s">
        <v>2404</v>
      </c>
      <c r="B50" s="471"/>
      <c r="C50" s="472"/>
      <c r="D50" s="473"/>
      <c r="E50" s="473"/>
      <c r="F50" s="473"/>
      <c r="G50" s="473"/>
      <c r="H50" s="473"/>
      <c r="I50" s="473"/>
      <c r="J50" s="473"/>
      <c r="K50" s="473"/>
      <c r="L50" s="473"/>
      <c r="M50" s="474"/>
      <c r="N50" s="473"/>
      <c r="O50" s="474"/>
      <c r="P50" s="2986"/>
      <c r="Q50" s="2965"/>
      <c r="R50" s="2885"/>
      <c r="S50" s="2885"/>
      <c r="T50" s="2885"/>
      <c r="U50" s="2885"/>
      <c r="V50" s="2885"/>
      <c r="W50" s="2885"/>
      <c r="X50" s="2885"/>
      <c r="Y50" s="2885"/>
      <c r="Z50" s="2885"/>
      <c r="AA50" s="2885"/>
      <c r="AB50" s="2885"/>
      <c r="AC50" s="2885"/>
    </row>
    <row r="51" spans="1:29" s="112" customFormat="1" ht="15">
      <c r="A51" s="476" t="s">
        <v>2369</v>
      </c>
      <c r="B51" s="465"/>
      <c r="C51" s="477" t="s">
        <v>2471</v>
      </c>
      <c r="D51" s="478"/>
      <c r="E51" s="478"/>
      <c r="F51" s="478"/>
      <c r="G51" s="478"/>
      <c r="H51" s="478"/>
      <c r="I51" s="478"/>
      <c r="J51" s="478"/>
      <c r="K51" s="478"/>
      <c r="L51" s="479"/>
      <c r="M51" s="480"/>
      <c r="N51" s="2978"/>
      <c r="O51" s="2978"/>
      <c r="P51" s="2987"/>
      <c r="Q51" s="2965"/>
      <c r="R51" s="2885"/>
      <c r="S51" s="2885"/>
      <c r="T51" s="2885"/>
      <c r="U51" s="2885"/>
      <c r="V51" s="2885"/>
      <c r="W51" s="2885"/>
      <c r="X51" s="2885"/>
      <c r="Y51" s="2885"/>
      <c r="Z51" s="2885"/>
      <c r="AA51" s="2885"/>
      <c r="AB51" s="2885"/>
      <c r="AC51" s="2885"/>
    </row>
    <row r="52" spans="1:29" s="112" customFormat="1" ht="15.75" thickBot="1">
      <c r="A52" s="476"/>
      <c r="B52" s="465"/>
      <c r="C52" s="593">
        <v>100</v>
      </c>
      <c r="D52" s="467"/>
      <c r="E52" s="467"/>
      <c r="F52" s="467"/>
      <c r="G52" s="467"/>
      <c r="H52" s="467"/>
      <c r="I52" s="467"/>
      <c r="J52" s="467"/>
      <c r="K52" s="467"/>
      <c r="L52" s="467"/>
      <c r="M52" s="469"/>
      <c r="N52" s="2978"/>
      <c r="O52" s="2978"/>
      <c r="P52" s="2986"/>
      <c r="Q52" s="2965"/>
      <c r="R52" s="2885"/>
      <c r="S52" s="2885"/>
      <c r="T52" s="2885"/>
      <c r="U52" s="2885"/>
      <c r="V52" s="2885"/>
      <c r="W52" s="2885"/>
      <c r="X52" s="2885"/>
      <c r="Y52" s="2885"/>
      <c r="Z52" s="2885"/>
      <c r="AA52" s="2885"/>
      <c r="AB52" s="2885"/>
      <c r="AC52" s="2885"/>
    </row>
    <row r="53" spans="1:29">
      <c r="A53" s="482" t="s">
        <v>2407</v>
      </c>
      <c r="B53" s="483" t="s">
        <v>2373</v>
      </c>
      <c r="C53" s="484">
        <f>C9</f>
        <v>0</v>
      </c>
      <c r="D53" s="485"/>
      <c r="E53" s="485"/>
      <c r="F53" s="485"/>
      <c r="G53" s="485"/>
      <c r="H53" s="485"/>
      <c r="I53" s="485"/>
      <c r="J53" s="485"/>
      <c r="K53" s="486"/>
      <c r="L53" s="487"/>
      <c r="M53" s="488"/>
      <c r="N53" s="2979"/>
      <c r="O53" s="2979"/>
      <c r="P53" s="2988"/>
      <c r="Q53" s="2965"/>
      <c r="R53" s="2951"/>
      <c r="S53" s="2951"/>
      <c r="T53" s="2951"/>
      <c r="U53" s="2951"/>
      <c r="V53" s="2951"/>
      <c r="W53" s="2951"/>
      <c r="X53" s="2951"/>
      <c r="Y53" s="2951"/>
      <c r="Z53" s="2951"/>
      <c r="AA53" s="2951"/>
      <c r="AB53" s="2951"/>
      <c r="AC53" s="2951"/>
    </row>
    <row r="54" spans="1:29" ht="15.75" thickBot="1">
      <c r="A54" s="489"/>
      <c r="B54" s="490"/>
      <c r="C54" s="491">
        <v>100</v>
      </c>
      <c r="D54" s="491"/>
      <c r="E54" s="491"/>
      <c r="F54" s="491"/>
      <c r="G54" s="491"/>
      <c r="H54" s="491"/>
      <c r="I54" s="491"/>
      <c r="J54" s="491"/>
      <c r="K54" s="491"/>
      <c r="L54" s="491"/>
      <c r="M54" s="492"/>
      <c r="N54" s="2980"/>
      <c r="O54" s="2980"/>
      <c r="P54" s="2988"/>
      <c r="Q54" s="2965"/>
      <c r="R54" s="2951"/>
      <c r="S54" s="2951"/>
      <c r="T54" s="2951"/>
      <c r="U54" s="2951"/>
      <c r="V54" s="2951"/>
      <c r="W54" s="2951"/>
      <c r="X54" s="2951"/>
      <c r="Y54" s="2951"/>
      <c r="Z54" s="2951"/>
      <c r="AA54" s="2951"/>
      <c r="AB54" s="2951"/>
      <c r="AC54" s="2951"/>
    </row>
    <row r="55" spans="1:29" ht="27.75" thickTop="1">
      <c r="A55" s="489"/>
      <c r="B55" s="493" t="s">
        <v>2376</v>
      </c>
      <c r="C55" s="494" t="s">
        <v>2408</v>
      </c>
      <c r="D55" s="494" t="s">
        <v>2409</v>
      </c>
      <c r="E55" s="494" t="s">
        <v>2410</v>
      </c>
      <c r="F55" s="494" t="s">
        <v>2411</v>
      </c>
      <c r="G55" s="494" t="s">
        <v>2412</v>
      </c>
      <c r="H55" s="494" t="s">
        <v>2413</v>
      </c>
      <c r="I55" s="494" t="s">
        <v>2414</v>
      </c>
      <c r="J55" s="494"/>
      <c r="K55" s="495"/>
      <c r="L55" s="496"/>
      <c r="M55" s="497"/>
      <c r="N55" s="2979"/>
      <c r="O55" s="2979"/>
      <c r="P55" s="2988"/>
      <c r="Q55" s="2965"/>
      <c r="R55" s="2951"/>
      <c r="S55" s="2951"/>
      <c r="T55" s="2951"/>
      <c r="U55" s="2951"/>
      <c r="V55" s="2951"/>
      <c r="W55" s="2951"/>
      <c r="X55" s="2951"/>
      <c r="Y55" s="2951"/>
      <c r="Z55" s="2951"/>
      <c r="AA55" s="2951"/>
      <c r="AB55" s="2951"/>
      <c r="AC55" s="2951"/>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0"/>
      <c r="O56" s="2980"/>
      <c r="P56" s="2988"/>
      <c r="Q56" s="2965"/>
      <c r="R56" s="2951"/>
      <c r="S56" s="2951"/>
      <c r="T56" s="2951"/>
      <c r="U56" s="2951"/>
      <c r="V56" s="2951"/>
      <c r="W56" s="2951"/>
      <c r="X56" s="2951"/>
      <c r="Y56" s="2951"/>
      <c r="Z56" s="2951"/>
      <c r="AA56" s="2951"/>
      <c r="AB56" s="2951"/>
      <c r="AC56" s="2951"/>
    </row>
    <row r="57" spans="1:29" ht="15.75" thickTop="1">
      <c r="A57" s="489"/>
      <c r="B57" s="614">
        <f>B11</f>
        <v>111</v>
      </c>
      <c r="C57" s="504"/>
      <c r="D57" s="504"/>
      <c r="E57" s="504"/>
      <c r="F57" s="504"/>
      <c r="G57" s="504"/>
      <c r="H57" s="504"/>
      <c r="I57" s="504"/>
      <c r="J57" s="504"/>
      <c r="K57" s="505"/>
      <c r="L57" s="506"/>
      <c r="M57" s="507"/>
      <c r="N57" s="2979"/>
      <c r="O57" s="2979"/>
      <c r="P57" s="2988"/>
      <c r="Q57" s="2965"/>
      <c r="R57" s="2951"/>
      <c r="S57" s="2951"/>
      <c r="T57" s="2951"/>
      <c r="U57" s="2951"/>
      <c r="V57" s="2951"/>
      <c r="W57" s="2951"/>
      <c r="X57" s="2951"/>
      <c r="Y57" s="2951"/>
      <c r="Z57" s="2951"/>
      <c r="AA57" s="2951"/>
      <c r="AB57" s="2951"/>
      <c r="AC57" s="2951"/>
    </row>
    <row r="58" spans="1:29" ht="15.75" thickBot="1">
      <c r="A58" s="489"/>
      <c r="B58" s="490"/>
      <c r="C58" s="515"/>
      <c r="D58" s="491"/>
      <c r="E58" s="491"/>
      <c r="F58" s="491"/>
      <c r="G58" s="491"/>
      <c r="H58" s="491"/>
      <c r="I58" s="491"/>
      <c r="J58" s="491"/>
      <c r="K58" s="491"/>
      <c r="L58" s="491"/>
      <c r="M58" s="492"/>
      <c r="N58" s="2980"/>
      <c r="O58" s="2980"/>
      <c r="P58" s="2988"/>
      <c r="Q58" s="2965"/>
      <c r="R58" s="2951"/>
      <c r="S58" s="2951"/>
      <c r="T58" s="2951"/>
      <c r="U58" s="2951"/>
      <c r="V58" s="2951"/>
      <c r="W58" s="2951"/>
      <c r="X58" s="2951"/>
      <c r="Y58" s="2951"/>
      <c r="Z58" s="2951"/>
      <c r="AA58" s="2951"/>
      <c r="AB58" s="2951"/>
      <c r="AC58" s="2951"/>
    </row>
    <row r="59" spans="1:29" s="428" customFormat="1" ht="15.75" thickTop="1">
      <c r="A59" s="508"/>
      <c r="B59" s="493">
        <f>B12</f>
        <v>111</v>
      </c>
      <c r="C59" s="504"/>
      <c r="D59" s="504"/>
      <c r="E59" s="504"/>
      <c r="F59" s="504"/>
      <c r="G59" s="509"/>
      <c r="H59" s="510"/>
      <c r="I59" s="510"/>
      <c r="J59" s="510"/>
      <c r="K59" s="510"/>
      <c r="L59" s="511"/>
      <c r="M59" s="512"/>
      <c r="N59" s="2981"/>
      <c r="O59" s="2981"/>
      <c r="P59" s="2989"/>
      <c r="Q59" s="2972"/>
      <c r="R59" s="2973"/>
      <c r="S59" s="2973"/>
      <c r="T59" s="2973"/>
      <c r="U59" s="2973"/>
      <c r="V59" s="2973"/>
      <c r="W59" s="2973"/>
      <c r="X59" s="2973"/>
      <c r="Y59" s="2973"/>
      <c r="Z59" s="2973"/>
      <c r="AA59" s="2973"/>
      <c r="AB59" s="2973"/>
      <c r="AC59" s="2973"/>
    </row>
    <row r="60" spans="1:29" s="428" customFormat="1" ht="15.75" thickBot="1">
      <c r="A60" s="508"/>
      <c r="B60" s="498"/>
      <c r="C60" s="515"/>
      <c r="D60" s="491"/>
      <c r="E60" s="491"/>
      <c r="F60" s="491"/>
      <c r="G60" s="491"/>
      <c r="H60" s="491"/>
      <c r="I60" s="491"/>
      <c r="J60" s="491"/>
      <c r="K60" s="491"/>
      <c r="L60" s="491"/>
      <c r="M60" s="492"/>
      <c r="N60" s="2980"/>
      <c r="O60" s="2980"/>
      <c r="P60" s="2989"/>
      <c r="Q60" s="2972"/>
      <c r="R60" s="2973"/>
      <c r="S60" s="2973"/>
      <c r="T60" s="2973"/>
      <c r="U60" s="2973"/>
      <c r="V60" s="2973"/>
      <c r="W60" s="2973"/>
      <c r="X60" s="2973"/>
      <c r="Y60" s="2973"/>
      <c r="Z60" s="2973"/>
      <c r="AA60" s="2973"/>
      <c r="AB60" s="2973"/>
      <c r="AC60" s="2973"/>
    </row>
    <row r="61" spans="1:29" s="428" customFormat="1" ht="15.75" thickTop="1">
      <c r="A61" s="508"/>
      <c r="B61" s="493">
        <f>B13</f>
        <v>111</v>
      </c>
      <c r="C61" s="509"/>
      <c r="D61" s="509"/>
      <c r="E61" s="509"/>
      <c r="F61" s="509"/>
      <c r="G61" s="509"/>
      <c r="H61" s="510"/>
      <c r="I61" s="510"/>
      <c r="J61" s="510"/>
      <c r="K61" s="510"/>
      <c r="L61" s="511"/>
      <c r="M61" s="512"/>
      <c r="N61" s="2981"/>
      <c r="O61" s="2981"/>
      <c r="P61" s="2990"/>
      <c r="Q61" s="2975"/>
      <c r="R61" s="2973"/>
      <c r="S61" s="2973"/>
      <c r="T61" s="2973"/>
      <c r="U61" s="2973"/>
      <c r="V61" s="2973"/>
      <c r="W61" s="2973"/>
      <c r="X61" s="2973"/>
      <c r="Y61" s="2973"/>
      <c r="Z61" s="2973"/>
      <c r="AA61" s="2973"/>
      <c r="AB61" s="2973"/>
      <c r="AC61" s="2973"/>
    </row>
    <row r="62" spans="1:29" s="428" customFormat="1" ht="15.75" thickBot="1">
      <c r="A62" s="508"/>
      <c r="B62" s="498"/>
      <c r="C62" s="515"/>
      <c r="D62" s="515"/>
      <c r="E62" s="515"/>
      <c r="F62" s="515"/>
      <c r="G62" s="515"/>
      <c r="H62" s="517"/>
      <c r="I62" s="517"/>
      <c r="J62" s="517"/>
      <c r="K62" s="517"/>
      <c r="L62" s="517"/>
      <c r="M62" s="518"/>
      <c r="N62" s="2981"/>
      <c r="O62" s="2981"/>
      <c r="P62" s="2989"/>
      <c r="Q62" s="2972"/>
      <c r="R62" s="2973"/>
      <c r="S62" s="2973"/>
      <c r="T62" s="2973"/>
      <c r="U62" s="2973"/>
      <c r="V62" s="2973"/>
      <c r="W62" s="2973"/>
      <c r="X62" s="2973"/>
      <c r="Y62" s="2973"/>
      <c r="Z62" s="2973"/>
      <c r="AA62" s="2973"/>
      <c r="AB62" s="2973"/>
      <c r="AC62" s="2973"/>
    </row>
    <row r="63" spans="1:29" ht="15" thickTop="1">
      <c r="A63" s="482" t="s">
        <v>2378</v>
      </c>
      <c r="B63" s="483" t="s">
        <v>2421</v>
      </c>
      <c r="C63" s="528" t="s">
        <v>2416</v>
      </c>
      <c r="D63" s="528" t="s">
        <v>2417</v>
      </c>
      <c r="E63" s="528" t="s">
        <v>2418</v>
      </c>
      <c r="F63" s="528" t="s">
        <v>2419</v>
      </c>
      <c r="G63" s="528" t="s">
        <v>2420</v>
      </c>
      <c r="H63" s="484"/>
      <c r="I63" s="484"/>
      <c r="J63" s="484"/>
      <c r="K63" s="529"/>
      <c r="L63" s="530"/>
      <c r="M63" s="531"/>
      <c r="N63" s="2979"/>
      <c r="O63" s="2979"/>
      <c r="P63" s="2992"/>
      <c r="Q63" s="2965"/>
      <c r="R63" s="2951"/>
      <c r="S63" s="2951"/>
      <c r="T63" s="2951"/>
      <c r="U63" s="2951"/>
      <c r="V63" s="2951"/>
      <c r="W63" s="2951"/>
      <c r="X63" s="2951"/>
      <c r="Y63" s="2951"/>
      <c r="Z63" s="2951"/>
      <c r="AA63" s="2951"/>
      <c r="AB63" s="2951"/>
      <c r="AC63" s="2951"/>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0"/>
      <c r="O64" s="2980"/>
      <c r="P64" s="2988"/>
      <c r="Q64" s="2965"/>
      <c r="R64" s="2951"/>
      <c r="S64" s="2951"/>
      <c r="T64" s="2951"/>
      <c r="U64" s="2951"/>
      <c r="V64" s="2951"/>
      <c r="W64" s="2951"/>
      <c r="X64" s="2951"/>
      <c r="Y64" s="2951"/>
      <c r="Z64" s="2951"/>
      <c r="AA64" s="2951"/>
      <c r="AB64" s="2951"/>
      <c r="AC64" s="2951"/>
    </row>
    <row r="65" spans="1:29" ht="15.75" thickTop="1">
      <c r="A65" s="489"/>
      <c r="B65" s="493" t="s">
        <v>2422</v>
      </c>
      <c r="C65" s="533" t="s">
        <v>2416</v>
      </c>
      <c r="D65" s="533" t="s">
        <v>2417</v>
      </c>
      <c r="E65" s="533" t="s">
        <v>2418</v>
      </c>
      <c r="F65" s="533" t="s">
        <v>2419</v>
      </c>
      <c r="G65" s="533" t="s">
        <v>2420</v>
      </c>
      <c r="H65" s="494"/>
      <c r="I65" s="494"/>
      <c r="J65" s="494"/>
      <c r="K65" s="495"/>
      <c r="L65" s="496"/>
      <c r="M65" s="497"/>
      <c r="N65" s="2979"/>
      <c r="O65" s="2979"/>
      <c r="P65" s="2988"/>
      <c r="Q65" s="2965"/>
      <c r="R65" s="2951"/>
      <c r="S65" s="2951"/>
      <c r="T65" s="2951"/>
      <c r="U65" s="2951"/>
      <c r="V65" s="2951"/>
      <c r="W65" s="2951"/>
      <c r="X65" s="2951"/>
      <c r="Y65" s="2951"/>
      <c r="Z65" s="2951"/>
      <c r="AA65" s="2951"/>
      <c r="AB65" s="2951"/>
      <c r="AC65" s="2951"/>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0"/>
      <c r="O66" s="2980"/>
      <c r="P66" s="2988"/>
      <c r="Q66" s="2965"/>
      <c r="R66" s="2951"/>
      <c r="S66" s="2951"/>
      <c r="T66" s="2951"/>
      <c r="U66" s="2951"/>
      <c r="V66" s="2951"/>
      <c r="W66" s="2951"/>
      <c r="X66" s="2951"/>
      <c r="Y66" s="2951"/>
      <c r="Z66" s="2951"/>
      <c r="AA66" s="2951"/>
      <c r="AB66" s="2951"/>
      <c r="AC66" s="2951"/>
    </row>
    <row r="67" spans="1:29" ht="15.75" thickTop="1">
      <c r="A67" s="489"/>
      <c r="B67" s="501" t="s">
        <v>2508</v>
      </c>
      <c r="C67" s="614" t="s">
        <v>2494</v>
      </c>
      <c r="D67" s="614" t="s">
        <v>2495</v>
      </c>
      <c r="E67" s="614" t="s">
        <v>2496</v>
      </c>
      <c r="F67" s="614" t="s">
        <v>2497</v>
      </c>
      <c r="G67" s="614" t="s">
        <v>2498</v>
      </c>
      <c r="H67" s="494"/>
      <c r="I67" s="494"/>
      <c r="J67" s="494"/>
      <c r="K67" s="494"/>
      <c r="L67" s="494"/>
      <c r="M67" s="1289"/>
      <c r="N67" s="2980"/>
      <c r="O67" s="2980"/>
      <c r="P67" s="2988"/>
      <c r="Q67" s="2965"/>
      <c r="R67" s="2951"/>
      <c r="S67" s="2951"/>
      <c r="T67" s="2951"/>
      <c r="U67" s="2951"/>
      <c r="V67" s="2951"/>
      <c r="W67" s="2951"/>
      <c r="X67" s="2951"/>
      <c r="Y67" s="2951"/>
      <c r="Z67" s="2951"/>
      <c r="AA67" s="2951"/>
      <c r="AB67" s="2951"/>
      <c r="AC67" s="2951"/>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0"/>
      <c r="O68" s="2980"/>
      <c r="P68" s="2988"/>
      <c r="Q68" s="2965"/>
      <c r="R68" s="2951"/>
      <c r="S68" s="2951"/>
      <c r="T68" s="2951"/>
      <c r="U68" s="2951"/>
      <c r="V68" s="2951"/>
      <c r="W68" s="2951"/>
      <c r="X68" s="2951"/>
      <c r="Y68" s="2951"/>
      <c r="Z68" s="2951"/>
      <c r="AA68" s="2951"/>
      <c r="AB68" s="2951"/>
      <c r="AC68" s="2951"/>
    </row>
    <row r="69" spans="1:29" ht="15.75" thickTop="1">
      <c r="A69" s="489"/>
      <c r="B69" s="493" t="s">
        <v>2428</v>
      </c>
      <c r="C69" s="533" t="s">
        <v>2416</v>
      </c>
      <c r="D69" s="533" t="s">
        <v>2417</v>
      </c>
      <c r="E69" s="533" t="s">
        <v>2418</v>
      </c>
      <c r="F69" s="533" t="s">
        <v>2419</v>
      </c>
      <c r="G69" s="533" t="s">
        <v>2420</v>
      </c>
      <c r="H69" s="494"/>
      <c r="I69" s="494"/>
      <c r="J69" s="494"/>
      <c r="K69" s="495"/>
      <c r="L69" s="496"/>
      <c r="M69" s="497"/>
      <c r="N69" s="2979"/>
      <c r="O69" s="2979"/>
      <c r="P69" s="2988"/>
      <c r="Q69" s="2965"/>
      <c r="R69" s="2951"/>
      <c r="S69" s="2951"/>
      <c r="T69" s="2951"/>
      <c r="U69" s="2951"/>
      <c r="V69" s="2951"/>
      <c r="W69" s="2951"/>
      <c r="X69" s="2951"/>
      <c r="Y69" s="2951"/>
      <c r="Z69" s="2951"/>
      <c r="AA69" s="2951"/>
      <c r="AB69" s="2951"/>
      <c r="AC69" s="2951"/>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0"/>
      <c r="O70" s="2980"/>
      <c r="P70" s="2988"/>
      <c r="Q70" s="2965"/>
      <c r="R70" s="2951"/>
      <c r="S70" s="2951"/>
      <c r="T70" s="2951"/>
      <c r="U70" s="2951"/>
      <c r="V70" s="2951"/>
      <c r="W70" s="2951"/>
      <c r="X70" s="2951"/>
      <c r="Y70" s="2951"/>
      <c r="Z70" s="2951"/>
      <c r="AA70" s="2951"/>
      <c r="AB70" s="2951"/>
      <c r="AC70" s="2951"/>
    </row>
    <row r="71" spans="1:29" ht="15.75" thickTop="1">
      <c r="A71" s="489"/>
      <c r="B71" s="493" t="s">
        <v>2548</v>
      </c>
      <c r="C71" s="509"/>
      <c r="D71" s="509"/>
      <c r="E71" s="509"/>
      <c r="F71" s="509"/>
      <c r="G71" s="509"/>
      <c r="H71" s="538"/>
      <c r="I71" s="538"/>
      <c r="J71" s="538"/>
      <c r="K71" s="539"/>
      <c r="L71" s="540"/>
      <c r="M71" s="541"/>
      <c r="N71" s="2979"/>
      <c r="O71" s="2979"/>
      <c r="P71" s="2988"/>
      <c r="Q71" s="2965"/>
      <c r="R71" s="2951"/>
      <c r="S71" s="2951"/>
      <c r="T71" s="2951"/>
      <c r="U71" s="2951"/>
      <c r="V71" s="2951"/>
      <c r="W71" s="2951"/>
      <c r="X71" s="2951"/>
      <c r="Y71" s="2951"/>
      <c r="Z71" s="2951"/>
      <c r="AA71" s="2951"/>
      <c r="AB71" s="2951"/>
      <c r="AC71" s="2951"/>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0"/>
      <c r="O72" s="2980"/>
      <c r="P72" s="2988"/>
      <c r="Q72" s="2965"/>
      <c r="R72" s="2951"/>
      <c r="S72" s="2951"/>
      <c r="T72" s="2951"/>
      <c r="U72" s="2951"/>
      <c r="V72" s="2951"/>
      <c r="W72" s="2951"/>
      <c r="X72" s="2951"/>
      <c r="Y72" s="2951"/>
      <c r="Z72" s="2951"/>
      <c r="AA72" s="2951"/>
      <c r="AB72" s="2951"/>
      <c r="AC72" s="2951"/>
    </row>
    <row r="73" spans="1:29" s="112" customFormat="1" ht="15.75" thickTop="1">
      <c r="A73" s="534"/>
      <c r="B73" s="493">
        <f>B23</f>
        <v>111</v>
      </c>
      <c r="C73" s="504"/>
      <c r="D73" s="504"/>
      <c r="E73" s="504"/>
      <c r="F73" s="504"/>
      <c r="G73" s="509"/>
      <c r="H73" s="509"/>
      <c r="I73" s="509"/>
      <c r="J73" s="509"/>
      <c r="K73" s="509"/>
      <c r="L73" s="535"/>
      <c r="M73" s="536"/>
      <c r="N73" s="2978"/>
      <c r="O73" s="2978"/>
      <c r="P73" s="2988"/>
      <c r="Q73" s="2965"/>
      <c r="R73" s="2885"/>
      <c r="S73" s="2885"/>
      <c r="T73" s="2885"/>
      <c r="U73" s="2885"/>
      <c r="V73" s="2885"/>
      <c r="W73" s="2885"/>
      <c r="X73" s="2885"/>
      <c r="Y73" s="2885"/>
      <c r="Z73" s="2885"/>
      <c r="AA73" s="2885"/>
      <c r="AB73" s="2885"/>
      <c r="AC73" s="2885"/>
    </row>
    <row r="74" spans="1:29" s="112" customFormat="1" ht="15.75" thickBot="1">
      <c r="A74" s="534"/>
      <c r="B74" s="498"/>
      <c r="C74" s="515"/>
      <c r="D74" s="491"/>
      <c r="E74" s="491"/>
      <c r="F74" s="491"/>
      <c r="G74" s="491"/>
      <c r="H74" s="491"/>
      <c r="I74" s="491"/>
      <c r="J74" s="491"/>
      <c r="K74" s="491"/>
      <c r="L74" s="491"/>
      <c r="M74" s="492"/>
      <c r="N74" s="2980"/>
      <c r="O74" s="2980"/>
      <c r="P74" s="2988"/>
      <c r="Q74" s="2965"/>
      <c r="R74" s="2885"/>
      <c r="S74" s="2885"/>
      <c r="T74" s="2885"/>
      <c r="U74" s="2885"/>
      <c r="V74" s="2885"/>
      <c r="W74" s="2885"/>
      <c r="X74" s="2885"/>
      <c r="Y74" s="2885"/>
      <c r="Z74" s="2885"/>
      <c r="AA74" s="2885"/>
      <c r="AB74" s="2885"/>
      <c r="AC74" s="2885"/>
    </row>
    <row r="75" spans="1:29" s="112" customFormat="1" ht="15.75" thickTop="1">
      <c r="A75" s="534"/>
      <c r="B75" s="493">
        <f>B24</f>
        <v>111</v>
      </c>
      <c r="C75" s="504"/>
      <c r="D75" s="504"/>
      <c r="E75" s="504"/>
      <c r="F75" s="504"/>
      <c r="G75" s="509"/>
      <c r="H75" s="509"/>
      <c r="I75" s="509"/>
      <c r="J75" s="509"/>
      <c r="K75" s="509"/>
      <c r="L75" s="509"/>
      <c r="M75" s="536"/>
      <c r="N75" s="2978"/>
      <c r="O75" s="2978"/>
      <c r="P75" s="2988"/>
      <c r="Q75" s="2965"/>
      <c r="R75" s="2885"/>
      <c r="S75" s="2885"/>
      <c r="T75" s="2885"/>
      <c r="U75" s="2885"/>
      <c r="V75" s="2885"/>
      <c r="W75" s="2885"/>
      <c r="X75" s="2885"/>
      <c r="Y75" s="2885"/>
      <c r="Z75" s="2885"/>
      <c r="AA75" s="2885"/>
      <c r="AB75" s="2885"/>
      <c r="AC75" s="2885"/>
    </row>
    <row r="76" spans="1:29" s="112" customFormat="1" ht="15.75" thickBot="1">
      <c r="A76" s="534"/>
      <c r="B76" s="498"/>
      <c r="C76" s="515"/>
      <c r="D76" s="491"/>
      <c r="E76" s="491"/>
      <c r="F76" s="491"/>
      <c r="G76" s="491"/>
      <c r="H76" s="491"/>
      <c r="I76" s="491"/>
      <c r="J76" s="491"/>
      <c r="K76" s="491"/>
      <c r="L76" s="491"/>
      <c r="M76" s="492"/>
      <c r="N76" s="2980"/>
      <c r="O76" s="2980"/>
      <c r="P76" s="2988"/>
      <c r="Q76" s="2965"/>
      <c r="R76" s="2885"/>
      <c r="S76" s="2885"/>
      <c r="T76" s="2885"/>
      <c r="U76" s="2885"/>
      <c r="V76" s="2885"/>
      <c r="W76" s="2885"/>
      <c r="X76" s="2885"/>
      <c r="Y76" s="2885"/>
      <c r="Z76" s="2885"/>
      <c r="AA76" s="2885"/>
      <c r="AB76" s="2885"/>
      <c r="AC76" s="2885"/>
    </row>
    <row r="77" spans="1:29" s="428" customFormat="1" ht="15.75" thickTop="1">
      <c r="A77" s="508"/>
      <c r="B77" s="493">
        <f>B25</f>
        <v>111</v>
      </c>
      <c r="C77" s="509"/>
      <c r="D77" s="509"/>
      <c r="E77" s="509"/>
      <c r="F77" s="509"/>
      <c r="G77" s="509"/>
      <c r="H77" s="510"/>
      <c r="I77" s="510"/>
      <c r="J77" s="510"/>
      <c r="K77" s="510"/>
      <c r="L77" s="511"/>
      <c r="M77" s="512"/>
      <c r="N77" s="2981"/>
      <c r="O77" s="2981"/>
      <c r="P77" s="2989"/>
      <c r="Q77" s="2972"/>
      <c r="R77" s="2973"/>
      <c r="S77" s="2973"/>
      <c r="T77" s="2973"/>
      <c r="U77" s="2973"/>
      <c r="V77" s="2973"/>
      <c r="W77" s="2973"/>
      <c r="X77" s="2973"/>
      <c r="Y77" s="2973"/>
      <c r="Z77" s="2973"/>
      <c r="AA77" s="2973"/>
      <c r="AB77" s="2973"/>
      <c r="AC77" s="2973"/>
    </row>
    <row r="78" spans="1:29" s="428" customFormat="1" ht="15.75" thickBot="1">
      <c r="A78" s="508"/>
      <c r="B78" s="498"/>
      <c r="C78" s="515"/>
      <c r="D78" s="515"/>
      <c r="E78" s="515"/>
      <c r="F78" s="515"/>
      <c r="G78" s="491"/>
      <c r="H78" s="491"/>
      <c r="I78" s="491"/>
      <c r="J78" s="491"/>
      <c r="K78" s="491"/>
      <c r="L78" s="491"/>
      <c r="M78" s="492"/>
      <c r="N78" s="2981"/>
      <c r="O78" s="2981"/>
      <c r="P78" s="2989"/>
      <c r="Q78" s="2972"/>
      <c r="R78" s="2973"/>
      <c r="S78" s="2973"/>
      <c r="T78" s="2973"/>
      <c r="U78" s="2973"/>
      <c r="V78" s="2973"/>
      <c r="W78" s="2973"/>
      <c r="X78" s="2973"/>
      <c r="Y78" s="2973"/>
      <c r="Z78" s="2973"/>
      <c r="AA78" s="2973"/>
      <c r="AB78" s="2973"/>
      <c r="AC78" s="2973"/>
    </row>
    <row r="79" spans="1:29" ht="27.75" thickTop="1">
      <c r="A79" s="482" t="s">
        <v>2382</v>
      </c>
      <c r="B79" s="483" t="s">
        <v>2549</v>
      </c>
      <c r="C79" s="484">
        <f>C26</f>
        <v>0</v>
      </c>
      <c r="D79" s="485"/>
      <c r="E79" s="485"/>
      <c r="F79" s="485"/>
      <c r="G79" s="485"/>
      <c r="H79" s="485"/>
      <c r="I79" s="485"/>
      <c r="J79" s="485"/>
      <c r="K79" s="486"/>
      <c r="L79" s="487"/>
      <c r="M79" s="488"/>
      <c r="N79" s="2979"/>
      <c r="O79" s="2979"/>
      <c r="P79" s="2988"/>
      <c r="Q79" s="2965"/>
      <c r="R79" s="2951"/>
      <c r="S79" s="2951"/>
      <c r="T79" s="2951"/>
      <c r="U79" s="2951"/>
      <c r="V79" s="2951"/>
      <c r="W79" s="2951"/>
      <c r="X79" s="2951"/>
      <c r="Y79" s="2951"/>
      <c r="Z79" s="2951"/>
      <c r="AA79" s="2951"/>
      <c r="AB79" s="2951"/>
      <c r="AC79" s="2951"/>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9"/>
      <c r="B81" s="493" t="s">
        <v>2550</v>
      </c>
      <c r="C81" s="615"/>
      <c r="D81" s="615"/>
      <c r="E81" s="615"/>
      <c r="F81" s="615"/>
      <c r="G81" s="615"/>
      <c r="H81" s="615"/>
      <c r="I81" s="615"/>
      <c r="J81" s="615"/>
      <c r="K81" s="616"/>
      <c r="L81" s="617"/>
      <c r="M81" s="618"/>
      <c r="N81" s="2978"/>
      <c r="O81" s="2978"/>
      <c r="P81" s="2988"/>
      <c r="Q81" s="2965"/>
      <c r="R81" s="2951"/>
      <c r="S81" s="2951"/>
      <c r="T81" s="2951"/>
      <c r="U81" s="2951"/>
      <c r="V81" s="2951"/>
      <c r="W81" s="2951"/>
      <c r="X81" s="2951"/>
      <c r="Y81" s="2951"/>
      <c r="Z81" s="2951"/>
      <c r="AA81" s="2951"/>
      <c r="AB81" s="2951"/>
      <c r="AC81" s="2951"/>
    </row>
    <row r="82" spans="1:29" s="428" customFormat="1" ht="15.75" thickBot="1">
      <c r="A82" s="508"/>
      <c r="B82" s="498"/>
      <c r="C82" s="515"/>
      <c r="D82" s="491"/>
      <c r="E82" s="491"/>
      <c r="F82" s="491"/>
      <c r="G82" s="491"/>
      <c r="H82" s="491"/>
      <c r="I82" s="491"/>
      <c r="J82" s="491"/>
      <c r="K82" s="491"/>
      <c r="L82" s="491"/>
      <c r="M82" s="492"/>
      <c r="N82" s="2980"/>
      <c r="O82" s="2980"/>
      <c r="P82" s="2989"/>
      <c r="Q82" s="2972"/>
      <c r="R82" s="2973"/>
      <c r="S82" s="2973"/>
      <c r="T82" s="2973"/>
      <c r="U82" s="2973"/>
      <c r="V82" s="2973"/>
      <c r="W82" s="2973"/>
      <c r="X82" s="2973"/>
      <c r="Y82" s="2973"/>
      <c r="Z82" s="2973"/>
      <c r="AA82" s="2973"/>
      <c r="AB82" s="2973"/>
      <c r="AC82" s="2973"/>
    </row>
    <row r="83" spans="1:29" ht="15" thickTop="1">
      <c r="A83" s="554"/>
      <c r="B83" s="493" t="s">
        <v>2435</v>
      </c>
      <c r="C83" s="509"/>
      <c r="D83" s="509"/>
      <c r="E83" s="538"/>
      <c r="F83" s="538"/>
      <c r="G83" s="538"/>
      <c r="H83" s="538"/>
      <c r="I83" s="538"/>
      <c r="J83" s="538"/>
      <c r="K83" s="539"/>
      <c r="L83" s="540"/>
      <c r="M83" s="541"/>
      <c r="N83" s="2979"/>
      <c r="O83" s="2979"/>
      <c r="P83" s="2988"/>
      <c r="Q83" s="2965"/>
      <c r="R83" s="2951"/>
      <c r="S83" s="2951"/>
      <c r="T83" s="2951"/>
      <c r="U83" s="2951"/>
      <c r="V83" s="2951"/>
      <c r="W83" s="2951"/>
      <c r="X83" s="2951"/>
      <c r="Y83" s="2951"/>
      <c r="Z83" s="2951"/>
      <c r="AA83" s="2951"/>
      <c r="AB83" s="2951"/>
      <c r="AC83" s="2951"/>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4"/>
      <c r="B85" s="493" t="s">
        <v>2551</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79"/>
      <c r="O85" s="2979"/>
      <c r="P85" s="2988"/>
      <c r="Q85" s="2965"/>
      <c r="R85" s="2951"/>
      <c r="S85" s="2951"/>
      <c r="T85" s="2951"/>
      <c r="U85" s="2951"/>
      <c r="V85" s="2951"/>
      <c r="W85" s="2951"/>
      <c r="X85" s="2951"/>
      <c r="Y85" s="2951"/>
      <c r="Z85" s="2951"/>
      <c r="AA85" s="2951"/>
      <c r="AB85" s="2951"/>
      <c r="AC85" s="2951"/>
    </row>
    <row r="86" spans="1:29">
      <c r="A86" s="554"/>
      <c r="B86" s="501"/>
      <c r="C86" s="558">
        <v>0.5</v>
      </c>
      <c r="D86" s="558">
        <v>0.6</v>
      </c>
      <c r="E86" s="558">
        <v>0.7</v>
      </c>
      <c r="F86" s="558">
        <v>0.8</v>
      </c>
      <c r="G86" s="558">
        <v>0.9</v>
      </c>
      <c r="H86" s="558">
        <v>1.0001</v>
      </c>
      <c r="I86" s="577"/>
      <c r="J86" s="577"/>
      <c r="K86" s="578"/>
      <c r="L86" s="579"/>
      <c r="M86" s="580"/>
      <c r="N86" s="2979"/>
      <c r="O86" s="2979"/>
      <c r="P86" s="2988"/>
      <c r="Q86" s="2965"/>
      <c r="R86" s="2951"/>
      <c r="S86" s="2951"/>
      <c r="T86" s="2951"/>
      <c r="U86" s="2951"/>
      <c r="V86" s="2951"/>
      <c r="W86" s="2951"/>
      <c r="X86" s="2951"/>
      <c r="Y86" s="2951"/>
      <c r="Z86" s="2951"/>
      <c r="AA86" s="2951"/>
      <c r="AB86" s="2951"/>
      <c r="AC86" s="2951"/>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4"/>
      <c r="B88" s="501" t="s">
        <v>2552</v>
      </c>
      <c r="C88" s="485"/>
      <c r="D88" s="485"/>
      <c r="E88" s="485"/>
      <c r="F88" s="485"/>
      <c r="G88" s="485"/>
      <c r="H88" s="485"/>
      <c r="I88" s="485"/>
      <c r="J88" s="485"/>
      <c r="K88" s="486"/>
      <c r="L88" s="487"/>
      <c r="M88" s="488"/>
      <c r="N88" s="2979"/>
      <c r="O88" s="2979"/>
      <c r="P88" s="2988"/>
      <c r="Q88" s="2965"/>
      <c r="R88" s="2951"/>
      <c r="S88" s="2951"/>
      <c r="T88" s="2951"/>
      <c r="U88" s="2951"/>
      <c r="V88" s="2951"/>
      <c r="W88" s="2951"/>
      <c r="X88" s="2951"/>
      <c r="Y88" s="2951"/>
      <c r="Z88" s="2951"/>
      <c r="AA88" s="2951"/>
      <c r="AB88" s="2951"/>
      <c r="AC88" s="2951"/>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0"/>
      <c r="O89" s="2980"/>
      <c r="P89" s="2988"/>
      <c r="Q89" s="2965"/>
      <c r="R89" s="2951"/>
      <c r="S89" s="2951"/>
      <c r="T89" s="2951"/>
      <c r="U89" s="2951"/>
      <c r="V89" s="2951"/>
      <c r="W89" s="2951"/>
      <c r="X89" s="2951"/>
      <c r="Y89" s="2951"/>
      <c r="Z89" s="2951"/>
      <c r="AA89" s="2951"/>
      <c r="AB89" s="2951"/>
      <c r="AC89" s="2951"/>
    </row>
    <row r="90" spans="1:29" s="428" customFormat="1" ht="15" thickTop="1">
      <c r="A90" s="548"/>
      <c r="B90" s="493" t="s">
        <v>2553</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1"/>
      <c r="O90" s="2981"/>
      <c r="P90" s="2989"/>
      <c r="Q90" s="2972"/>
      <c r="R90" s="2973"/>
      <c r="S90" s="2973"/>
      <c r="T90" s="2973"/>
      <c r="U90" s="2973"/>
      <c r="V90" s="2973"/>
      <c r="W90" s="2973"/>
      <c r="X90" s="2973"/>
      <c r="Y90" s="2973"/>
      <c r="Z90" s="2973"/>
      <c r="AA90" s="2973"/>
      <c r="AB90" s="2973"/>
      <c r="AC90" s="2973"/>
    </row>
    <row r="91" spans="1:29" s="428" customFormat="1">
      <c r="A91" s="548"/>
      <c r="B91" s="501"/>
      <c r="C91" s="550"/>
      <c r="D91" s="550"/>
      <c r="E91" s="550"/>
      <c r="F91" s="550"/>
      <c r="G91" s="550"/>
      <c r="H91" s="550"/>
      <c r="I91" s="550"/>
      <c r="J91" s="551"/>
      <c r="K91" s="551"/>
      <c r="L91" s="552"/>
      <c r="M91" s="553"/>
      <c r="N91" s="2981"/>
      <c r="O91" s="2981"/>
      <c r="P91" s="2989"/>
      <c r="Q91" s="2972"/>
      <c r="R91" s="2973"/>
      <c r="S91" s="2973"/>
      <c r="T91" s="2973"/>
      <c r="U91" s="2973"/>
      <c r="V91" s="2973"/>
      <c r="W91" s="2973"/>
      <c r="X91" s="2973"/>
      <c r="Y91" s="2973"/>
      <c r="Z91" s="2973"/>
      <c r="AA91" s="2973"/>
      <c r="AB91" s="2973"/>
      <c r="AC91" s="2973"/>
    </row>
    <row r="92" spans="1:29" s="428" customFormat="1" ht="15.75" thickBot="1">
      <c r="A92" s="508"/>
      <c r="B92" s="498"/>
      <c r="C92" s="515"/>
      <c r="D92" s="491"/>
      <c r="E92" s="491"/>
      <c r="F92" s="491"/>
      <c r="G92" s="491"/>
      <c r="H92" s="491"/>
      <c r="I92" s="491"/>
      <c r="J92" s="491"/>
      <c r="K92" s="491"/>
      <c r="L92" s="491"/>
      <c r="M92" s="492"/>
      <c r="N92" s="2981"/>
      <c r="O92" s="2981"/>
      <c r="P92" s="2989"/>
      <c r="Q92" s="2972"/>
      <c r="R92" s="2973"/>
      <c r="S92" s="2973"/>
      <c r="T92" s="2973"/>
      <c r="U92" s="2973"/>
      <c r="V92" s="2973"/>
      <c r="W92" s="2973"/>
      <c r="X92" s="2973"/>
      <c r="Y92" s="2973"/>
      <c r="Z92" s="2973"/>
      <c r="AA92" s="2973"/>
      <c r="AB92" s="2973"/>
      <c r="AC92" s="2973"/>
    </row>
    <row r="93" spans="1:29" ht="15" thickTop="1">
      <c r="A93" s="554"/>
      <c r="B93" s="493" t="s">
        <v>2554</v>
      </c>
      <c r="C93" s="509"/>
      <c r="D93" s="509"/>
      <c r="E93" s="538"/>
      <c r="F93" s="538"/>
      <c r="G93" s="538"/>
      <c r="H93" s="538"/>
      <c r="I93" s="538"/>
      <c r="J93" s="538"/>
      <c r="K93" s="539"/>
      <c r="L93" s="540"/>
      <c r="M93" s="541"/>
      <c r="N93" s="2979"/>
      <c r="O93" s="2979"/>
      <c r="P93" s="2988"/>
      <c r="Q93" s="2965"/>
      <c r="R93" s="2951"/>
      <c r="S93" s="2951"/>
      <c r="T93" s="2951"/>
      <c r="U93" s="2951"/>
      <c r="V93" s="2951"/>
      <c r="W93" s="2951"/>
      <c r="X93" s="2951"/>
      <c r="Y93" s="2951"/>
      <c r="Z93" s="2951"/>
      <c r="AA93" s="2951"/>
      <c r="AB93" s="2951"/>
      <c r="AC93" s="2951"/>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4"/>
      <c r="B95" s="493" t="s">
        <v>2555</v>
      </c>
      <c r="C95" s="485"/>
      <c r="D95" s="485"/>
      <c r="E95" s="485"/>
      <c r="F95" s="485"/>
      <c r="G95" s="485"/>
      <c r="H95" s="485"/>
      <c r="I95" s="485"/>
      <c r="J95" s="485"/>
      <c r="K95" s="486"/>
      <c r="L95" s="487"/>
      <c r="M95" s="488"/>
      <c r="N95" s="2979"/>
      <c r="O95" s="2979"/>
      <c r="P95" s="2988"/>
      <c r="Q95" s="2965"/>
      <c r="R95" s="2951"/>
      <c r="S95" s="2951"/>
      <c r="T95" s="2951"/>
      <c r="U95" s="2951"/>
      <c r="V95" s="2951"/>
      <c r="W95" s="2951"/>
      <c r="X95" s="2951"/>
      <c r="Y95" s="2951"/>
      <c r="Z95" s="2951"/>
      <c r="AA95" s="2951"/>
      <c r="AB95" s="2951"/>
      <c r="AC95" s="2951"/>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0"/>
      <c r="O96" s="2980"/>
      <c r="P96" s="2988"/>
      <c r="Q96" s="2965"/>
      <c r="R96" s="2951"/>
      <c r="S96" s="2951"/>
      <c r="T96" s="2951"/>
      <c r="U96" s="2951"/>
      <c r="V96" s="2951"/>
      <c r="W96" s="2951"/>
      <c r="X96" s="2951"/>
      <c r="Y96" s="2951"/>
      <c r="Z96" s="2951"/>
      <c r="AA96" s="2951"/>
      <c r="AB96" s="2951"/>
      <c r="AC96" s="2951"/>
    </row>
    <row r="97" spans="1:29" ht="15" thickTop="1">
      <c r="A97" s="554"/>
      <c r="B97" s="590">
        <f>B34</f>
        <v>111</v>
      </c>
      <c r="C97" s="504"/>
      <c r="D97" s="504"/>
      <c r="E97" s="504"/>
      <c r="F97" s="504"/>
      <c r="G97" s="509"/>
      <c r="H97" s="510"/>
      <c r="I97" s="510"/>
      <c r="J97" s="510"/>
      <c r="K97" s="510"/>
      <c r="L97" s="511"/>
      <c r="M97" s="512"/>
      <c r="N97" s="2980"/>
      <c r="O97" s="2980"/>
      <c r="P97" s="2993"/>
      <c r="Q97" s="2994"/>
      <c r="R97" s="2951"/>
      <c r="S97" s="2951"/>
      <c r="T97" s="2951"/>
      <c r="U97" s="2951"/>
      <c r="V97" s="2951"/>
      <c r="W97" s="2951"/>
      <c r="X97" s="2951"/>
      <c r="Y97" s="2951"/>
      <c r="Z97" s="2951"/>
      <c r="AA97" s="2951"/>
      <c r="AB97" s="2951"/>
      <c r="AC97" s="2951"/>
    </row>
    <row r="98" spans="1:29" ht="15.75" thickBot="1">
      <c r="A98" s="489"/>
      <c r="B98" s="498"/>
      <c r="C98" s="515"/>
      <c r="D98" s="491"/>
      <c r="E98" s="491"/>
      <c r="F98" s="491"/>
      <c r="G98" s="515"/>
      <c r="H98" s="517"/>
      <c r="I98" s="517"/>
      <c r="J98" s="517"/>
      <c r="K98" s="517"/>
      <c r="L98" s="517"/>
      <c r="M98" s="518"/>
      <c r="N98" s="2980"/>
      <c r="O98" s="2980"/>
      <c r="P98" s="2988"/>
      <c r="Q98" s="2965"/>
      <c r="R98" s="2951"/>
      <c r="S98" s="2951"/>
      <c r="T98" s="2951"/>
      <c r="U98" s="2951"/>
      <c r="V98" s="2951"/>
      <c r="W98" s="2951"/>
      <c r="X98" s="2951"/>
      <c r="Y98" s="2951"/>
      <c r="Z98" s="2951"/>
      <c r="AA98" s="2951"/>
      <c r="AB98" s="2951"/>
      <c r="AC98" s="2951"/>
    </row>
    <row r="99" spans="1:29" s="428" customFormat="1" ht="15" thickTop="1">
      <c r="A99" s="548"/>
      <c r="B99" s="493">
        <f>B35</f>
        <v>111</v>
      </c>
      <c r="C99" s="504"/>
      <c r="D99" s="504"/>
      <c r="E99" s="504"/>
      <c r="F99" s="504"/>
      <c r="G99" s="509"/>
      <c r="H99" s="510"/>
      <c r="I99" s="510"/>
      <c r="J99" s="510"/>
      <c r="K99" s="510"/>
      <c r="L99" s="511"/>
      <c r="M99" s="512"/>
      <c r="N99" s="2981"/>
      <c r="O99" s="2981"/>
      <c r="P99" s="2989"/>
      <c r="Q99" s="2972"/>
      <c r="R99" s="2973"/>
      <c r="S99" s="2973"/>
      <c r="T99" s="2973"/>
      <c r="U99" s="2973"/>
      <c r="V99" s="2973"/>
      <c r="W99" s="2973"/>
      <c r="X99" s="2973"/>
      <c r="Y99" s="2973"/>
      <c r="Z99" s="2973"/>
      <c r="AA99" s="2973"/>
      <c r="AB99" s="2973"/>
      <c r="AC99" s="2973"/>
    </row>
    <row r="100" spans="1:29" s="428" customFormat="1" ht="15.75" thickBot="1">
      <c r="A100" s="508"/>
      <c r="B100" s="490"/>
      <c r="C100" s="515"/>
      <c r="D100" s="491"/>
      <c r="E100" s="491"/>
      <c r="F100" s="491"/>
      <c r="G100" s="515"/>
      <c r="H100" s="517"/>
      <c r="I100" s="517"/>
      <c r="J100" s="517"/>
      <c r="K100" s="517"/>
      <c r="L100" s="517"/>
      <c r="M100" s="518"/>
      <c r="N100" s="2981"/>
      <c r="O100" s="2981"/>
      <c r="P100" s="2989"/>
      <c r="Q100" s="2972"/>
      <c r="R100" s="2973"/>
      <c r="S100" s="2973"/>
      <c r="T100" s="2973"/>
      <c r="U100" s="2973"/>
      <c r="V100" s="2973"/>
      <c r="W100" s="2973"/>
      <c r="X100" s="2973"/>
      <c r="Y100" s="2973"/>
      <c r="Z100" s="2973"/>
      <c r="AA100" s="2973"/>
      <c r="AB100" s="2973"/>
      <c r="AC100" s="2973"/>
    </row>
    <row r="101" spans="1:29" ht="15" thickTop="1">
      <c r="A101" s="554"/>
      <c r="B101" s="493">
        <f>B36</f>
        <v>111</v>
      </c>
      <c r="C101" s="509"/>
      <c r="D101" s="509"/>
      <c r="E101" s="509"/>
      <c r="F101" s="509"/>
      <c r="G101" s="509"/>
      <c r="H101" s="510"/>
      <c r="I101" s="510"/>
      <c r="J101" s="510"/>
      <c r="K101" s="510"/>
      <c r="L101" s="511"/>
      <c r="M101" s="512"/>
      <c r="N101" s="2979"/>
      <c r="O101" s="2979"/>
      <c r="P101" s="2988"/>
      <c r="Q101" s="2965"/>
      <c r="R101" s="2951"/>
      <c r="S101" s="2951"/>
      <c r="T101" s="2951"/>
      <c r="U101" s="2951"/>
      <c r="V101" s="2951"/>
      <c r="W101" s="2951"/>
      <c r="X101" s="2951"/>
      <c r="Y101" s="2951"/>
      <c r="Z101" s="2951"/>
      <c r="AA101" s="2951"/>
      <c r="AB101" s="2951"/>
      <c r="AC101" s="2951"/>
    </row>
    <row r="102" spans="1:29" ht="15.75" thickBot="1">
      <c r="A102" s="489"/>
      <c r="B102" s="498"/>
      <c r="C102" s="515"/>
      <c r="D102" s="515"/>
      <c r="E102" s="515"/>
      <c r="F102" s="515"/>
      <c r="G102" s="515"/>
      <c r="H102" s="517"/>
      <c r="I102" s="517"/>
      <c r="J102" s="517"/>
      <c r="K102" s="517"/>
      <c r="L102" s="517"/>
      <c r="M102" s="518"/>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2526</v>
      </c>
      <c r="B1" s="1389"/>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2149</v>
      </c>
      <c r="B2" s="1324" t="e">
        <f ca="1">IF(C2="——",ROUND(C37*D3/10000,0),ROUND(C37*D3/10000,0)-D2)</f>
        <v>#DIV/0!</v>
      </c>
      <c r="C2" s="2065"/>
      <c r="D2" s="1036" t="e">
        <f ca="1">SUMIF(INDIRECT("'"&amp;F2&amp;"'"&amp;"!A:A"),"承租人权益价值",INDIRECT("'"&amp;F2&amp;"'"&amp;"!c:c"))</f>
        <v>#REF!</v>
      </c>
      <c r="E2" s="2066" t="s">
        <v>2150</v>
      </c>
      <c r="F2" s="2067"/>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2151</v>
      </c>
      <c r="B3" s="564" t="e">
        <f ca="1">IF(C2="——",C37,ROUND(B2*10000/D3,0))</f>
        <v>#DIV/0!</v>
      </c>
      <c r="C3" s="358" t="s">
        <v>2463</v>
      </c>
      <c r="D3" s="357">
        <f>SUMIF('数据-汇总表'!$C19:$C33,D1,'数据-汇总表'!$E19:$E33)</f>
        <v>0</v>
      </c>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2464</v>
      </c>
      <c r="B4" s="360"/>
      <c r="C4" s="3313" t="s">
        <v>2465</v>
      </c>
      <c r="D4" s="3326"/>
      <c r="E4" s="3327" t="s">
        <v>2466</v>
      </c>
      <c r="F4" s="3328"/>
      <c r="G4" s="3313" t="s">
        <v>2467</v>
      </c>
      <c r="H4" s="3326"/>
      <c r="I4" s="3313" t="s">
        <v>2468</v>
      </c>
      <c r="J4" s="3326"/>
      <c r="K4" s="565" t="s">
        <v>2469</v>
      </c>
      <c r="L4" s="2941"/>
      <c r="M4" s="2942"/>
      <c r="N4" s="2942"/>
      <c r="O4" s="2942"/>
      <c r="P4" s="3329" t="s">
        <v>2470</v>
      </c>
      <c r="Q4" s="3330"/>
      <c r="R4" s="3335" t="s">
        <v>2466</v>
      </c>
      <c r="S4" s="3336"/>
      <c r="T4" s="3335" t="s">
        <v>2467</v>
      </c>
      <c r="U4" s="3336"/>
      <c r="V4" s="3322" t="s">
        <v>2468</v>
      </c>
      <c r="W4" s="3322"/>
      <c r="X4" s="1537"/>
      <c r="Y4" s="3335" t="s">
        <v>2470</v>
      </c>
      <c r="Z4" s="3336"/>
      <c r="AA4" s="3323" t="s">
        <v>2466</v>
      </c>
      <c r="AB4" s="3324" t="s">
        <v>2467</v>
      </c>
      <c r="AC4" s="3323" t="s">
        <v>2468</v>
      </c>
    </row>
    <row r="5" spans="1:29" ht="15">
      <c r="A5" s="362"/>
      <c r="B5" s="363"/>
      <c r="C5" s="3343" t="s">
        <v>2361</v>
      </c>
      <c r="D5" s="3344"/>
      <c r="E5" s="3350" t="s">
        <v>2362</v>
      </c>
      <c r="F5" s="3351"/>
      <c r="G5" s="3343" t="s">
        <v>2363</v>
      </c>
      <c r="H5" s="3344"/>
      <c r="I5" s="3343" t="s">
        <v>2364</v>
      </c>
      <c r="J5" s="3344"/>
      <c r="K5" s="565"/>
      <c r="L5" s="2941"/>
      <c r="M5" s="2942"/>
      <c r="N5" s="2942"/>
      <c r="O5" s="2942"/>
      <c r="P5" s="3331"/>
      <c r="Q5" s="3332"/>
      <c r="R5" s="3337"/>
      <c r="S5" s="3338"/>
      <c r="T5" s="3337"/>
      <c r="U5" s="3338"/>
      <c r="V5" s="3322"/>
      <c r="W5" s="3322"/>
      <c r="X5" s="1537"/>
      <c r="Y5" s="3337"/>
      <c r="Z5" s="3338"/>
      <c r="AA5" s="3324"/>
      <c r="AB5" s="3324"/>
      <c r="AC5" s="3324"/>
    </row>
    <row r="6" spans="1:29" ht="15.75" thickBot="1">
      <c r="A6" s="364"/>
      <c r="B6" s="365"/>
      <c r="C6" s="3341" t="s">
        <v>2365</v>
      </c>
      <c r="D6" s="3342"/>
      <c r="E6" s="3348" t="s">
        <v>2365</v>
      </c>
      <c r="F6" s="3349"/>
      <c r="G6" s="3341" t="s">
        <v>2365</v>
      </c>
      <c r="H6" s="3342"/>
      <c r="I6" s="3341" t="s">
        <v>2365</v>
      </c>
      <c r="J6" s="3342"/>
      <c r="K6" s="565" t="s">
        <v>2366</v>
      </c>
      <c r="L6" s="2941"/>
      <c r="M6" s="2942"/>
      <c r="N6" s="2942"/>
      <c r="O6" s="2942"/>
      <c r="P6" s="3333"/>
      <c r="Q6" s="3334"/>
      <c r="R6" s="3337"/>
      <c r="S6" s="3338"/>
      <c r="T6" s="3339"/>
      <c r="U6" s="3340"/>
      <c r="V6" s="3322"/>
      <c r="W6" s="3322"/>
      <c r="X6" s="1537"/>
      <c r="Y6" s="3339"/>
      <c r="Z6" s="3340"/>
      <c r="AA6" s="3325"/>
      <c r="AB6" s="3325"/>
      <c r="AC6" s="3325"/>
    </row>
    <row r="7" spans="1:29" s="112" customFormat="1" ht="15.75" thickBot="1">
      <c r="A7" s="366" t="s">
        <v>2367</v>
      </c>
      <c r="B7" s="367"/>
      <c r="C7" s="368">
        <f>'数据-取费表'!B2</f>
        <v>44311</v>
      </c>
      <c r="D7" s="369">
        <v>100</v>
      </c>
      <c r="E7" s="370"/>
      <c r="F7" s="371">
        <f>SUMIF(46:46,YEAR(E7)&amp;"-"&amp;MONTH(E7),47:47)</f>
        <v>0</v>
      </c>
      <c r="G7" s="2158"/>
      <c r="H7" s="369">
        <f>SUMIF(46:46,YEAR(G7)&amp;"-"&amp;MONTH(G7),47:47)</f>
        <v>0</v>
      </c>
      <c r="I7" s="370"/>
      <c r="J7" s="369">
        <f>SUMIF(46:46,YEAR(I7)&amp;"-"&amp;MONTH(I7),47:47)</f>
        <v>0</v>
      </c>
      <c r="K7" s="566"/>
      <c r="L7" s="2943"/>
      <c r="M7" s="2944"/>
      <c r="N7" s="2944"/>
      <c r="O7" s="2944"/>
      <c r="P7" s="3345" t="s">
        <v>2368</v>
      </c>
      <c r="Q7" s="3347"/>
      <c r="R7" s="708" t="s">
        <v>17</v>
      </c>
      <c r="S7" s="709">
        <f t="shared" ref="S7:S14" si="0">F7</f>
        <v>0</v>
      </c>
      <c r="T7" s="708" t="s">
        <v>17</v>
      </c>
      <c r="U7" s="709">
        <f t="shared" ref="U7:U14" si="1">H7</f>
        <v>0</v>
      </c>
      <c r="V7" s="708" t="s">
        <v>17</v>
      </c>
      <c r="W7" s="709">
        <f t="shared" ref="W7:W14" si="2">J7</f>
        <v>0</v>
      </c>
      <c r="X7" s="710"/>
      <c r="Y7" s="3345" t="s">
        <v>2368</v>
      </c>
      <c r="Z7" s="3346"/>
      <c r="AA7" s="711" t="e">
        <f>D7/F7</f>
        <v>#DIV/0!</v>
      </c>
      <c r="AB7" s="711" t="e">
        <f>D7/H7</f>
        <v>#DIV/0!</v>
      </c>
      <c r="AC7" s="711" t="e">
        <f>D7/J7</f>
        <v>#DIV/0!</v>
      </c>
    </row>
    <row r="8" spans="1:29" s="112" customFormat="1" ht="15.75" thickBot="1">
      <c r="A8" s="366" t="s">
        <v>2369</v>
      </c>
      <c r="B8" s="367"/>
      <c r="C8" s="372" t="s">
        <v>2471</v>
      </c>
      <c r="D8" s="369">
        <v>100</v>
      </c>
      <c r="E8" s="372"/>
      <c r="F8" s="371">
        <f>SUMIF(49:49,E8,50:50)-SUMIF(49:49,C8,50:50)+100</f>
        <v>0</v>
      </c>
      <c r="G8" s="372"/>
      <c r="H8" s="369">
        <f>SUMIF(49:49,G8,50:50)-SUMIF(49:49,C8,50:50)+100</f>
        <v>0</v>
      </c>
      <c r="I8" s="372"/>
      <c r="J8" s="369">
        <f>SUMIF(49:49,I8,50:50)-SUMIF(49:49,C8,50:50)+100</f>
        <v>0</v>
      </c>
      <c r="K8" s="566"/>
      <c r="L8" s="2943"/>
      <c r="M8" s="2944"/>
      <c r="N8" s="2944"/>
      <c r="O8" s="2944"/>
      <c r="P8" s="3345" t="s">
        <v>2371</v>
      </c>
      <c r="Q8" s="3346"/>
      <c r="R8" s="708" t="s">
        <v>17</v>
      </c>
      <c r="S8" s="709">
        <f t="shared" si="0"/>
        <v>0</v>
      </c>
      <c r="T8" s="708" t="s">
        <v>17</v>
      </c>
      <c r="U8" s="709">
        <f t="shared" si="1"/>
        <v>0</v>
      </c>
      <c r="V8" s="708" t="s">
        <v>17</v>
      </c>
      <c r="W8" s="709">
        <f t="shared" si="2"/>
        <v>0</v>
      </c>
      <c r="X8" s="710"/>
      <c r="Y8" s="3345" t="s">
        <v>2371</v>
      </c>
      <c r="Z8" s="3346"/>
      <c r="AA8" s="711" t="e">
        <f t="shared" ref="AA8:AA34" si="3">D8/F8</f>
        <v>#DIV/0!</v>
      </c>
      <c r="AB8" s="711" t="e">
        <f t="shared" ref="AB8:AB34" si="4">D8/H8</f>
        <v>#DIV/0!</v>
      </c>
      <c r="AC8" s="711" t="e">
        <f t="shared" ref="AC8:AC34" si="5">D8/J8</f>
        <v>#DIV/0!</v>
      </c>
    </row>
    <row r="9" spans="1:29" s="112" customFormat="1">
      <c r="A9" s="373" t="s">
        <v>2372</v>
      </c>
      <c r="B9" s="67" t="s">
        <v>2373</v>
      </c>
      <c r="C9" s="374"/>
      <c r="D9" s="129">
        <v>100</v>
      </c>
      <c r="E9" s="377"/>
      <c r="F9" s="376">
        <f>SUMIF(51:51,E9,52:52)-SUMIF(51:51,C9,52:52)+100</f>
        <v>100</v>
      </c>
      <c r="G9" s="377"/>
      <c r="H9" s="129">
        <f>SUMIF(51:51,G9,52:52)-SUMIF(51:51,C9,52:52)+100</f>
        <v>100</v>
      </c>
      <c r="I9" s="377"/>
      <c r="J9" s="129">
        <f>SUMIF(51:51,I9,52:52)-SUMIF(51:51,C9,52:52)+100</f>
        <v>100</v>
      </c>
      <c r="K9" s="566"/>
      <c r="L9" s="2943"/>
      <c r="M9" s="2944"/>
      <c r="N9" s="2944"/>
      <c r="O9" s="2998"/>
      <c r="P9" s="3316" t="s">
        <v>2374</v>
      </c>
      <c r="Q9" s="1525" t="str">
        <f t="shared" ref="Q9:Q14" si="6">B9</f>
        <v>用途</v>
      </c>
      <c r="R9" s="708" t="s">
        <v>17</v>
      </c>
      <c r="S9" s="709">
        <f t="shared" si="0"/>
        <v>100</v>
      </c>
      <c r="T9" s="708" t="s">
        <v>17</v>
      </c>
      <c r="U9" s="709">
        <f t="shared" si="1"/>
        <v>100</v>
      </c>
      <c r="V9" s="708" t="s">
        <v>17</v>
      </c>
      <c r="W9" s="709">
        <f t="shared" si="2"/>
        <v>100</v>
      </c>
      <c r="X9" s="710"/>
      <c r="Y9" s="3210" t="s">
        <v>2375</v>
      </c>
      <c r="Z9" s="55" t="str">
        <f t="shared" ref="Z9:Z14" si="7">Q9</f>
        <v>用途</v>
      </c>
      <c r="AA9" s="711">
        <f t="shared" si="3"/>
        <v>1</v>
      </c>
      <c r="AB9" s="711">
        <f t="shared" si="4"/>
        <v>1</v>
      </c>
      <c r="AC9" s="711">
        <f t="shared" si="5"/>
        <v>1</v>
      </c>
    </row>
    <row r="10" spans="1:29" s="384" customFormat="1" ht="27">
      <c r="A10" s="378"/>
      <c r="B10" s="379" t="s">
        <v>2376</v>
      </c>
      <c r="C10" s="380"/>
      <c r="D10" s="130">
        <v>100</v>
      </c>
      <c r="E10" s="380"/>
      <c r="F10" s="382">
        <f>SUMIF(53:53,E10,54:54)-SUMIF(53:53,C10,54:54)+100</f>
        <v>100</v>
      </c>
      <c r="G10" s="380"/>
      <c r="H10" s="130">
        <f>SUMIF(53:53,G10,54:54)-SUMIF(53:53,C10,54:54)+100</f>
        <v>100</v>
      </c>
      <c r="I10" s="380"/>
      <c r="J10" s="130">
        <f>SUMIF(53:53,I10,54:54)-SUMIF(53:53,C10,54:54)+100</f>
        <v>100</v>
      </c>
      <c r="K10" s="567"/>
      <c r="L10" s="2945"/>
      <c r="M10" s="2946"/>
      <c r="N10" s="2946"/>
      <c r="O10" s="2999"/>
      <c r="P10" s="3316"/>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7"/>
      <c r="M11" s="2942"/>
      <c r="N11" s="2942"/>
      <c r="O11" s="3000"/>
      <c r="P11" s="3316"/>
      <c r="Q11" s="1525">
        <f t="shared" si="6"/>
        <v>111</v>
      </c>
      <c r="R11" s="708" t="s">
        <v>17</v>
      </c>
      <c r="S11" s="709">
        <f t="shared" si="0"/>
        <v>100</v>
      </c>
      <c r="T11" s="708" t="s">
        <v>17</v>
      </c>
      <c r="U11" s="709">
        <f t="shared" si="1"/>
        <v>100</v>
      </c>
      <c r="V11" s="708" t="s">
        <v>17</v>
      </c>
      <c r="W11" s="709">
        <f t="shared" si="2"/>
        <v>100</v>
      </c>
      <c r="X11" s="710"/>
      <c r="Y11" s="3210"/>
      <c r="Z11" s="55">
        <f t="shared" si="7"/>
        <v>111</v>
      </c>
      <c r="AA11" s="711">
        <f t="shared" si="3"/>
        <v>1</v>
      </c>
      <c r="AB11" s="711">
        <f t="shared" si="4"/>
        <v>1</v>
      </c>
      <c r="AC11" s="711">
        <f t="shared" si="5"/>
        <v>1</v>
      </c>
    </row>
    <row r="12" spans="1:29" s="112"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3"/>
      <c r="M12" s="2944"/>
      <c r="N12" s="2944"/>
      <c r="O12" s="2998"/>
      <c r="P12" s="3316"/>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8"/>
      <c r="M13" s="2942"/>
      <c r="N13" s="2942"/>
      <c r="O13" s="3000"/>
      <c r="P13" s="3316"/>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711">
        <f t="shared" si="5"/>
        <v>1</v>
      </c>
    </row>
    <row r="14" spans="1:29" ht="85.5">
      <c r="A14" s="397" t="s">
        <v>2378</v>
      </c>
      <c r="B14" s="65" t="s">
        <v>2528</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8"/>
      <c r="M14" s="2942"/>
      <c r="N14" s="2942"/>
      <c r="O14" s="3000"/>
      <c r="P14" s="3318" t="s">
        <v>2379</v>
      </c>
      <c r="Q14" s="1534" t="str">
        <f t="shared" si="6"/>
        <v>交通便捷度</v>
      </c>
      <c r="R14" s="712" t="s">
        <v>17</v>
      </c>
      <c r="S14" s="713">
        <f t="shared" si="0"/>
        <v>100</v>
      </c>
      <c r="T14" s="712" t="s">
        <v>17</v>
      </c>
      <c r="U14" s="713">
        <f t="shared" si="1"/>
        <v>100</v>
      </c>
      <c r="V14" s="712" t="s">
        <v>17</v>
      </c>
      <c r="W14" s="713">
        <f t="shared" si="2"/>
        <v>100</v>
      </c>
      <c r="X14" s="1537"/>
      <c r="Y14" s="3318" t="s">
        <v>2379</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8"/>
      <c r="M15" s="2942"/>
      <c r="N15" s="2942"/>
      <c r="O15" s="3000"/>
      <c r="P15" s="3319"/>
      <c r="Q15" s="1534"/>
      <c r="R15" s="712"/>
      <c r="S15" s="713"/>
      <c r="T15" s="712"/>
      <c r="U15" s="713"/>
      <c r="V15" s="712"/>
      <c r="W15" s="713"/>
      <c r="X15" s="1537"/>
      <c r="Y15" s="3319"/>
      <c r="Z15" s="1538"/>
      <c r="AA15" s="1535">
        <v>1</v>
      </c>
      <c r="AB15" s="1535">
        <v>1</v>
      </c>
      <c r="AC15" s="1535">
        <v>1</v>
      </c>
    </row>
    <row r="16" spans="1:29" ht="42.75">
      <c r="A16" s="385"/>
      <c r="B16" s="408" t="s">
        <v>2507</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8"/>
      <c r="M16" s="2942"/>
      <c r="N16" s="2942"/>
      <c r="O16" s="3000"/>
      <c r="P16" s="3319"/>
      <c r="Q16" s="1534" t="str">
        <f>B16</f>
        <v>公共配套设施</v>
      </c>
      <c r="R16" s="712" t="s">
        <v>17</v>
      </c>
      <c r="S16" s="713">
        <f>F16</f>
        <v>100</v>
      </c>
      <c r="T16" s="712" t="s">
        <v>17</v>
      </c>
      <c r="U16" s="713">
        <f>H16</f>
        <v>100</v>
      </c>
      <c r="V16" s="712" t="s">
        <v>17</v>
      </c>
      <c r="W16" s="713">
        <f>J16</f>
        <v>100</v>
      </c>
      <c r="X16" s="1537"/>
      <c r="Y16" s="3319"/>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8"/>
      <c r="M17" s="2942"/>
      <c r="N17" s="2942"/>
      <c r="O17" s="3000"/>
      <c r="P17" s="3319"/>
      <c r="Q17" s="1534"/>
      <c r="R17" s="712"/>
      <c r="S17" s="713"/>
      <c r="T17" s="712"/>
      <c r="U17" s="713"/>
      <c r="V17" s="712"/>
      <c r="W17" s="713"/>
      <c r="X17" s="1537"/>
      <c r="Y17" s="3319"/>
      <c r="Z17" s="1538"/>
      <c r="AA17" s="1535">
        <v>1</v>
      </c>
      <c r="AB17" s="1535">
        <v>1</v>
      </c>
      <c r="AC17" s="1535">
        <v>1</v>
      </c>
    </row>
    <row r="18" spans="1:29" ht="28.5">
      <c r="A18" s="385"/>
      <c r="B18" s="1291" t="s">
        <v>2508</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8"/>
      <c r="M18" s="2942"/>
      <c r="N18" s="2942"/>
      <c r="O18" s="3000"/>
      <c r="P18" s="3319"/>
      <c r="Q18" s="1534" t="str">
        <f>B18</f>
        <v>基础设施水平</v>
      </c>
      <c r="R18" s="712" t="s">
        <v>17</v>
      </c>
      <c r="S18" s="713">
        <f>F18</f>
        <v>100</v>
      </c>
      <c r="T18" s="712" t="s">
        <v>17</v>
      </c>
      <c r="U18" s="713">
        <f>H18</f>
        <v>100</v>
      </c>
      <c r="V18" s="712" t="s">
        <v>17</v>
      </c>
      <c r="W18" s="713">
        <f>J18</f>
        <v>100</v>
      </c>
      <c r="X18" s="1537"/>
      <c r="Y18" s="3319"/>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8"/>
      <c r="M19" s="2942"/>
      <c r="N19" s="2942"/>
      <c r="O19" s="3000"/>
      <c r="P19" s="3319"/>
      <c r="Q19" s="1534"/>
      <c r="R19" s="712"/>
      <c r="S19" s="713"/>
      <c r="T19" s="712"/>
      <c r="U19" s="713"/>
      <c r="V19" s="712"/>
      <c r="W19" s="713"/>
      <c r="X19" s="1537"/>
      <c r="Y19" s="3319"/>
      <c r="Z19" s="1538"/>
      <c r="AA19" s="1535">
        <v>1</v>
      </c>
      <c r="AB19" s="1535">
        <v>1</v>
      </c>
      <c r="AC19" s="1535">
        <v>1</v>
      </c>
    </row>
    <row r="20" spans="1:29" ht="57">
      <c r="A20" s="385"/>
      <c r="B20" s="408" t="s">
        <v>2529</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8"/>
      <c r="M20" s="2942"/>
      <c r="N20" s="2942"/>
      <c r="O20" s="3000"/>
      <c r="P20" s="3319"/>
      <c r="Q20" s="1534" t="str">
        <f>B20</f>
        <v>自然及人文环境</v>
      </c>
      <c r="R20" s="712" t="s">
        <v>17</v>
      </c>
      <c r="S20" s="713">
        <f>F20</f>
        <v>100</v>
      </c>
      <c r="T20" s="712" t="s">
        <v>17</v>
      </c>
      <c r="U20" s="713">
        <f>H20</f>
        <v>100</v>
      </c>
      <c r="V20" s="712" t="s">
        <v>17</v>
      </c>
      <c r="W20" s="713">
        <f>J20</f>
        <v>100</v>
      </c>
      <c r="X20" s="1537"/>
      <c r="Y20" s="3319"/>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8"/>
      <c r="M21" s="2942"/>
      <c r="N21" s="2942"/>
      <c r="O21" s="3000"/>
      <c r="P21" s="3319"/>
      <c r="Q21" s="1534"/>
      <c r="R21" s="712"/>
      <c r="S21" s="713"/>
      <c r="T21" s="712"/>
      <c r="U21" s="713"/>
      <c r="V21" s="712"/>
      <c r="W21" s="713"/>
      <c r="X21" s="1537"/>
      <c r="Y21" s="3319"/>
      <c r="Z21" s="1538"/>
      <c r="AA21" s="1535">
        <v>1</v>
      </c>
      <c r="AB21" s="1535">
        <v>1</v>
      </c>
      <c r="AC21" s="1535">
        <v>1</v>
      </c>
    </row>
    <row r="22" spans="1:29" ht="15">
      <c r="A22" s="385"/>
      <c r="B22" s="408" t="s">
        <v>2530</v>
      </c>
      <c r="C22" s="571"/>
      <c r="D22" s="407">
        <v>100</v>
      </c>
      <c r="E22" s="571"/>
      <c r="F22" s="418">
        <f>SUMIF(69:69,E22,70:70)-SUMIF(69:69,C22,70:70)+100</f>
        <v>100</v>
      </c>
      <c r="G22" s="571"/>
      <c r="H22" s="392">
        <f>SUMIF(69:69,G22,70:70)-SUMIF(69:69,C22,70:70)+100</f>
        <v>100</v>
      </c>
      <c r="I22" s="571"/>
      <c r="J22" s="392">
        <f>SUMIF(69:69,I22,70:70)-SUMIF(69:69,C22,70:70)+100</f>
        <v>100</v>
      </c>
      <c r="K22" s="567"/>
      <c r="L22" s="2948"/>
      <c r="M22" s="2942"/>
      <c r="N22" s="2942"/>
      <c r="O22" s="3000"/>
      <c r="P22" s="3319"/>
      <c r="Q22" s="1534" t="str">
        <f>B22</f>
        <v>楼层</v>
      </c>
      <c r="R22" s="712" t="s">
        <v>17</v>
      </c>
      <c r="S22" s="713">
        <f>F22</f>
        <v>100</v>
      </c>
      <c r="T22" s="712" t="s">
        <v>17</v>
      </c>
      <c r="U22" s="713">
        <f>H22</f>
        <v>100</v>
      </c>
      <c r="V22" s="712" t="s">
        <v>17</v>
      </c>
      <c r="W22" s="713">
        <f>J22</f>
        <v>100</v>
      </c>
      <c r="X22" s="1537"/>
      <c r="Y22" s="3319"/>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8"/>
      <c r="M23" s="2942"/>
      <c r="N23" s="2942"/>
      <c r="O23" s="3000"/>
      <c r="P23" s="3319"/>
      <c r="Q23" s="1534">
        <f>B23</f>
        <v>111</v>
      </c>
      <c r="R23" s="712" t="s">
        <v>17</v>
      </c>
      <c r="S23" s="713">
        <f>F23</f>
        <v>100</v>
      </c>
      <c r="T23" s="712" t="s">
        <v>17</v>
      </c>
      <c r="U23" s="713">
        <f>H23</f>
        <v>100</v>
      </c>
      <c r="V23" s="712" t="s">
        <v>17</v>
      </c>
      <c r="W23" s="713">
        <f>J23</f>
        <v>100</v>
      </c>
      <c r="X23" s="1537"/>
      <c r="Y23" s="3319"/>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8"/>
      <c r="M24" s="2942"/>
      <c r="N24" s="2942"/>
      <c r="O24" s="3000"/>
      <c r="P24" s="3319"/>
      <c r="Q24" s="1534">
        <f t="shared" ref="Q24:Q34" si="11">B24</f>
        <v>111</v>
      </c>
      <c r="R24" s="712" t="s">
        <v>17</v>
      </c>
      <c r="S24" s="713">
        <f>F24</f>
        <v>100</v>
      </c>
      <c r="T24" s="712" t="s">
        <v>17</v>
      </c>
      <c r="U24" s="713">
        <f>H24</f>
        <v>100</v>
      </c>
      <c r="V24" s="712" t="s">
        <v>17</v>
      </c>
      <c r="W24" s="713">
        <f>J24</f>
        <v>100</v>
      </c>
      <c r="X24" s="1537"/>
      <c r="Y24" s="3319"/>
      <c r="Z24" s="1538">
        <f>Q24</f>
        <v>111</v>
      </c>
      <c r="AA24" s="1535">
        <f t="shared" si="3"/>
        <v>1</v>
      </c>
      <c r="AB24" s="1535">
        <f t="shared" si="4"/>
        <v>1</v>
      </c>
      <c r="AC24" s="1535">
        <f t="shared" si="5"/>
        <v>1</v>
      </c>
    </row>
    <row r="25" spans="1:29" s="112"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3"/>
      <c r="M25" s="2944"/>
      <c r="N25" s="2944"/>
      <c r="O25" s="2998"/>
      <c r="P25" s="3319"/>
      <c r="Q25" s="1525">
        <f t="shared" si="11"/>
        <v>111</v>
      </c>
      <c r="R25" s="708" t="s">
        <v>17</v>
      </c>
      <c r="S25" s="709">
        <f>F25</f>
        <v>100</v>
      </c>
      <c r="T25" s="708" t="s">
        <v>17</v>
      </c>
      <c r="U25" s="709">
        <f>H25</f>
        <v>100</v>
      </c>
      <c r="V25" s="708" t="s">
        <v>17</v>
      </c>
      <c r="W25" s="709">
        <f>J25</f>
        <v>100</v>
      </c>
      <c r="X25" s="710"/>
      <c r="Y25" s="3319"/>
      <c r="Z25" s="55">
        <f>Q25</f>
        <v>111</v>
      </c>
      <c r="AA25" s="1535">
        <f>D25/F25</f>
        <v>1</v>
      </c>
      <c r="AB25" s="1535">
        <f>D25/H25</f>
        <v>1</v>
      </c>
      <c r="AC25" s="1535">
        <f>D25/J25</f>
        <v>1</v>
      </c>
    </row>
    <row r="26" spans="1:29" ht="28.5">
      <c r="A26" s="423" t="s">
        <v>2382</v>
      </c>
      <c r="B26" s="67" t="s">
        <v>2533</v>
      </c>
      <c r="C26" s="2151"/>
      <c r="D26" s="424">
        <v>100</v>
      </c>
      <c r="E26" s="2151"/>
      <c r="F26" s="621">
        <f>SUMIF(77:77,E26,78:78)-SUMIF(77:77,C26,78:78)+100</f>
        <v>100</v>
      </c>
      <c r="G26" s="2151"/>
      <c r="H26" s="424">
        <f>SUMIF(77:77,G26,78:78)-SUMIF(77:77,C26,78:78)+100</f>
        <v>100</v>
      </c>
      <c r="I26" s="2151"/>
      <c r="J26" s="424">
        <f>SUMIF(77:77,I26,78:78)-SUMIF(77:77,C26,78:78)+100</f>
        <v>100</v>
      </c>
      <c r="K26" s="567"/>
      <c r="L26" s="2948"/>
      <c r="M26" s="2942"/>
      <c r="N26" s="2942"/>
      <c r="O26" s="3000"/>
      <c r="P26" s="3320" t="s">
        <v>2384</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21" t="s">
        <v>2384</v>
      </c>
      <c r="Z26" s="1538" t="str">
        <f t="shared" ref="Z26:Z34" si="15">Q26</f>
        <v>公共部分装修</v>
      </c>
      <c r="AA26" s="1535">
        <f t="shared" si="3"/>
        <v>1</v>
      </c>
      <c r="AB26" s="1535">
        <f t="shared" si="4"/>
        <v>1</v>
      </c>
      <c r="AC26" s="1535">
        <f t="shared" si="5"/>
        <v>1</v>
      </c>
    </row>
    <row r="27" spans="1:29" s="428" customFormat="1" ht="15">
      <c r="A27" s="425"/>
      <c r="B27" s="379" t="s">
        <v>2534</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7"/>
      <c r="M27" s="2949"/>
      <c r="N27" s="2949"/>
      <c r="O27" s="3001"/>
      <c r="P27" s="3321"/>
      <c r="Q27" s="714" t="str">
        <f t="shared" si="11"/>
        <v>成新率</v>
      </c>
      <c r="R27" s="715" t="s">
        <v>17</v>
      </c>
      <c r="S27" s="716" t="e">
        <f t="shared" si="12"/>
        <v>#N/A</v>
      </c>
      <c r="T27" s="715" t="s">
        <v>17</v>
      </c>
      <c r="U27" s="716" t="e">
        <f t="shared" si="13"/>
        <v>#N/A</v>
      </c>
      <c r="V27" s="715" t="s">
        <v>17</v>
      </c>
      <c r="W27" s="716" t="e">
        <f t="shared" si="14"/>
        <v>#N/A</v>
      </c>
      <c r="X27" s="717"/>
      <c r="Y27" s="3321"/>
      <c r="Z27" s="718" t="str">
        <f t="shared" si="15"/>
        <v>成新率</v>
      </c>
      <c r="AA27" s="1535" t="e">
        <f t="shared" si="3"/>
        <v>#N/A</v>
      </c>
      <c r="AB27" s="1535" t="e">
        <f t="shared" si="4"/>
        <v>#N/A</v>
      </c>
      <c r="AC27" s="1535" t="e">
        <f t="shared" si="5"/>
        <v>#N/A</v>
      </c>
    </row>
    <row r="28" spans="1:29" ht="15">
      <c r="A28" s="429"/>
      <c r="B28" s="379" t="s">
        <v>2535</v>
      </c>
      <c r="C28" s="417"/>
      <c r="D28" s="392">
        <v>100</v>
      </c>
      <c r="E28" s="417"/>
      <c r="F28" s="418">
        <f>SUMIF(82:82,E28,83:83)-SUMIF(82:82,C28,83:83)+100</f>
        <v>100</v>
      </c>
      <c r="G28" s="417"/>
      <c r="H28" s="392">
        <f>SUMIF(82:82,G28,83:83)-SUMIF(82:82,C28,83:83)+100</f>
        <v>100</v>
      </c>
      <c r="I28" s="417"/>
      <c r="J28" s="392">
        <f>SUMIF(82:82,I28,83:83)-SUMIF(82:82,C28,83:83)+100</f>
        <v>100</v>
      </c>
      <c r="K28" s="567"/>
      <c r="L28" s="2948"/>
      <c r="M28" s="2942"/>
      <c r="N28" s="2942"/>
      <c r="O28" s="3000"/>
      <c r="P28" s="3321"/>
      <c r="Q28" s="1534" t="str">
        <f t="shared" si="11"/>
        <v>物业等级</v>
      </c>
      <c r="R28" s="712" t="s">
        <v>17</v>
      </c>
      <c r="S28" s="713">
        <f t="shared" si="12"/>
        <v>100</v>
      </c>
      <c r="T28" s="712" t="s">
        <v>17</v>
      </c>
      <c r="U28" s="713">
        <f t="shared" si="13"/>
        <v>100</v>
      </c>
      <c r="V28" s="712" t="s">
        <v>17</v>
      </c>
      <c r="W28" s="713">
        <f t="shared" si="14"/>
        <v>100</v>
      </c>
      <c r="X28" s="1537"/>
      <c r="Y28" s="3321"/>
      <c r="Z28" s="1538" t="str">
        <f t="shared" si="15"/>
        <v>物业等级</v>
      </c>
      <c r="AA28" s="1535">
        <f t="shared" si="3"/>
        <v>1</v>
      </c>
      <c r="AB28" s="1535">
        <f t="shared" si="4"/>
        <v>1</v>
      </c>
      <c r="AC28" s="1535">
        <f t="shared" si="5"/>
        <v>1</v>
      </c>
    </row>
    <row r="29" spans="1:29" ht="15">
      <c r="A29" s="429"/>
      <c r="B29" s="379" t="s">
        <v>2556</v>
      </c>
      <c r="C29" s="611"/>
      <c r="D29" s="392">
        <v>100</v>
      </c>
      <c r="E29" s="611"/>
      <c r="F29" s="418">
        <f>SUMIF(84:84,E29,85:85)-SUMIF(84:84,C29,85:85)+100</f>
        <v>100</v>
      </c>
      <c r="G29" s="611"/>
      <c r="H29" s="392">
        <f>SUMIF(84:84,G29,85:85)-SUMIF(84:84,C29,85:85)+100</f>
        <v>100</v>
      </c>
      <c r="I29" s="611"/>
      <c r="J29" s="392">
        <f>SUMIF(84:84,I29,85:85)-SUMIF(84:84,C29,85:85)+100</f>
        <v>100</v>
      </c>
      <c r="K29" s="567"/>
      <c r="L29" s="2948"/>
      <c r="M29" s="2942"/>
      <c r="N29" s="2942"/>
      <c r="O29" s="3000"/>
      <c r="P29" s="3321"/>
      <c r="Q29" s="1534" t="str">
        <f t="shared" si="11"/>
        <v>有无电梯</v>
      </c>
      <c r="R29" s="712" t="s">
        <v>17</v>
      </c>
      <c r="S29" s="713">
        <f t="shared" si="12"/>
        <v>100</v>
      </c>
      <c r="T29" s="712" t="s">
        <v>17</v>
      </c>
      <c r="U29" s="713">
        <f t="shared" si="13"/>
        <v>100</v>
      </c>
      <c r="V29" s="712" t="s">
        <v>17</v>
      </c>
      <c r="W29" s="713">
        <f t="shared" si="14"/>
        <v>100</v>
      </c>
      <c r="X29" s="1537"/>
      <c r="Y29" s="3321"/>
      <c r="Z29" s="1538" t="str">
        <f t="shared" si="15"/>
        <v>有无电梯</v>
      </c>
      <c r="AA29" s="1535">
        <f t="shared" si="3"/>
        <v>1</v>
      </c>
      <c r="AB29" s="1535">
        <f t="shared" si="4"/>
        <v>1</v>
      </c>
      <c r="AC29" s="1535">
        <f t="shared" si="5"/>
        <v>1</v>
      </c>
    </row>
    <row r="30" spans="1:29" ht="15">
      <c r="A30" s="429"/>
      <c r="B30" s="379" t="s">
        <v>2557</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8"/>
      <c r="M30" s="2942"/>
      <c r="N30" s="2942"/>
      <c r="O30" s="3000"/>
      <c r="P30" s="3321"/>
      <c r="Q30" s="1534" t="str">
        <f t="shared" si="11"/>
        <v>建筑面积</v>
      </c>
      <c r="R30" s="712" t="s">
        <v>17</v>
      </c>
      <c r="S30" s="713" t="e">
        <f t="shared" si="12"/>
        <v>#N/A</v>
      </c>
      <c r="T30" s="712" t="s">
        <v>17</v>
      </c>
      <c r="U30" s="713" t="e">
        <f t="shared" si="13"/>
        <v>#N/A</v>
      </c>
      <c r="V30" s="712" t="s">
        <v>17</v>
      </c>
      <c r="W30" s="713" t="e">
        <f t="shared" si="14"/>
        <v>#N/A</v>
      </c>
      <c r="X30" s="1537"/>
      <c r="Y30" s="3321"/>
      <c r="Z30" s="1538" t="str">
        <f t="shared" si="15"/>
        <v>建筑面积</v>
      </c>
      <c r="AA30" s="1535" t="e">
        <f t="shared" si="3"/>
        <v>#N/A</v>
      </c>
      <c r="AB30" s="1535" t="e">
        <f t="shared" si="4"/>
        <v>#N/A</v>
      </c>
      <c r="AC30" s="1535" t="e">
        <f t="shared" si="5"/>
        <v>#N/A</v>
      </c>
    </row>
    <row r="31" spans="1:29" s="112" customFormat="1" ht="15">
      <c r="A31" s="430"/>
      <c r="B31" s="379" t="s">
        <v>2558</v>
      </c>
      <c r="C31" s="611"/>
      <c r="D31" s="130">
        <v>100</v>
      </c>
      <c r="E31" s="611"/>
      <c r="F31" s="418">
        <f>SUMIF(89:89,E31,90:90)-SUMIF(89:89,C31,90:90)+100</f>
        <v>100</v>
      </c>
      <c r="G31" s="611"/>
      <c r="H31" s="392">
        <f>SUMIF(89:89,G31,90:90)-SUMIF(89:89,C31,90:90)+100</f>
        <v>100</v>
      </c>
      <c r="I31" s="611"/>
      <c r="J31" s="392">
        <f>SUMIF(89:89,I31,90:90)-SUMIF(89:89,C31,90:90)+100</f>
        <v>100</v>
      </c>
      <c r="K31" s="567"/>
      <c r="L31" s="2943"/>
      <c r="M31" s="2944"/>
      <c r="N31" s="2944"/>
      <c r="O31" s="2998"/>
      <c r="P31" s="3321"/>
      <c r="Q31" s="1525" t="str">
        <f t="shared" si="11"/>
        <v>是否封闭</v>
      </c>
      <c r="R31" s="708" t="s">
        <v>17</v>
      </c>
      <c r="S31" s="709">
        <f t="shared" si="12"/>
        <v>100</v>
      </c>
      <c r="T31" s="708" t="s">
        <v>17</v>
      </c>
      <c r="U31" s="709">
        <f t="shared" si="13"/>
        <v>100</v>
      </c>
      <c r="V31" s="708" t="s">
        <v>17</v>
      </c>
      <c r="W31" s="709">
        <f t="shared" si="14"/>
        <v>100</v>
      </c>
      <c r="X31" s="710"/>
      <c r="Y31" s="3321"/>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8"/>
      <c r="M32" s="2942"/>
      <c r="N32" s="2942"/>
      <c r="O32" s="3000"/>
      <c r="P32" s="3321" t="s">
        <v>2384</v>
      </c>
      <c r="Q32" s="1534">
        <f t="shared" si="11"/>
        <v>111</v>
      </c>
      <c r="R32" s="712" t="s">
        <v>17</v>
      </c>
      <c r="S32" s="713">
        <f t="shared" si="12"/>
        <v>100</v>
      </c>
      <c r="T32" s="712" t="s">
        <v>17</v>
      </c>
      <c r="U32" s="713">
        <f t="shared" si="13"/>
        <v>100</v>
      </c>
      <c r="V32" s="712" t="s">
        <v>17</v>
      </c>
      <c r="W32" s="713">
        <f t="shared" si="14"/>
        <v>100</v>
      </c>
      <c r="X32" s="1537"/>
      <c r="Y32" s="3321" t="s">
        <v>2384</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8"/>
      <c r="M33" s="2942"/>
      <c r="N33" s="2942"/>
      <c r="O33" s="3000"/>
      <c r="P33" s="3321"/>
      <c r="Q33" s="1534">
        <f t="shared" si="11"/>
        <v>111</v>
      </c>
      <c r="R33" s="712" t="s">
        <v>17</v>
      </c>
      <c r="S33" s="713">
        <f t="shared" si="12"/>
        <v>100</v>
      </c>
      <c r="T33" s="712" t="s">
        <v>17</v>
      </c>
      <c r="U33" s="713">
        <f t="shared" si="13"/>
        <v>100</v>
      </c>
      <c r="V33" s="712" t="s">
        <v>17</v>
      </c>
      <c r="W33" s="713">
        <f t="shared" si="14"/>
        <v>100</v>
      </c>
      <c r="X33" s="1537"/>
      <c r="Y33" s="3321"/>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8"/>
      <c r="M34" s="2942"/>
      <c r="N34" s="2942"/>
      <c r="O34" s="3000"/>
      <c r="P34" s="3321"/>
      <c r="Q34" s="1534">
        <f t="shared" si="11"/>
        <v>111</v>
      </c>
      <c r="R34" s="712" t="s">
        <v>17</v>
      </c>
      <c r="S34" s="713">
        <f t="shared" si="12"/>
        <v>100</v>
      </c>
      <c r="T34" s="712" t="s">
        <v>17</v>
      </c>
      <c r="U34" s="713">
        <f t="shared" si="13"/>
        <v>100</v>
      </c>
      <c r="V34" s="712" t="s">
        <v>17</v>
      </c>
      <c r="W34" s="713">
        <f t="shared" si="14"/>
        <v>100</v>
      </c>
      <c r="X34" s="1537"/>
      <c r="Y34" s="3321"/>
      <c r="Z34" s="1538">
        <f t="shared" si="15"/>
        <v>111</v>
      </c>
      <c r="AA34" s="1535">
        <f t="shared" si="3"/>
        <v>1</v>
      </c>
      <c r="AB34" s="1535">
        <f t="shared" si="4"/>
        <v>1</v>
      </c>
      <c r="AC34" s="1535">
        <f t="shared" si="5"/>
        <v>1</v>
      </c>
    </row>
    <row r="35" spans="1:30" ht="15">
      <c r="A35" s="436" t="s">
        <v>2396</v>
      </c>
      <c r="B35" s="437"/>
      <c r="C35" s="1314" t="s">
        <v>1</v>
      </c>
      <c r="D35" s="1315"/>
      <c r="E35" s="1316"/>
      <c r="F35" s="1317"/>
      <c r="G35" s="1318"/>
      <c r="H35" s="1319"/>
      <c r="I35" s="1316"/>
      <c r="J35" s="1319"/>
      <c r="K35" s="721"/>
      <c r="L35" s="2950"/>
      <c r="M35" s="2951"/>
      <c r="N35" s="2942"/>
      <c r="O35" s="2951"/>
      <c r="P35" s="3316" t="str">
        <f>A35</f>
        <v>成交单价（元/平方米）</v>
      </c>
      <c r="Q35" s="3316"/>
      <c r="R35" s="3353">
        <f>E35</f>
        <v>0</v>
      </c>
      <c r="S35" s="3353"/>
      <c r="T35" s="3353">
        <f>G35</f>
        <v>0</v>
      </c>
      <c r="U35" s="3353"/>
      <c r="V35" s="3353">
        <f>I35</f>
        <v>0</v>
      </c>
      <c r="W35" s="3353"/>
      <c r="X35" s="697"/>
      <c r="Y35" s="719"/>
      <c r="Z35" s="697"/>
      <c r="AA35" s="697"/>
      <c r="AB35" s="697"/>
      <c r="AC35" s="697"/>
    </row>
    <row r="36" spans="1:30" ht="15.75" thickBot="1">
      <c r="A36" s="443" t="s">
        <v>2488</v>
      </c>
      <c r="B36" s="444"/>
      <c r="C36" s="1320" t="e">
        <f>R37</f>
        <v>#DIV/0!</v>
      </c>
      <c r="D36" s="2536" t="s">
        <v>2878</v>
      </c>
      <c r="E36" s="1321" t="e">
        <f>R36</f>
        <v>#DIV/0!</v>
      </c>
      <c r="F36" s="2537"/>
      <c r="G36" s="1320" t="e">
        <f>T36</f>
        <v>#DIV/0!</v>
      </c>
      <c r="H36" s="2537"/>
      <c r="I36" s="1321" t="e">
        <f>V36</f>
        <v>#DIV/0!</v>
      </c>
      <c r="J36" s="2537"/>
      <c r="K36" s="2539">
        <f>F36+H36+J36</f>
        <v>0</v>
      </c>
      <c r="L36" s="2950"/>
      <c r="M36" s="2951"/>
      <c r="N36" s="2942"/>
      <c r="O36" s="2951"/>
      <c r="P36" s="3316" t="str">
        <f>A36</f>
        <v>比较价值（元/平方米）</v>
      </c>
      <c r="Q36" s="3316"/>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7"/>
      <c r="Y36" s="697"/>
      <c r="Z36" s="697"/>
      <c r="AA36" s="697"/>
      <c r="AB36" s="697"/>
      <c r="AC36" s="697"/>
    </row>
    <row r="37" spans="1:30" ht="15.75" thickBot="1">
      <c r="A37" s="447" t="s">
        <v>2489</v>
      </c>
      <c r="B37" s="448"/>
      <c r="C37" s="1323" t="e">
        <f>R37</f>
        <v>#DIV/0!</v>
      </c>
      <c r="D37" s="1323"/>
      <c r="E37" s="1323"/>
      <c r="F37" s="1323"/>
      <c r="G37" s="1323"/>
      <c r="H37" s="1323"/>
      <c r="I37" s="1323"/>
      <c r="J37" s="1323"/>
      <c r="K37" s="722"/>
      <c r="L37" s="2950"/>
      <c r="M37" s="2951"/>
      <c r="N37" s="2951"/>
      <c r="O37" s="2951"/>
      <c r="P37" s="3310" t="str">
        <f>A37</f>
        <v>估价对象XX用房的比较价值（楼面单价，元/平方米）</v>
      </c>
      <c r="Q37" s="3311"/>
      <c r="R37" s="3405" t="e">
        <f>IF(F1="售价",ROUND(IF(D36="简单平均",AVERAGE(R36:W36),R36*F36+T36*H36+V36*J36),0),ROUND(IF(D36="简单平均",AVERAGE(R36:V36),R36*F36+T36*H36+V36*J36),1))</f>
        <v>#DIV/0!</v>
      </c>
      <c r="S37" s="3405"/>
      <c r="T37" s="3405"/>
      <c r="U37" s="3405"/>
      <c r="V37" s="3405"/>
      <c r="W37" s="3405"/>
      <c r="X37" s="697"/>
      <c r="Y37" s="697"/>
      <c r="Z37" s="697"/>
      <c r="AA37" s="697"/>
      <c r="AB37" s="697"/>
      <c r="AC37" s="697"/>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2" t="s">
        <v>2490</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2" t="s">
        <v>2491</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7" customFormat="1" ht="13.5" customHeight="1">
      <c r="A42" s="2954"/>
      <c r="B42" s="2954"/>
      <c r="C42" s="452" t="s">
        <v>2492</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7"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1" t="s">
        <v>2493</v>
      </c>
      <c r="B45" s="697"/>
      <c r="C45" s="702"/>
      <c r="D45" s="702"/>
      <c r="E45" s="702"/>
      <c r="F45" s="703"/>
      <c r="G45" s="703"/>
      <c r="H45" s="702"/>
      <c r="I45" s="702"/>
      <c r="J45" s="702"/>
      <c r="K45" s="704"/>
      <c r="L45" s="705"/>
      <c r="M45" s="702"/>
      <c r="N45" s="2995"/>
      <c r="O45" s="2995"/>
      <c r="P45" s="2995"/>
      <c r="Q45" s="2965"/>
      <c r="R45" s="2951"/>
      <c r="S45" s="2951"/>
      <c r="T45" s="2951"/>
      <c r="U45" s="2951"/>
      <c r="V45" s="2951"/>
      <c r="W45" s="2951"/>
      <c r="X45" s="2951"/>
      <c r="Y45" s="2951"/>
      <c r="Z45" s="2951"/>
      <c r="AA45" s="2951"/>
      <c r="AB45" s="2951"/>
      <c r="AC45" s="2951"/>
      <c r="AD45" s="2951"/>
    </row>
    <row r="46" spans="1:30" s="463" customFormat="1" ht="15">
      <c r="A46" s="460" t="s">
        <v>2367</v>
      </c>
      <c r="B46" s="461"/>
      <c r="C46" s="1344" t="str">
        <f>YEAR(C7)&amp;"-"&amp;MONTH(C7)</f>
        <v>2021-4</v>
      </c>
      <c r="D46" s="1345">
        <f>EDATE(C46,-1)</f>
        <v>44256</v>
      </c>
      <c r="E46" s="1345">
        <f t="shared" ref="E46:O46" si="16">EDATE(D46,-1)</f>
        <v>44228</v>
      </c>
      <c r="F46" s="1345">
        <f t="shared" si="16"/>
        <v>44197</v>
      </c>
      <c r="G46" s="1345">
        <f t="shared" si="16"/>
        <v>44166</v>
      </c>
      <c r="H46" s="1345">
        <f t="shared" si="16"/>
        <v>44136</v>
      </c>
      <c r="I46" s="1345">
        <f t="shared" si="16"/>
        <v>44105</v>
      </c>
      <c r="J46" s="1345">
        <f t="shared" si="16"/>
        <v>44075</v>
      </c>
      <c r="K46" s="1345">
        <f t="shared" si="16"/>
        <v>44044</v>
      </c>
      <c r="L46" s="1345">
        <f t="shared" si="16"/>
        <v>44013</v>
      </c>
      <c r="M46" s="1345">
        <f t="shared" si="16"/>
        <v>43983</v>
      </c>
      <c r="N46" s="1345">
        <f t="shared" si="16"/>
        <v>43952</v>
      </c>
      <c r="O46" s="1345">
        <f t="shared" si="16"/>
        <v>43922</v>
      </c>
      <c r="P46" s="3002"/>
      <c r="Q46" s="2967"/>
      <c r="R46" s="2967"/>
      <c r="S46" s="2967"/>
      <c r="T46" s="2967"/>
      <c r="U46" s="2967"/>
      <c r="V46" s="2967"/>
      <c r="W46" s="2967"/>
      <c r="X46" s="2967"/>
      <c r="Y46" s="2967"/>
      <c r="Z46" s="2967"/>
      <c r="AA46" s="2967"/>
      <c r="AB46" s="2967"/>
      <c r="AC46" s="2967"/>
      <c r="AD46" s="2967"/>
    </row>
    <row r="47" spans="1:30" s="112" customFormat="1" ht="15">
      <c r="A47" s="464"/>
      <c r="B47" s="465"/>
      <c r="C47" s="1343">
        <v>100</v>
      </c>
      <c r="D47" s="467"/>
      <c r="E47" s="467"/>
      <c r="F47" s="467"/>
      <c r="G47" s="467"/>
      <c r="H47" s="467"/>
      <c r="I47" s="467"/>
      <c r="J47" s="467"/>
      <c r="K47" s="467"/>
      <c r="L47" s="467"/>
      <c r="M47" s="468"/>
      <c r="N47" s="467"/>
      <c r="O47" s="469"/>
      <c r="P47" s="2965"/>
      <c r="Q47" s="2885"/>
      <c r="R47" s="2885"/>
      <c r="S47" s="2885"/>
      <c r="T47" s="2885"/>
      <c r="U47" s="2885"/>
      <c r="V47" s="2885"/>
      <c r="W47" s="2885"/>
      <c r="X47" s="2885"/>
      <c r="Y47" s="2885"/>
      <c r="Z47" s="2885"/>
      <c r="AA47" s="2885"/>
      <c r="AB47" s="2885"/>
      <c r="AC47" s="2885"/>
      <c r="AD47" s="2885"/>
    </row>
    <row r="48" spans="1:30" s="112" customFormat="1" ht="15.75" thickBot="1">
      <c r="A48" s="470" t="s">
        <v>2404</v>
      </c>
      <c r="B48" s="471"/>
      <c r="C48" s="472"/>
      <c r="D48" s="473"/>
      <c r="E48" s="473"/>
      <c r="F48" s="473"/>
      <c r="G48" s="473"/>
      <c r="H48" s="473"/>
      <c r="I48" s="473"/>
      <c r="J48" s="473"/>
      <c r="K48" s="473"/>
      <c r="L48" s="473"/>
      <c r="M48" s="474"/>
      <c r="N48" s="473"/>
      <c r="O48" s="475"/>
      <c r="P48" s="2965"/>
      <c r="Q48" s="2965"/>
      <c r="R48" s="2885"/>
      <c r="S48" s="2885"/>
      <c r="T48" s="2885"/>
      <c r="U48" s="2885"/>
      <c r="V48" s="2885"/>
      <c r="W48" s="2885"/>
      <c r="X48" s="2885"/>
      <c r="Y48" s="2885"/>
      <c r="Z48" s="2885"/>
      <c r="AA48" s="2885"/>
      <c r="AB48" s="2885"/>
      <c r="AC48" s="2885"/>
      <c r="AD48" s="2885"/>
    </row>
    <row r="49" spans="1:30" s="112" customFormat="1" ht="15">
      <c r="A49" s="476" t="s">
        <v>2369</v>
      </c>
      <c r="B49" s="465"/>
      <c r="C49" s="477" t="s">
        <v>2471</v>
      </c>
      <c r="D49" s="478"/>
      <c r="E49" s="478"/>
      <c r="F49" s="478"/>
      <c r="G49" s="478"/>
      <c r="H49" s="478"/>
      <c r="I49" s="478"/>
      <c r="J49" s="478"/>
      <c r="K49" s="478"/>
      <c r="L49" s="479"/>
      <c r="M49" s="480"/>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6"/>
      <c r="B50" s="465"/>
      <c r="C50" s="593">
        <v>100</v>
      </c>
      <c r="D50" s="467"/>
      <c r="E50" s="467"/>
      <c r="F50" s="467"/>
      <c r="G50" s="467"/>
      <c r="H50" s="467"/>
      <c r="I50" s="467"/>
      <c r="J50" s="467"/>
      <c r="K50" s="467"/>
      <c r="L50" s="467"/>
      <c r="M50" s="469"/>
      <c r="N50" s="2978"/>
      <c r="O50" s="2978"/>
      <c r="P50" s="2965"/>
      <c r="Q50" s="2965"/>
      <c r="R50" s="2885"/>
      <c r="S50" s="2885"/>
      <c r="T50" s="2885"/>
      <c r="U50" s="2885"/>
      <c r="V50" s="2885"/>
      <c r="W50" s="2885"/>
      <c r="X50" s="2885"/>
      <c r="Y50" s="2885"/>
      <c r="Z50" s="2885"/>
      <c r="AA50" s="2885"/>
      <c r="AB50" s="2885"/>
      <c r="AC50" s="2885"/>
      <c r="AD50" s="2885"/>
    </row>
    <row r="51" spans="1:30">
      <c r="A51" s="482" t="s">
        <v>2407</v>
      </c>
      <c r="B51" s="483" t="s">
        <v>2373</v>
      </c>
      <c r="C51" s="484">
        <f>C9</f>
        <v>0</v>
      </c>
      <c r="D51" s="485"/>
      <c r="E51" s="485"/>
      <c r="F51" s="485"/>
      <c r="G51" s="485"/>
      <c r="H51" s="485"/>
      <c r="I51" s="485"/>
      <c r="J51" s="485"/>
      <c r="K51" s="486"/>
      <c r="L51" s="487"/>
      <c r="M51" s="488"/>
      <c r="N51" s="2979"/>
      <c r="O51" s="2979"/>
      <c r="P51" s="3004"/>
      <c r="Q51" s="2965"/>
      <c r="R51" s="2951"/>
      <c r="S51" s="2951"/>
      <c r="T51" s="2951"/>
      <c r="U51" s="2951"/>
      <c r="V51" s="2951"/>
      <c r="W51" s="2951"/>
      <c r="X51" s="2951"/>
      <c r="Y51" s="2951"/>
      <c r="Z51" s="2951"/>
      <c r="AA51" s="2951"/>
      <c r="AB51" s="2951"/>
      <c r="AC51" s="2951"/>
      <c r="AD51" s="2951"/>
    </row>
    <row r="52" spans="1:30" ht="15.75" thickBot="1">
      <c r="A52" s="489"/>
      <c r="B52" s="490"/>
      <c r="C52" s="491">
        <v>100</v>
      </c>
      <c r="D52" s="491"/>
      <c r="E52" s="491"/>
      <c r="F52" s="491"/>
      <c r="G52" s="491"/>
      <c r="H52" s="491"/>
      <c r="I52" s="491"/>
      <c r="J52" s="491"/>
      <c r="K52" s="491"/>
      <c r="L52" s="491"/>
      <c r="M52" s="492"/>
      <c r="N52" s="2980"/>
      <c r="O52" s="2980"/>
      <c r="P52" s="3004"/>
      <c r="Q52" s="2965"/>
      <c r="R52" s="2951"/>
      <c r="S52" s="2951"/>
      <c r="T52" s="2951"/>
      <c r="U52" s="2951"/>
      <c r="V52" s="2951"/>
      <c r="W52" s="2951"/>
      <c r="X52" s="2951"/>
      <c r="Y52" s="2951"/>
      <c r="Z52" s="2951"/>
      <c r="AA52" s="2951"/>
      <c r="AB52" s="2951"/>
      <c r="AC52" s="2951"/>
      <c r="AD52" s="2951"/>
    </row>
    <row r="53" spans="1:30" ht="27.75" thickTop="1">
      <c r="A53" s="489"/>
      <c r="B53" s="493" t="s">
        <v>2376</v>
      </c>
      <c r="C53" s="494" t="s">
        <v>2408</v>
      </c>
      <c r="D53" s="494" t="s">
        <v>2409</v>
      </c>
      <c r="E53" s="494" t="s">
        <v>2410</v>
      </c>
      <c r="F53" s="494" t="s">
        <v>2411</v>
      </c>
      <c r="G53" s="494" t="s">
        <v>2412</v>
      </c>
      <c r="H53" s="494" t="s">
        <v>2413</v>
      </c>
      <c r="I53" s="494" t="s">
        <v>2414</v>
      </c>
      <c r="J53" s="494"/>
      <c r="K53" s="495"/>
      <c r="L53" s="496"/>
      <c r="M53" s="497"/>
      <c r="N53" s="2979"/>
      <c r="O53" s="2979"/>
      <c r="P53" s="3004"/>
      <c r="Q53" s="2965"/>
      <c r="R53" s="2951"/>
      <c r="S53" s="2951"/>
      <c r="T53" s="2951"/>
      <c r="U53" s="2951"/>
      <c r="V53" s="2951"/>
      <c r="W53" s="2951"/>
      <c r="X53" s="2951"/>
      <c r="Y53" s="2951"/>
      <c r="Z53" s="2951"/>
      <c r="AA53" s="2951"/>
      <c r="AB53" s="2951"/>
      <c r="AC53" s="2951"/>
      <c r="AD53" s="2951"/>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0"/>
      <c r="O54" s="2980"/>
      <c r="P54" s="3004"/>
      <c r="Q54" s="2965"/>
      <c r="R54" s="2951"/>
      <c r="S54" s="2951"/>
      <c r="T54" s="2951"/>
      <c r="U54" s="2951"/>
      <c r="V54" s="2951"/>
      <c r="W54" s="2951"/>
      <c r="X54" s="2951"/>
      <c r="Y54" s="2951"/>
      <c r="Z54" s="2951"/>
      <c r="AA54" s="2951"/>
      <c r="AB54" s="2951"/>
      <c r="AC54" s="2951"/>
      <c r="AD54" s="2951"/>
    </row>
    <row r="55" spans="1:30" ht="15.75" thickTop="1">
      <c r="A55" s="489"/>
      <c r="B55" s="614">
        <f>B11</f>
        <v>111</v>
      </c>
      <c r="C55" s="504"/>
      <c r="D55" s="504"/>
      <c r="E55" s="504"/>
      <c r="F55" s="504"/>
      <c r="G55" s="504"/>
      <c r="H55" s="504"/>
      <c r="I55" s="504"/>
      <c r="J55" s="504"/>
      <c r="K55" s="505"/>
      <c r="L55" s="506"/>
      <c r="M55" s="507"/>
      <c r="N55" s="2979"/>
      <c r="O55" s="2979"/>
      <c r="P55" s="3004"/>
      <c r="Q55" s="2965"/>
      <c r="R55" s="2951"/>
      <c r="S55" s="2951"/>
      <c r="T55" s="2951"/>
      <c r="U55" s="2951"/>
      <c r="V55" s="2951"/>
      <c r="W55" s="2951"/>
      <c r="X55" s="2951"/>
      <c r="Y55" s="2951"/>
      <c r="Z55" s="2951"/>
      <c r="AA55" s="2951"/>
      <c r="AB55" s="2951"/>
      <c r="AC55" s="2951"/>
      <c r="AD55" s="2951"/>
    </row>
    <row r="56" spans="1:30" ht="15.75" thickBot="1">
      <c r="A56" s="489"/>
      <c r="B56" s="490"/>
      <c r="C56" s="515"/>
      <c r="D56" s="491"/>
      <c r="E56" s="491"/>
      <c r="F56" s="491"/>
      <c r="G56" s="491"/>
      <c r="H56" s="491"/>
      <c r="I56" s="491"/>
      <c r="J56" s="491"/>
      <c r="K56" s="491"/>
      <c r="L56" s="491"/>
      <c r="M56" s="492"/>
      <c r="N56" s="2980"/>
      <c r="O56" s="2980"/>
      <c r="P56" s="3004"/>
      <c r="Q56" s="2965"/>
      <c r="R56" s="2951"/>
      <c r="S56" s="2951"/>
      <c r="T56" s="2951"/>
      <c r="U56" s="2951"/>
      <c r="V56" s="2951"/>
      <c r="W56" s="2951"/>
      <c r="X56" s="2951"/>
      <c r="Y56" s="2951"/>
      <c r="Z56" s="2951"/>
      <c r="AA56" s="2951"/>
      <c r="AB56" s="2951"/>
      <c r="AC56" s="2951"/>
      <c r="AD56" s="2951"/>
    </row>
    <row r="57" spans="1:30" s="428" customFormat="1" ht="15.75" thickTop="1">
      <c r="A57" s="508"/>
      <c r="B57" s="493">
        <f>B12</f>
        <v>111</v>
      </c>
      <c r="C57" s="504"/>
      <c r="D57" s="504"/>
      <c r="E57" s="504"/>
      <c r="F57" s="504"/>
      <c r="G57" s="509"/>
      <c r="H57" s="510"/>
      <c r="I57" s="510"/>
      <c r="J57" s="510"/>
      <c r="K57" s="510"/>
      <c r="L57" s="511"/>
      <c r="M57" s="512"/>
      <c r="N57" s="2981"/>
      <c r="O57" s="2981"/>
      <c r="P57" s="3005"/>
      <c r="Q57" s="2972"/>
      <c r="R57" s="2973"/>
      <c r="S57" s="2973"/>
      <c r="T57" s="2973"/>
      <c r="U57" s="2973"/>
      <c r="V57" s="2973"/>
      <c r="W57" s="2973"/>
      <c r="X57" s="2973"/>
      <c r="Y57" s="2973"/>
      <c r="Z57" s="2973"/>
      <c r="AA57" s="2973"/>
      <c r="AB57" s="2973"/>
      <c r="AC57" s="2973"/>
      <c r="AD57" s="2973"/>
    </row>
    <row r="58" spans="1:30" s="428" customFormat="1" ht="15.75" thickBot="1">
      <c r="A58" s="508"/>
      <c r="B58" s="498"/>
      <c r="C58" s="515"/>
      <c r="D58" s="491"/>
      <c r="E58" s="491"/>
      <c r="F58" s="491"/>
      <c r="G58" s="491"/>
      <c r="H58" s="491"/>
      <c r="I58" s="491"/>
      <c r="J58" s="491"/>
      <c r="K58" s="491"/>
      <c r="L58" s="491"/>
      <c r="M58" s="492"/>
      <c r="N58" s="2980"/>
      <c r="O58" s="2980"/>
      <c r="P58" s="3005"/>
      <c r="Q58" s="2972"/>
      <c r="R58" s="2973"/>
      <c r="S58" s="2973"/>
      <c r="T58" s="2973"/>
      <c r="U58" s="2973"/>
      <c r="V58" s="2973"/>
      <c r="W58" s="2973"/>
      <c r="X58" s="2973"/>
      <c r="Y58" s="2973"/>
      <c r="Z58" s="2973"/>
      <c r="AA58" s="2973"/>
      <c r="AB58" s="2973"/>
      <c r="AC58" s="2973"/>
      <c r="AD58" s="2973"/>
    </row>
    <row r="59" spans="1:30" s="428" customFormat="1" ht="15.75" thickTop="1">
      <c r="A59" s="508"/>
      <c r="B59" s="493">
        <f>B13</f>
        <v>111</v>
      </c>
      <c r="C59" s="504"/>
      <c r="D59" s="504"/>
      <c r="E59" s="504"/>
      <c r="F59" s="504"/>
      <c r="G59" s="509"/>
      <c r="H59" s="510"/>
      <c r="I59" s="510"/>
      <c r="J59" s="510"/>
      <c r="K59" s="510"/>
      <c r="L59" s="511"/>
      <c r="M59" s="512"/>
      <c r="N59" s="2981"/>
      <c r="O59" s="2981"/>
      <c r="P59" s="2949"/>
      <c r="Q59" s="2975"/>
      <c r="R59" s="2973"/>
      <c r="S59" s="2973"/>
      <c r="T59" s="2973"/>
      <c r="U59" s="2973"/>
      <c r="V59" s="2973"/>
      <c r="W59" s="2973"/>
      <c r="X59" s="2973"/>
      <c r="Y59" s="2973"/>
      <c r="Z59" s="2973"/>
      <c r="AA59" s="2973"/>
      <c r="AB59" s="2973"/>
      <c r="AC59" s="2973"/>
      <c r="AD59" s="2973"/>
    </row>
    <row r="60" spans="1:30" s="428" customFormat="1" ht="15.75" thickBot="1">
      <c r="A60" s="508"/>
      <c r="B60" s="498"/>
      <c r="C60" s="515"/>
      <c r="D60" s="515"/>
      <c r="E60" s="515"/>
      <c r="F60" s="515"/>
      <c r="G60" s="515"/>
      <c r="H60" s="517"/>
      <c r="I60" s="517"/>
      <c r="J60" s="517"/>
      <c r="K60" s="517"/>
      <c r="L60" s="517"/>
      <c r="M60" s="518"/>
      <c r="N60" s="2981"/>
      <c r="O60" s="2981"/>
      <c r="P60" s="3005"/>
      <c r="Q60" s="2972"/>
      <c r="R60" s="2973"/>
      <c r="S60" s="2973"/>
      <c r="T60" s="2973"/>
      <c r="U60" s="2973"/>
      <c r="V60" s="2973"/>
      <c r="W60" s="2973"/>
      <c r="X60" s="2973"/>
      <c r="Y60" s="2973"/>
      <c r="Z60" s="2973"/>
      <c r="AA60" s="2973"/>
      <c r="AB60" s="2973"/>
      <c r="AC60" s="2973"/>
      <c r="AD60" s="2973"/>
    </row>
    <row r="61" spans="1:30" ht="15" thickTop="1">
      <c r="A61" s="482" t="s">
        <v>2378</v>
      </c>
      <c r="B61" s="483" t="s">
        <v>2421</v>
      </c>
      <c r="C61" s="528" t="s">
        <v>2416</v>
      </c>
      <c r="D61" s="528" t="s">
        <v>2417</v>
      </c>
      <c r="E61" s="528" t="s">
        <v>2418</v>
      </c>
      <c r="F61" s="528" t="s">
        <v>2419</v>
      </c>
      <c r="G61" s="528" t="s">
        <v>2420</v>
      </c>
      <c r="H61" s="484"/>
      <c r="I61" s="484"/>
      <c r="J61" s="484"/>
      <c r="K61" s="529"/>
      <c r="L61" s="530"/>
      <c r="M61" s="531"/>
      <c r="N61" s="2979"/>
      <c r="O61" s="2979"/>
      <c r="P61" s="3006"/>
      <c r="Q61" s="2965"/>
      <c r="R61" s="2951"/>
      <c r="S61" s="2951"/>
      <c r="T61" s="2951"/>
      <c r="U61" s="2951"/>
      <c r="V61" s="2951"/>
      <c r="W61" s="2951"/>
      <c r="X61" s="2951"/>
      <c r="Y61" s="2951"/>
      <c r="Z61" s="2951"/>
      <c r="AA61" s="2951"/>
      <c r="AB61" s="2951"/>
      <c r="AC61" s="2951"/>
      <c r="AD61" s="2951"/>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0"/>
      <c r="O62" s="2980"/>
      <c r="P62" s="3004"/>
      <c r="Q62" s="2965"/>
      <c r="R62" s="2951"/>
      <c r="S62" s="2951"/>
      <c r="T62" s="2951"/>
      <c r="U62" s="2951"/>
      <c r="V62" s="2951"/>
      <c r="W62" s="2951"/>
      <c r="X62" s="2951"/>
      <c r="Y62" s="2951"/>
      <c r="Z62" s="2951"/>
      <c r="AA62" s="2951"/>
      <c r="AB62" s="2951"/>
      <c r="AC62" s="2951"/>
      <c r="AD62" s="2951"/>
    </row>
    <row r="63" spans="1:30" ht="27.75" thickTop="1">
      <c r="A63" s="489"/>
      <c r="B63" s="493" t="s">
        <v>2559</v>
      </c>
      <c r="C63" s="533" t="s">
        <v>2416</v>
      </c>
      <c r="D63" s="533" t="s">
        <v>2417</v>
      </c>
      <c r="E63" s="533" t="s">
        <v>2418</v>
      </c>
      <c r="F63" s="533" t="s">
        <v>2419</v>
      </c>
      <c r="G63" s="533" t="s">
        <v>2420</v>
      </c>
      <c r="H63" s="494"/>
      <c r="I63" s="494"/>
      <c r="J63" s="494"/>
      <c r="K63" s="495"/>
      <c r="L63" s="496"/>
      <c r="M63" s="497"/>
      <c r="N63" s="2979"/>
      <c r="O63" s="2979"/>
      <c r="P63" s="3004"/>
      <c r="Q63" s="2965"/>
      <c r="R63" s="2951"/>
      <c r="S63" s="2951"/>
      <c r="T63" s="2951"/>
      <c r="U63" s="2951"/>
      <c r="V63" s="2951"/>
      <c r="W63" s="2951"/>
      <c r="X63" s="2951"/>
      <c r="Y63" s="2951"/>
      <c r="Z63" s="2951"/>
      <c r="AA63" s="2951"/>
      <c r="AB63" s="2951"/>
      <c r="AC63" s="2951"/>
      <c r="AD63" s="2951"/>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0"/>
      <c r="O64" s="2980"/>
      <c r="P64" s="3004"/>
      <c r="Q64" s="2965"/>
      <c r="R64" s="2951"/>
      <c r="S64" s="2951"/>
      <c r="T64" s="2951"/>
      <c r="U64" s="2951"/>
      <c r="V64" s="2951"/>
      <c r="W64" s="2951"/>
      <c r="X64" s="2951"/>
      <c r="Y64" s="2951"/>
      <c r="Z64" s="2951"/>
      <c r="AA64" s="2951"/>
      <c r="AB64" s="2951"/>
      <c r="AC64" s="2951"/>
      <c r="AD64" s="2951"/>
    </row>
    <row r="65" spans="1:30" ht="15.75" thickTop="1">
      <c r="A65" s="489"/>
      <c r="B65" s="501" t="s">
        <v>2508</v>
      </c>
      <c r="C65" s="614" t="s">
        <v>2494</v>
      </c>
      <c r="D65" s="614" t="s">
        <v>2495</v>
      </c>
      <c r="E65" s="614" t="s">
        <v>2496</v>
      </c>
      <c r="F65" s="614" t="s">
        <v>2497</v>
      </c>
      <c r="G65" s="614" t="s">
        <v>2498</v>
      </c>
      <c r="H65" s="494"/>
      <c r="I65" s="494"/>
      <c r="J65" s="494"/>
      <c r="K65" s="494"/>
      <c r="L65" s="494"/>
      <c r="M65" s="1289"/>
      <c r="N65" s="2980"/>
      <c r="O65" s="2980"/>
      <c r="P65" s="3004"/>
      <c r="Q65" s="2965"/>
      <c r="R65" s="2951"/>
      <c r="S65" s="2951"/>
      <c r="T65" s="2951"/>
      <c r="U65" s="2951"/>
      <c r="V65" s="2951"/>
      <c r="W65" s="2951"/>
      <c r="X65" s="2951"/>
      <c r="Y65" s="2951"/>
      <c r="Z65" s="2951"/>
      <c r="AA65" s="2951"/>
      <c r="AB65" s="2951"/>
      <c r="AC65" s="2951"/>
      <c r="AD65" s="2951"/>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0"/>
      <c r="O66" s="2980"/>
      <c r="P66" s="3004"/>
      <c r="Q66" s="2965"/>
      <c r="R66" s="2951"/>
      <c r="S66" s="2951"/>
      <c r="T66" s="2951"/>
      <c r="U66" s="2951"/>
      <c r="V66" s="2951"/>
      <c r="W66" s="2951"/>
      <c r="X66" s="2951"/>
      <c r="Y66" s="2951"/>
      <c r="Z66" s="2951"/>
      <c r="AA66" s="2951"/>
      <c r="AB66" s="2951"/>
      <c r="AC66" s="2951"/>
      <c r="AD66" s="2951"/>
    </row>
    <row r="67" spans="1:30" ht="15.75" thickTop="1">
      <c r="A67" s="489"/>
      <c r="B67" s="493" t="s">
        <v>2428</v>
      </c>
      <c r="C67" s="533" t="s">
        <v>2416</v>
      </c>
      <c r="D67" s="533" t="s">
        <v>2417</v>
      </c>
      <c r="E67" s="533" t="s">
        <v>2418</v>
      </c>
      <c r="F67" s="533" t="s">
        <v>2419</v>
      </c>
      <c r="G67" s="533" t="s">
        <v>2420</v>
      </c>
      <c r="H67" s="494"/>
      <c r="I67" s="494"/>
      <c r="J67" s="494"/>
      <c r="K67" s="495"/>
      <c r="L67" s="496"/>
      <c r="M67" s="497"/>
      <c r="N67" s="2979"/>
      <c r="O67" s="2979"/>
      <c r="P67" s="3004"/>
      <c r="Q67" s="2965"/>
      <c r="R67" s="2951"/>
      <c r="S67" s="2951"/>
      <c r="T67" s="2951"/>
      <c r="U67" s="2951"/>
      <c r="V67" s="2951"/>
      <c r="W67" s="2951"/>
      <c r="X67" s="2951"/>
      <c r="Y67" s="2951"/>
      <c r="Z67" s="2951"/>
      <c r="AA67" s="2951"/>
      <c r="AB67" s="2951"/>
      <c r="AC67" s="2951"/>
      <c r="AD67" s="2951"/>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0"/>
      <c r="O68" s="2980"/>
      <c r="P68" s="3004"/>
      <c r="Q68" s="2965"/>
      <c r="R68" s="2951"/>
      <c r="S68" s="2951"/>
      <c r="T68" s="2951"/>
      <c r="U68" s="2951"/>
      <c r="V68" s="2951"/>
      <c r="W68" s="2951"/>
      <c r="X68" s="2951"/>
      <c r="Y68" s="2951"/>
      <c r="Z68" s="2951"/>
      <c r="AA68" s="2951"/>
      <c r="AB68" s="2951"/>
      <c r="AC68" s="2951"/>
      <c r="AD68" s="2951"/>
    </row>
    <row r="69" spans="1:30" ht="15.75" thickTop="1">
      <c r="A69" s="489"/>
      <c r="B69" s="493" t="s">
        <v>2548</v>
      </c>
      <c r="C69" s="509"/>
      <c r="D69" s="509"/>
      <c r="E69" s="509"/>
      <c r="F69" s="509"/>
      <c r="G69" s="509"/>
      <c r="H69" s="538"/>
      <c r="I69" s="538"/>
      <c r="J69" s="538"/>
      <c r="K69" s="539"/>
      <c r="L69" s="540"/>
      <c r="M69" s="541"/>
      <c r="N69" s="2979"/>
      <c r="O69" s="2979"/>
      <c r="P69" s="3004"/>
      <c r="Q69" s="2965"/>
      <c r="R69" s="2951"/>
      <c r="S69" s="2951"/>
      <c r="T69" s="2951"/>
      <c r="U69" s="2951"/>
      <c r="V69" s="2951"/>
      <c r="W69" s="2951"/>
      <c r="X69" s="2951"/>
      <c r="Y69" s="2951"/>
      <c r="Z69" s="2951"/>
      <c r="AA69" s="2951"/>
      <c r="AB69" s="2951"/>
      <c r="AC69" s="2951"/>
      <c r="AD69" s="2951"/>
    </row>
    <row r="70" spans="1:30" ht="15.75" thickBot="1">
      <c r="A70" s="489"/>
      <c r="B70" s="498"/>
      <c r="C70" s="499">
        <v>100</v>
      </c>
      <c r="D70" s="499">
        <f>C70-$K22</f>
        <v>100</v>
      </c>
      <c r="E70" s="499"/>
      <c r="F70" s="499"/>
      <c r="G70" s="499"/>
      <c r="H70" s="499"/>
      <c r="I70" s="499"/>
      <c r="J70" s="499"/>
      <c r="K70" s="499"/>
      <c r="L70" s="499"/>
      <c r="M70" s="500"/>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4"/>
      <c r="B71" s="493">
        <f>B23</f>
        <v>111</v>
      </c>
      <c r="C71" s="504"/>
      <c r="D71" s="504"/>
      <c r="E71" s="504"/>
      <c r="F71" s="504"/>
      <c r="G71" s="509"/>
      <c r="H71" s="509"/>
      <c r="I71" s="509"/>
      <c r="J71" s="509"/>
      <c r="K71" s="509"/>
      <c r="L71" s="535"/>
      <c r="M71" s="536"/>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4"/>
      <c r="B72" s="498"/>
      <c r="C72" s="515"/>
      <c r="D72" s="491"/>
      <c r="E72" s="491"/>
      <c r="F72" s="491"/>
      <c r="G72" s="491"/>
      <c r="H72" s="491"/>
      <c r="I72" s="491"/>
      <c r="J72" s="491"/>
      <c r="K72" s="491"/>
      <c r="L72" s="491"/>
      <c r="M72" s="492"/>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4"/>
      <c r="B73" s="493">
        <f>B24</f>
        <v>111</v>
      </c>
      <c r="C73" s="504"/>
      <c r="D73" s="504"/>
      <c r="E73" s="504"/>
      <c r="F73" s="504"/>
      <c r="G73" s="509"/>
      <c r="H73" s="509"/>
      <c r="I73" s="509"/>
      <c r="J73" s="509"/>
      <c r="K73" s="509"/>
      <c r="L73" s="509"/>
      <c r="M73" s="536"/>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4"/>
      <c r="B74" s="498"/>
      <c r="C74" s="515"/>
      <c r="D74" s="491"/>
      <c r="E74" s="491"/>
      <c r="F74" s="491"/>
      <c r="G74" s="491"/>
      <c r="H74" s="491"/>
      <c r="I74" s="491"/>
      <c r="J74" s="491"/>
      <c r="K74" s="491"/>
      <c r="L74" s="491"/>
      <c r="M74" s="492"/>
      <c r="N74" s="2980"/>
      <c r="O74" s="2980"/>
      <c r="P74" s="3004"/>
      <c r="Q74" s="2965"/>
      <c r="R74" s="2885"/>
      <c r="S74" s="2885"/>
      <c r="T74" s="2885"/>
      <c r="U74" s="2885"/>
      <c r="V74" s="2885"/>
      <c r="W74" s="2885"/>
      <c r="X74" s="2885"/>
      <c r="Y74" s="2885"/>
      <c r="Z74" s="2885"/>
      <c r="AA74" s="2885"/>
      <c r="AB74" s="2885"/>
      <c r="AC74" s="2885"/>
      <c r="AD74" s="2885"/>
    </row>
    <row r="75" spans="1:30" s="428" customFormat="1" ht="15.75" thickTop="1">
      <c r="A75" s="508"/>
      <c r="B75" s="493">
        <f>B25</f>
        <v>111</v>
      </c>
      <c r="C75" s="504"/>
      <c r="D75" s="504"/>
      <c r="E75" s="504"/>
      <c r="F75" s="504"/>
      <c r="G75" s="509"/>
      <c r="H75" s="510"/>
      <c r="I75" s="510"/>
      <c r="J75" s="510"/>
      <c r="K75" s="510"/>
      <c r="L75" s="511"/>
      <c r="M75" s="512"/>
      <c r="N75" s="2981"/>
      <c r="O75" s="2981"/>
      <c r="P75" s="3005"/>
      <c r="Q75" s="2972"/>
      <c r="R75" s="2973"/>
      <c r="S75" s="2973"/>
      <c r="T75" s="2973"/>
      <c r="U75" s="2973"/>
      <c r="V75" s="2973"/>
      <c r="W75" s="2973"/>
      <c r="X75" s="2973"/>
      <c r="Y75" s="2973"/>
      <c r="Z75" s="2973"/>
      <c r="AA75" s="2973"/>
      <c r="AB75" s="2973"/>
      <c r="AC75" s="2973"/>
      <c r="AD75" s="2973"/>
    </row>
    <row r="76" spans="1:30" s="428" customFormat="1" ht="15.75" thickBot="1">
      <c r="A76" s="508"/>
      <c r="B76" s="498"/>
      <c r="C76" s="515"/>
      <c r="D76" s="515"/>
      <c r="E76" s="515"/>
      <c r="F76" s="515"/>
      <c r="G76" s="491"/>
      <c r="H76" s="491"/>
      <c r="I76" s="491"/>
      <c r="J76" s="491"/>
      <c r="K76" s="491"/>
      <c r="L76" s="491"/>
      <c r="M76" s="492"/>
      <c r="N76" s="2981"/>
      <c r="O76" s="2981"/>
      <c r="P76" s="3005"/>
      <c r="Q76" s="2972"/>
      <c r="R76" s="2973"/>
      <c r="S76" s="2973"/>
      <c r="T76" s="2973"/>
      <c r="U76" s="2973"/>
      <c r="V76" s="2973"/>
      <c r="W76" s="2973"/>
      <c r="X76" s="2973"/>
      <c r="Y76" s="2973"/>
      <c r="Z76" s="2973"/>
      <c r="AA76" s="2973"/>
      <c r="AB76" s="2973"/>
      <c r="AC76" s="2973"/>
      <c r="AD76" s="2973"/>
    </row>
    <row r="77" spans="1:30" ht="15" thickTop="1">
      <c r="A77" s="482" t="s">
        <v>2382</v>
      </c>
      <c r="B77" s="483" t="s">
        <v>2435</v>
      </c>
      <c r="C77" s="509"/>
      <c r="D77" s="509"/>
      <c r="E77" s="485"/>
      <c r="F77" s="485"/>
      <c r="G77" s="485"/>
      <c r="H77" s="485"/>
      <c r="I77" s="485"/>
      <c r="J77" s="485"/>
      <c r="K77" s="486"/>
      <c r="L77" s="487"/>
      <c r="M77" s="488"/>
      <c r="N77" s="2979"/>
      <c r="O77" s="2979"/>
      <c r="P77" s="3004"/>
      <c r="Q77" s="2965"/>
      <c r="R77" s="2951"/>
      <c r="S77" s="2951"/>
      <c r="T77" s="2951"/>
      <c r="U77" s="2951"/>
      <c r="V77" s="2951"/>
      <c r="W77" s="2951"/>
      <c r="X77" s="2951"/>
      <c r="Y77" s="2951"/>
      <c r="Z77" s="2951"/>
      <c r="AA77" s="2951"/>
      <c r="AB77" s="2951"/>
      <c r="AC77" s="2951"/>
      <c r="AD77" s="2951"/>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9"/>
      <c r="B79" s="493" t="s">
        <v>2551</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8"/>
      <c r="O79" s="2978"/>
      <c r="P79" s="3004"/>
      <c r="Q79" s="2965"/>
      <c r="R79" s="2951"/>
      <c r="S79" s="2951"/>
      <c r="T79" s="2951"/>
      <c r="U79" s="2951"/>
      <c r="V79" s="2951"/>
      <c r="W79" s="2951"/>
      <c r="X79" s="2951"/>
      <c r="Y79" s="2951"/>
      <c r="Z79" s="2951"/>
      <c r="AA79" s="2951"/>
      <c r="AB79" s="2951"/>
      <c r="AC79" s="2951"/>
      <c r="AD79" s="2951"/>
    </row>
    <row r="80" spans="1:30" ht="15">
      <c r="A80" s="489"/>
      <c r="B80" s="501"/>
      <c r="C80" s="558">
        <v>0.5</v>
      </c>
      <c r="D80" s="558">
        <v>0.6</v>
      </c>
      <c r="E80" s="558">
        <v>0.7</v>
      </c>
      <c r="F80" s="558">
        <v>0.8</v>
      </c>
      <c r="G80" s="558">
        <v>0.9</v>
      </c>
      <c r="H80" s="558">
        <v>1.0001</v>
      </c>
      <c r="I80" s="614"/>
      <c r="J80" s="614"/>
      <c r="K80" s="622"/>
      <c r="L80" s="623"/>
      <c r="M80" s="624"/>
      <c r="N80" s="2978"/>
      <c r="O80" s="2978"/>
      <c r="P80" s="3004"/>
      <c r="Q80" s="2965"/>
      <c r="R80" s="2951"/>
      <c r="S80" s="2951"/>
      <c r="T80" s="2951"/>
      <c r="U80" s="2951"/>
      <c r="V80" s="2951"/>
      <c r="W80" s="2951"/>
      <c r="X80" s="2951"/>
      <c r="Y80" s="2951"/>
      <c r="Z80" s="2951"/>
      <c r="AA80" s="2951"/>
      <c r="AB80" s="2951"/>
      <c r="AC80" s="2951"/>
      <c r="AD80" s="2951"/>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4"/>
      <c r="B82" s="501" t="s">
        <v>2552</v>
      </c>
      <c r="C82" s="509"/>
      <c r="D82" s="509"/>
      <c r="E82" s="538"/>
      <c r="F82" s="538"/>
      <c r="G82" s="538"/>
      <c r="H82" s="538"/>
      <c r="I82" s="538"/>
      <c r="J82" s="538"/>
      <c r="K82" s="539"/>
      <c r="L82" s="540"/>
      <c r="M82" s="541"/>
      <c r="N82" s="2979"/>
      <c r="O82" s="2979"/>
      <c r="P82" s="3004"/>
      <c r="Q82" s="2965"/>
      <c r="R82" s="2951"/>
      <c r="S82" s="2951"/>
      <c r="T82" s="2951"/>
      <c r="U82" s="2951"/>
      <c r="V82" s="2951"/>
      <c r="W82" s="2951"/>
      <c r="X82" s="2951"/>
      <c r="Y82" s="2951"/>
      <c r="Z82" s="2951"/>
      <c r="AA82" s="2951"/>
      <c r="AB82" s="2951"/>
      <c r="AC82" s="2951"/>
      <c r="AD82" s="2951"/>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4"/>
      <c r="B84" s="493" t="s">
        <v>2560</v>
      </c>
      <c r="C84" s="509"/>
      <c r="D84" s="509"/>
      <c r="E84" s="509"/>
      <c r="F84" s="509"/>
      <c r="G84" s="509"/>
      <c r="H84" s="509"/>
      <c r="I84" s="538"/>
      <c r="J84" s="538"/>
      <c r="K84" s="539"/>
      <c r="L84" s="540"/>
      <c r="M84" s="541"/>
      <c r="N84" s="2979"/>
      <c r="O84" s="2979"/>
      <c r="P84" s="3004"/>
      <c r="Q84" s="2965"/>
      <c r="R84" s="2951"/>
      <c r="S84" s="2951"/>
      <c r="T84" s="2951"/>
      <c r="U84" s="2951"/>
      <c r="V84" s="2951"/>
      <c r="W84" s="2951"/>
      <c r="X84" s="2951"/>
      <c r="Y84" s="2951"/>
      <c r="Z84" s="2951"/>
      <c r="AA84" s="2951"/>
      <c r="AB84" s="2951"/>
      <c r="AC84" s="2951"/>
      <c r="AD84" s="2951"/>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4"/>
      <c r="B86" s="501" t="s">
        <v>2561</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4"/>
      <c r="B87" s="501"/>
      <c r="C87" s="550"/>
      <c r="D87" s="550"/>
      <c r="E87" s="550"/>
      <c r="F87" s="550"/>
      <c r="G87" s="550"/>
      <c r="H87" s="550"/>
      <c r="I87" s="550"/>
      <c r="J87" s="551"/>
      <c r="K87" s="551"/>
      <c r="L87" s="552"/>
      <c r="M87" s="553"/>
      <c r="N87" s="2979"/>
      <c r="O87" s="2979"/>
      <c r="P87" s="3004"/>
      <c r="Q87" s="2965"/>
      <c r="R87" s="2951"/>
      <c r="S87" s="2951"/>
      <c r="T87" s="2951"/>
      <c r="U87" s="2951"/>
      <c r="V87" s="2951"/>
      <c r="W87" s="2951"/>
      <c r="X87" s="2951"/>
      <c r="Y87" s="2951"/>
      <c r="Z87" s="2951"/>
      <c r="AA87" s="2951"/>
      <c r="AB87" s="2951"/>
      <c r="AC87" s="2951"/>
      <c r="AD87" s="2951"/>
    </row>
    <row r="88" spans="1:30" ht="15.75" thickBot="1">
      <c r="A88" s="489"/>
      <c r="B88" s="498"/>
      <c r="C88" s="515"/>
      <c r="D88" s="491"/>
      <c r="E88" s="491"/>
      <c r="F88" s="491"/>
      <c r="G88" s="491"/>
      <c r="H88" s="491"/>
      <c r="I88" s="491"/>
      <c r="J88" s="491"/>
      <c r="K88" s="491"/>
      <c r="L88" s="491"/>
      <c r="M88" s="491"/>
      <c r="N88" s="2980"/>
      <c r="O88" s="2980"/>
      <c r="P88" s="3004"/>
      <c r="Q88" s="2965"/>
      <c r="R88" s="2951"/>
      <c r="S88" s="2951"/>
      <c r="T88" s="2951"/>
      <c r="U88" s="2951"/>
      <c r="V88" s="2951"/>
      <c r="W88" s="2951"/>
      <c r="X88" s="2951"/>
      <c r="Y88" s="2951"/>
      <c r="Z88" s="2951"/>
      <c r="AA88" s="2951"/>
      <c r="AB88" s="2951"/>
      <c r="AC88" s="2951"/>
      <c r="AD88" s="2951"/>
    </row>
    <row r="89" spans="1:30" s="428" customFormat="1" ht="15" thickTop="1">
      <c r="A89" s="548"/>
      <c r="B89" s="493" t="s">
        <v>2562</v>
      </c>
      <c r="C89" s="509"/>
      <c r="D89" s="509"/>
      <c r="E89" s="509"/>
      <c r="F89" s="509"/>
      <c r="G89" s="509"/>
      <c r="H89" s="509"/>
      <c r="I89" s="509"/>
      <c r="J89" s="509"/>
      <c r="K89" s="509"/>
      <c r="L89" s="509"/>
      <c r="M89" s="536"/>
      <c r="N89" s="2981"/>
      <c r="O89" s="2981"/>
      <c r="P89" s="3005"/>
      <c r="Q89" s="2972"/>
      <c r="R89" s="2973"/>
      <c r="S89" s="2973"/>
      <c r="T89" s="2973"/>
      <c r="U89" s="2973"/>
      <c r="V89" s="2973"/>
      <c r="W89" s="2973"/>
      <c r="X89" s="2973"/>
      <c r="Y89" s="2973"/>
      <c r="Z89" s="2973"/>
      <c r="AA89" s="2973"/>
      <c r="AB89" s="2973"/>
      <c r="AC89" s="2973"/>
      <c r="AD89" s="2973"/>
    </row>
    <row r="90" spans="1:30" s="428" customFormat="1" ht="15.75" thickBot="1">
      <c r="A90" s="508"/>
      <c r="B90" s="498"/>
      <c r="C90" s="515"/>
      <c r="D90" s="491"/>
      <c r="E90" s="491"/>
      <c r="F90" s="491"/>
      <c r="G90" s="491"/>
      <c r="H90" s="491"/>
      <c r="I90" s="491"/>
      <c r="J90" s="491"/>
      <c r="K90" s="491"/>
      <c r="L90" s="491"/>
      <c r="M90" s="492"/>
      <c r="N90" s="2981"/>
      <c r="O90" s="2981"/>
      <c r="P90" s="3005"/>
      <c r="Q90" s="2972"/>
      <c r="R90" s="2973"/>
      <c r="S90" s="2973"/>
      <c r="T90" s="2973"/>
      <c r="U90" s="2973"/>
      <c r="V90" s="2973"/>
      <c r="W90" s="2973"/>
      <c r="X90" s="2973"/>
      <c r="Y90" s="2973"/>
      <c r="Z90" s="2973"/>
      <c r="AA90" s="2973"/>
      <c r="AB90" s="2973"/>
      <c r="AC90" s="2973"/>
      <c r="AD90" s="2973"/>
    </row>
    <row r="91" spans="1:30" ht="15" thickTop="1">
      <c r="A91" s="554"/>
      <c r="B91" s="493">
        <f>B32</f>
        <v>111</v>
      </c>
      <c r="C91" s="504"/>
      <c r="D91" s="504"/>
      <c r="E91" s="504"/>
      <c r="F91" s="504"/>
      <c r="G91" s="509"/>
      <c r="H91" s="510"/>
      <c r="I91" s="510"/>
      <c r="J91" s="510"/>
      <c r="K91" s="510"/>
      <c r="L91" s="511"/>
      <c r="M91" s="512"/>
      <c r="N91" s="2979"/>
      <c r="O91" s="2979"/>
      <c r="P91" s="3004"/>
      <c r="Q91" s="2965"/>
      <c r="R91" s="2951"/>
      <c r="S91" s="2951"/>
      <c r="T91" s="2951"/>
      <c r="U91" s="2951"/>
      <c r="V91" s="2951"/>
      <c r="W91" s="2951"/>
      <c r="X91" s="2951"/>
      <c r="Y91" s="2951"/>
      <c r="Z91" s="2951"/>
      <c r="AA91" s="2951"/>
      <c r="AB91" s="2951"/>
      <c r="AC91" s="2951"/>
      <c r="AD91" s="2951"/>
    </row>
    <row r="92" spans="1:30" ht="15.75" thickBot="1">
      <c r="A92" s="489"/>
      <c r="B92" s="498"/>
      <c r="C92" s="515"/>
      <c r="D92" s="491"/>
      <c r="E92" s="491"/>
      <c r="F92" s="491"/>
      <c r="G92" s="515"/>
      <c r="H92" s="517"/>
      <c r="I92" s="517"/>
      <c r="J92" s="517"/>
      <c r="K92" s="517"/>
      <c r="L92" s="517"/>
      <c r="M92" s="518"/>
      <c r="N92" s="2980"/>
      <c r="O92" s="2980"/>
      <c r="P92" s="3004"/>
      <c r="Q92" s="2965"/>
      <c r="R92" s="2951"/>
      <c r="S92" s="2951"/>
      <c r="T92" s="2951"/>
      <c r="U92" s="2951"/>
      <c r="V92" s="2951"/>
      <c r="W92" s="2951"/>
      <c r="X92" s="2951"/>
      <c r="Y92" s="2951"/>
      <c r="Z92" s="2951"/>
      <c r="AA92" s="2951"/>
      <c r="AB92" s="2951"/>
      <c r="AC92" s="2951"/>
      <c r="AD92" s="2951"/>
    </row>
    <row r="93" spans="1:30" ht="15" thickTop="1">
      <c r="A93" s="554"/>
      <c r="B93" s="493">
        <f>B33</f>
        <v>111</v>
      </c>
      <c r="C93" s="504"/>
      <c r="D93" s="504"/>
      <c r="E93" s="504"/>
      <c r="F93" s="504"/>
      <c r="G93" s="509"/>
      <c r="H93" s="510"/>
      <c r="I93" s="510"/>
      <c r="J93" s="510"/>
      <c r="K93" s="510"/>
      <c r="L93" s="511"/>
      <c r="M93" s="512"/>
      <c r="N93" s="2979"/>
      <c r="O93" s="2979"/>
      <c r="P93" s="3004"/>
      <c r="Q93" s="2965"/>
      <c r="R93" s="2951"/>
      <c r="S93" s="2951"/>
      <c r="T93" s="2951"/>
      <c r="U93" s="2951"/>
      <c r="V93" s="2951"/>
      <c r="W93" s="2951"/>
      <c r="X93" s="2951"/>
      <c r="Y93" s="2951"/>
      <c r="Z93" s="2951"/>
      <c r="AA93" s="2951"/>
      <c r="AB93" s="2951"/>
      <c r="AC93" s="2951"/>
      <c r="AD93" s="2951"/>
    </row>
    <row r="94" spans="1:30" ht="15.75" thickBot="1">
      <c r="A94" s="489"/>
      <c r="B94" s="498"/>
      <c r="C94" s="515"/>
      <c r="D94" s="491"/>
      <c r="E94" s="491"/>
      <c r="F94" s="491"/>
      <c r="G94" s="515"/>
      <c r="H94" s="517"/>
      <c r="I94" s="517"/>
      <c r="J94" s="517"/>
      <c r="K94" s="517"/>
      <c r="L94" s="517"/>
      <c r="M94" s="518"/>
      <c r="N94" s="2980"/>
      <c r="O94" s="2980"/>
      <c r="P94" s="3004"/>
      <c r="Q94" s="2965"/>
      <c r="R94" s="2951"/>
      <c r="S94" s="2951"/>
      <c r="T94" s="2951"/>
      <c r="U94" s="2951"/>
      <c r="V94" s="2951"/>
      <c r="W94" s="2951"/>
      <c r="X94" s="2951"/>
      <c r="Y94" s="2951"/>
      <c r="Z94" s="2951"/>
      <c r="AA94" s="2951"/>
      <c r="AB94" s="2951"/>
      <c r="AC94" s="2951"/>
      <c r="AD94" s="2951"/>
    </row>
    <row r="95" spans="1:30" ht="15" thickTop="1">
      <c r="A95" s="554"/>
      <c r="B95" s="590">
        <f>B34</f>
        <v>111</v>
      </c>
      <c r="C95" s="504"/>
      <c r="D95" s="504"/>
      <c r="E95" s="504"/>
      <c r="F95" s="504"/>
      <c r="G95" s="509"/>
      <c r="H95" s="510"/>
      <c r="I95" s="510"/>
      <c r="J95" s="510"/>
      <c r="K95" s="510"/>
      <c r="L95" s="511"/>
      <c r="M95" s="512"/>
      <c r="N95" s="2980"/>
      <c r="O95" s="2980"/>
      <c r="P95" s="3007"/>
      <c r="Q95" s="2994"/>
      <c r="R95" s="2951"/>
      <c r="S95" s="2951"/>
      <c r="T95" s="2951"/>
      <c r="U95" s="2951"/>
      <c r="V95" s="2951"/>
      <c r="W95" s="2951"/>
      <c r="X95" s="2951"/>
      <c r="Y95" s="2951"/>
      <c r="Z95" s="2951"/>
      <c r="AA95" s="2951"/>
      <c r="AB95" s="2951"/>
      <c r="AC95" s="2951"/>
      <c r="AD95" s="2951"/>
    </row>
    <row r="96" spans="1:30" ht="15.75" thickBot="1">
      <c r="A96" s="489"/>
      <c r="B96" s="498"/>
      <c r="C96" s="515"/>
      <c r="D96" s="515"/>
      <c r="E96" s="515"/>
      <c r="F96" s="515"/>
      <c r="G96" s="515"/>
      <c r="H96" s="517"/>
      <c r="I96" s="517"/>
      <c r="J96" s="517"/>
      <c r="K96" s="517"/>
      <c r="L96" s="517"/>
      <c r="M96" s="518"/>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5"/>
      <c r="B98" s="1065"/>
      <c r="C98" s="1065"/>
      <c r="D98" s="1065"/>
      <c r="E98" s="1065"/>
      <c r="F98" s="1065"/>
      <c r="G98" s="1065"/>
      <c r="H98" s="1065"/>
      <c r="I98" s="1065"/>
      <c r="J98" s="1065"/>
      <c r="K98" s="1066"/>
      <c r="L98" s="1067"/>
      <c r="M98" s="1065"/>
      <c r="N98" s="2951"/>
      <c r="O98" s="2951"/>
      <c r="P98" s="2951"/>
      <c r="Q98" s="2951"/>
      <c r="R98" s="2951"/>
      <c r="S98" s="2951"/>
      <c r="T98" s="2951"/>
      <c r="U98" s="2951"/>
      <c r="V98" s="2951"/>
      <c r="W98" s="2951"/>
      <c r="X98" s="2951"/>
      <c r="Y98" s="2951"/>
      <c r="Z98" s="2951"/>
      <c r="AA98" s="2951"/>
      <c r="AB98" s="2951"/>
      <c r="AC98" s="2951"/>
      <c r="AD98" s="2951"/>
    </row>
    <row r="99" spans="1:30">
      <c r="A99" s="1065"/>
      <c r="B99" s="1065"/>
      <c r="C99" s="1065"/>
      <c r="D99" s="1065"/>
      <c r="E99" s="1065"/>
      <c r="F99" s="1065"/>
      <c r="G99" s="1065"/>
      <c r="H99" s="1065"/>
      <c r="I99" s="1065"/>
      <c r="J99" s="1065"/>
      <c r="K99" s="1066"/>
      <c r="L99" s="1067"/>
      <c r="M99" s="1065"/>
      <c r="N99" s="2951"/>
      <c r="O99" s="2951"/>
      <c r="P99" s="2951"/>
      <c r="Q99" s="2951"/>
      <c r="R99" s="2951"/>
      <c r="S99" s="2951"/>
      <c r="T99" s="2951"/>
      <c r="U99" s="2951"/>
      <c r="V99" s="2951"/>
      <c r="W99" s="2951"/>
      <c r="X99" s="2951"/>
      <c r="Y99" s="2951"/>
      <c r="Z99" s="2951"/>
      <c r="AA99" s="2951"/>
      <c r="AB99" s="2951"/>
      <c r="AC99" s="2951"/>
      <c r="AD99" s="2951"/>
    </row>
    <row r="100" spans="1:30">
      <c r="A100" s="1065"/>
      <c r="B100" s="1065"/>
      <c r="C100" s="1065"/>
      <c r="D100" s="1065"/>
      <c r="E100" s="1065"/>
      <c r="F100" s="1065"/>
      <c r="G100" s="1065"/>
      <c r="H100" s="1065"/>
      <c r="I100" s="1065"/>
      <c r="J100" s="1065"/>
      <c r="K100" s="1066"/>
      <c r="L100" s="1067"/>
      <c r="M100" s="1065"/>
      <c r="N100" s="2951"/>
      <c r="O100" s="2951"/>
      <c r="P100" s="2951"/>
      <c r="Q100" s="2951"/>
      <c r="R100" s="2951"/>
      <c r="S100" s="2951"/>
      <c r="T100" s="2951"/>
      <c r="U100" s="2951"/>
      <c r="V100" s="2951"/>
      <c r="W100" s="2951"/>
      <c r="X100" s="2951"/>
      <c r="Y100" s="2951"/>
      <c r="Z100" s="2951"/>
      <c r="AA100" s="2951"/>
      <c r="AB100" s="2951"/>
      <c r="AC100" s="2951"/>
      <c r="AD100" s="2951"/>
    </row>
    <row r="101" spans="1:30">
      <c r="A101" s="1065"/>
      <c r="B101" s="1065"/>
      <c r="C101" s="1065"/>
      <c r="D101" s="1065"/>
      <c r="E101" s="1065"/>
      <c r="F101" s="1065"/>
      <c r="G101" s="1065"/>
      <c r="H101" s="1065"/>
      <c r="I101" s="1065"/>
      <c r="J101" s="1065"/>
      <c r="K101" s="1066"/>
      <c r="L101" s="1067"/>
      <c r="M101" s="1065"/>
      <c r="N101" s="2951"/>
      <c r="O101" s="2951"/>
      <c r="P101" s="2951"/>
      <c r="Q101" s="2951"/>
      <c r="R101" s="2951"/>
      <c r="S101" s="2951"/>
      <c r="T101" s="2951"/>
      <c r="U101" s="2951"/>
      <c r="V101" s="2951"/>
      <c r="W101" s="2951"/>
      <c r="X101" s="2951"/>
      <c r="Y101" s="2951"/>
      <c r="Z101" s="2951"/>
      <c r="AA101" s="2951"/>
      <c r="AB101" s="2951"/>
      <c r="AC101" s="2951"/>
      <c r="AD101" s="2951"/>
    </row>
    <row r="102" spans="1:30">
      <c r="A102" s="1065"/>
      <c r="B102" s="1065"/>
      <c r="C102" s="1065"/>
      <c r="D102" s="1065"/>
      <c r="E102" s="1065"/>
      <c r="F102" s="1065"/>
      <c r="G102" s="1065"/>
      <c r="H102" s="1065"/>
      <c r="I102" s="1065"/>
      <c r="J102" s="1065"/>
      <c r="K102" s="1066"/>
      <c r="L102" s="1067"/>
      <c r="M102" s="1065"/>
      <c r="N102" s="2951"/>
      <c r="O102" s="2951"/>
      <c r="P102" s="2951"/>
      <c r="Q102" s="2951"/>
      <c r="R102" s="2951"/>
      <c r="S102" s="2951"/>
      <c r="T102" s="2951"/>
      <c r="U102" s="2951"/>
      <c r="V102" s="2951"/>
      <c r="W102" s="2951"/>
      <c r="X102" s="2951"/>
      <c r="Y102" s="2951"/>
      <c r="Z102" s="2951"/>
      <c r="AA102" s="2951"/>
      <c r="AB102" s="2951"/>
      <c r="AC102" s="2951"/>
      <c r="AD102" s="2951"/>
    </row>
    <row r="103" spans="1:30">
      <c r="A103" s="1065"/>
      <c r="B103" s="1065"/>
      <c r="C103" s="1065"/>
      <c r="D103" s="1065"/>
      <c r="E103" s="1065"/>
      <c r="F103" s="1065"/>
      <c r="G103" s="1065"/>
      <c r="H103" s="1065"/>
      <c r="I103" s="1065"/>
      <c r="J103" s="1065"/>
      <c r="K103" s="1066"/>
      <c r="L103" s="1067"/>
      <c r="M103" s="1065"/>
      <c r="N103" s="1065"/>
      <c r="O103" s="1065"/>
      <c r="P103" s="2951"/>
      <c r="Q103" s="2951"/>
      <c r="R103" s="2951"/>
      <c r="S103" s="2951"/>
      <c r="T103" s="2951"/>
      <c r="U103" s="2951"/>
      <c r="V103" s="2951"/>
      <c r="W103" s="2951"/>
      <c r="X103" s="2951"/>
      <c r="Y103" s="2951"/>
      <c r="Z103" s="2951"/>
      <c r="AA103" s="2951"/>
      <c r="AB103" s="2951"/>
      <c r="AC103" s="2951"/>
      <c r="AD103" s="2951"/>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70" zoomScaleNormal="60" zoomScaleSheetLayoutView="7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2563</v>
      </c>
      <c r="B1" s="353"/>
      <c r="C1" s="354" t="s">
        <v>2615</v>
      </c>
      <c r="D1" s="693"/>
      <c r="E1" s="693"/>
      <c r="F1" s="692" t="s">
        <v>2462</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2149</v>
      </c>
      <c r="B2" s="625" t="e">
        <f>F61</f>
        <v>#DIV/0!</v>
      </c>
      <c r="C2" s="1037"/>
      <c r="D2" s="1037"/>
      <c r="E2" s="1037"/>
      <c r="F2" s="1038"/>
      <c r="G2" s="1037"/>
      <c r="H2" s="1037"/>
      <c r="I2" s="1037"/>
      <c r="J2" s="1037"/>
      <c r="K2" s="1039"/>
      <c r="L2" s="2960"/>
      <c r="M2" s="2961"/>
      <c r="N2" s="2961"/>
      <c r="O2" s="2961"/>
      <c r="P2" s="706"/>
      <c r="Q2" s="706"/>
      <c r="R2" s="706"/>
      <c r="S2" s="706"/>
      <c r="T2" s="706"/>
      <c r="U2" s="706"/>
      <c r="V2" s="706"/>
      <c r="W2" s="706"/>
      <c r="X2" s="706"/>
      <c r="Y2" s="706"/>
      <c r="Z2" s="706"/>
      <c r="AA2" s="706"/>
      <c r="AB2" s="706"/>
      <c r="AC2" s="707"/>
    </row>
    <row r="3" spans="1:29" s="356" customFormat="1" ht="28.5" customHeight="1" thickBot="1">
      <c r="A3" s="207" t="s">
        <v>2151</v>
      </c>
      <c r="B3" s="564" t="e">
        <f>ROUND(IF(D3="",B2*10000/'数据-汇总表'!E3,B2*10000/D3),0)</f>
        <v>#DIV/0!</v>
      </c>
      <c r="C3" s="207" t="s">
        <v>2565</v>
      </c>
      <c r="D3" s="1353"/>
      <c r="E3" s="1037"/>
      <c r="F3" s="1038"/>
      <c r="G3" s="1037"/>
      <c r="H3" s="1037"/>
      <c r="I3" s="1037"/>
      <c r="J3" s="1037"/>
      <c r="K3" s="1039"/>
      <c r="L3" s="2960"/>
      <c r="M3" s="2961"/>
      <c r="N3" s="2961"/>
      <c r="O3" s="2961"/>
      <c r="P3" s="706"/>
      <c r="Q3" s="706"/>
      <c r="R3" s="706"/>
      <c r="S3" s="706"/>
      <c r="T3" s="706"/>
      <c r="U3" s="706"/>
      <c r="V3" s="706"/>
      <c r="W3" s="706"/>
      <c r="X3" s="706"/>
      <c r="Y3" s="706"/>
      <c r="Z3" s="706"/>
      <c r="AA3" s="706"/>
      <c r="AB3" s="723"/>
      <c r="AC3" s="720"/>
    </row>
    <row r="4" spans="1:29" ht="15">
      <c r="A4" s="359" t="s">
        <v>2464</v>
      </c>
      <c r="B4" s="360"/>
      <c r="C4" s="3313" t="s">
        <v>2465</v>
      </c>
      <c r="D4" s="3326"/>
      <c r="E4" s="3327" t="s">
        <v>2466</v>
      </c>
      <c r="F4" s="3328"/>
      <c r="G4" s="3313" t="s">
        <v>2467</v>
      </c>
      <c r="H4" s="3326"/>
      <c r="I4" s="3313" t="s">
        <v>2468</v>
      </c>
      <c r="J4" s="3326"/>
      <c r="K4" s="565" t="s">
        <v>2469</v>
      </c>
      <c r="L4" s="2941"/>
      <c r="M4" s="2942"/>
      <c r="N4" s="2942"/>
      <c r="O4" s="2942"/>
      <c r="P4" s="3329" t="s">
        <v>2470</v>
      </c>
      <c r="Q4" s="3330"/>
      <c r="R4" s="3335" t="s">
        <v>2466</v>
      </c>
      <c r="S4" s="3336"/>
      <c r="T4" s="3335" t="s">
        <v>2467</v>
      </c>
      <c r="U4" s="3336"/>
      <c r="V4" s="3322" t="s">
        <v>2468</v>
      </c>
      <c r="W4" s="3322"/>
      <c r="X4" s="1537"/>
      <c r="Y4" s="3335" t="s">
        <v>2470</v>
      </c>
      <c r="Z4" s="3336"/>
      <c r="AA4" s="3323" t="s">
        <v>2466</v>
      </c>
      <c r="AB4" s="3324" t="s">
        <v>2467</v>
      </c>
      <c r="AC4" s="3323" t="s">
        <v>2468</v>
      </c>
    </row>
    <row r="5" spans="1:29" ht="15">
      <c r="A5" s="362"/>
      <c r="B5" s="363"/>
      <c r="C5" s="3343" t="s">
        <v>2361</v>
      </c>
      <c r="D5" s="3344"/>
      <c r="E5" s="3350" t="s">
        <v>2362</v>
      </c>
      <c r="F5" s="3351"/>
      <c r="G5" s="3343" t="s">
        <v>2363</v>
      </c>
      <c r="H5" s="3344"/>
      <c r="I5" s="3343" t="s">
        <v>2364</v>
      </c>
      <c r="J5" s="3344"/>
      <c r="K5" s="565"/>
      <c r="L5" s="2941"/>
      <c r="M5" s="2942"/>
      <c r="N5" s="2942"/>
      <c r="O5" s="2942"/>
      <c r="P5" s="3331"/>
      <c r="Q5" s="3332"/>
      <c r="R5" s="3337"/>
      <c r="S5" s="3338"/>
      <c r="T5" s="3337"/>
      <c r="U5" s="3338"/>
      <c r="V5" s="3322"/>
      <c r="W5" s="3322"/>
      <c r="X5" s="1537"/>
      <c r="Y5" s="3337"/>
      <c r="Z5" s="3338"/>
      <c r="AA5" s="3324"/>
      <c r="AB5" s="3324"/>
      <c r="AC5" s="3324"/>
    </row>
    <row r="6" spans="1:29" ht="15.75" thickBot="1">
      <c r="A6" s="364"/>
      <c r="B6" s="365"/>
      <c r="C6" s="3406" t="s">
        <v>2616</v>
      </c>
      <c r="D6" s="3407"/>
      <c r="E6" s="3408" t="s">
        <v>2616</v>
      </c>
      <c r="F6" s="3409"/>
      <c r="G6" s="3406" t="s">
        <v>2616</v>
      </c>
      <c r="H6" s="3407"/>
      <c r="I6" s="3406" t="s">
        <v>2616</v>
      </c>
      <c r="J6" s="3407"/>
      <c r="K6" s="565" t="s">
        <v>2366</v>
      </c>
      <c r="L6" s="2941"/>
      <c r="M6" s="2942"/>
      <c r="N6" s="2942"/>
      <c r="O6" s="2942"/>
      <c r="P6" s="3333"/>
      <c r="Q6" s="3334"/>
      <c r="R6" s="3337"/>
      <c r="S6" s="3338"/>
      <c r="T6" s="3339"/>
      <c r="U6" s="3340"/>
      <c r="V6" s="3322"/>
      <c r="W6" s="3322"/>
      <c r="X6" s="1537"/>
      <c r="Y6" s="3339"/>
      <c r="Z6" s="3340"/>
      <c r="AA6" s="3325"/>
      <c r="AB6" s="3325"/>
      <c r="AC6" s="3325"/>
    </row>
    <row r="7" spans="1:29" s="112" customFormat="1" ht="15.75" thickBot="1">
      <c r="A7" s="366" t="s">
        <v>2367</v>
      </c>
      <c r="B7" s="367"/>
      <c r="C7" s="368">
        <f>'数据-取费表'!B2</f>
        <v>44311</v>
      </c>
      <c r="D7" s="369">
        <v>100</v>
      </c>
      <c r="E7" s="370"/>
      <c r="F7" s="371">
        <f>SUMIF(65:65,YEAR(E7)&amp;"-"&amp;INT((MONTH(E7)+2)/3),66:66)</f>
        <v>0</v>
      </c>
      <c r="G7" s="2158"/>
      <c r="H7" s="369">
        <f>SUMIF(65:65,YEAR(G7)&amp;"-"&amp;INT((MONTH(G7)+2)/3),66:66)</f>
        <v>0</v>
      </c>
      <c r="I7" s="2158"/>
      <c r="J7" s="369">
        <f>SUMIF(65:65,YEAR(I7)&amp;"-"&amp;INT((MONTH(I7)+2)/3),66:66)</f>
        <v>0</v>
      </c>
      <c r="K7" s="566"/>
      <c r="L7" s="2943"/>
      <c r="M7" s="2944"/>
      <c r="N7" s="2944"/>
      <c r="O7" s="2944"/>
      <c r="P7" s="3345" t="s">
        <v>2368</v>
      </c>
      <c r="Q7" s="3347"/>
      <c r="R7" s="708" t="s">
        <v>17</v>
      </c>
      <c r="S7" s="709">
        <f t="shared" ref="S7:S15" si="0">F7</f>
        <v>0</v>
      </c>
      <c r="T7" s="708" t="s">
        <v>17</v>
      </c>
      <c r="U7" s="709">
        <f t="shared" ref="U7:U15" si="1">H7</f>
        <v>0</v>
      </c>
      <c r="V7" s="708" t="s">
        <v>17</v>
      </c>
      <c r="W7" s="709">
        <f t="shared" ref="W7:W15" si="2">J7</f>
        <v>0</v>
      </c>
      <c r="X7" s="710"/>
      <c r="Y7" s="3345" t="s">
        <v>2368</v>
      </c>
      <c r="Z7" s="3346"/>
      <c r="AA7" s="711" t="e">
        <f>D7/F7</f>
        <v>#DIV/0!</v>
      </c>
      <c r="AB7" s="711" t="e">
        <f>D7/H7</f>
        <v>#DIV/0!</v>
      </c>
      <c r="AC7" s="711" t="e">
        <f>D7/J7</f>
        <v>#DIV/0!</v>
      </c>
    </row>
    <row r="8" spans="1:29" s="112" customFormat="1" ht="15.75" thickBot="1">
      <c r="A8" s="366" t="s">
        <v>2369</v>
      </c>
      <c r="B8" s="367"/>
      <c r="C8" s="372" t="s">
        <v>2370</v>
      </c>
      <c r="D8" s="369">
        <v>100</v>
      </c>
      <c r="E8" s="372"/>
      <c r="F8" s="371">
        <f>SUMIF(68:68,E8,69:69)-SUMIF(68:68,C8,69:69)+100</f>
        <v>0</v>
      </c>
      <c r="G8" s="372"/>
      <c r="H8" s="369">
        <f>SUMIF(68:68,G8,69:69)-SUMIF(68:68,C8,69:69)+100</f>
        <v>0</v>
      </c>
      <c r="I8" s="372"/>
      <c r="J8" s="369">
        <f>SUMIF(68:68,I8,69:69)-SUMIF(68:68,C8,69:69)+100</f>
        <v>0</v>
      </c>
      <c r="K8" s="566"/>
      <c r="L8" s="2943"/>
      <c r="M8" s="2944"/>
      <c r="N8" s="2944"/>
      <c r="O8" s="2944"/>
      <c r="P8" s="3345" t="s">
        <v>2371</v>
      </c>
      <c r="Q8" s="3346"/>
      <c r="R8" s="708" t="s">
        <v>17</v>
      </c>
      <c r="S8" s="709">
        <f t="shared" si="0"/>
        <v>0</v>
      </c>
      <c r="T8" s="708" t="s">
        <v>17</v>
      </c>
      <c r="U8" s="709">
        <f t="shared" si="1"/>
        <v>0</v>
      </c>
      <c r="V8" s="708" t="s">
        <v>17</v>
      </c>
      <c r="W8" s="709">
        <f t="shared" si="2"/>
        <v>0</v>
      </c>
      <c r="X8" s="710"/>
      <c r="Y8" s="3345" t="s">
        <v>2371</v>
      </c>
      <c r="Z8" s="3346"/>
      <c r="AA8" s="711" t="e">
        <f t="shared" ref="AA8:AA40" si="3">D8/F8</f>
        <v>#DIV/0!</v>
      </c>
      <c r="AB8" s="711" t="e">
        <f t="shared" ref="AB8:AB40" si="4">D8/H8</f>
        <v>#DIV/0!</v>
      </c>
      <c r="AC8" s="711" t="e">
        <f t="shared" ref="AC8:AC40" si="5">D8/J8</f>
        <v>#DIV/0!</v>
      </c>
    </row>
    <row r="9" spans="1:29" s="112" customFormat="1">
      <c r="A9" s="373" t="s">
        <v>2372</v>
      </c>
      <c r="B9" s="67" t="s">
        <v>2373</v>
      </c>
      <c r="C9" s="2161"/>
      <c r="D9" s="129">
        <v>100</v>
      </c>
      <c r="E9" s="2161"/>
      <c r="F9" s="129">
        <f>SUMIF(70:70,E9,71:71)-SUMIF(70:70,C9,71:71)+100</f>
        <v>100</v>
      </c>
      <c r="G9" s="2161"/>
      <c r="H9" s="129">
        <f>SUMIF(70:70,G9,71:71)-SUMIF(70:70,C9,71:71)+100</f>
        <v>100</v>
      </c>
      <c r="I9" s="2161"/>
      <c r="J9" s="129">
        <f>SUMIF(70:70,I9,71:71)-SUMIF(70:70,C9,71:71)+100</f>
        <v>100</v>
      </c>
      <c r="K9" s="566"/>
      <c r="L9" s="2943"/>
      <c r="M9" s="2944"/>
      <c r="N9" s="2944"/>
      <c r="O9" s="2998"/>
      <c r="P9" s="3316" t="s">
        <v>2374</v>
      </c>
      <c r="Q9" s="1525" t="str">
        <f t="shared" ref="Q9:Q15" si="6">B9</f>
        <v>用途</v>
      </c>
      <c r="R9" s="708" t="s">
        <v>17</v>
      </c>
      <c r="S9" s="709">
        <f t="shared" si="0"/>
        <v>100</v>
      </c>
      <c r="T9" s="708" t="s">
        <v>17</v>
      </c>
      <c r="U9" s="709">
        <f t="shared" si="1"/>
        <v>100</v>
      </c>
      <c r="V9" s="708" t="s">
        <v>17</v>
      </c>
      <c r="W9" s="709">
        <f t="shared" si="2"/>
        <v>100</v>
      </c>
      <c r="X9" s="710"/>
      <c r="Y9" s="3210" t="s">
        <v>2375</v>
      </c>
      <c r="Z9" s="55" t="str">
        <f t="shared" ref="Z9:Z15" si="7">Q9</f>
        <v>用途</v>
      </c>
      <c r="AA9" s="711">
        <f t="shared" si="3"/>
        <v>1</v>
      </c>
      <c r="AB9" s="711">
        <f t="shared" si="4"/>
        <v>1</v>
      </c>
      <c r="AC9" s="711">
        <f t="shared" si="5"/>
        <v>1</v>
      </c>
    </row>
    <row r="10" spans="1:29" s="384" customFormat="1" ht="27">
      <c r="A10" s="378"/>
      <c r="B10" s="379" t="s">
        <v>2376</v>
      </c>
      <c r="C10" s="389"/>
      <c r="D10" s="130">
        <v>100</v>
      </c>
      <c r="E10" s="389"/>
      <c r="F10" s="130">
        <f>ROUND(100/'数据-取费表'!G16,0)</f>
        <v>100</v>
      </c>
      <c r="G10" s="389"/>
      <c r="H10" s="130">
        <f>ROUND(100/'数据-取费表'!G16,0)</f>
        <v>100</v>
      </c>
      <c r="I10" s="389"/>
      <c r="J10" s="130">
        <f>ROUND(100/'数据-取费表'!G16,0)</f>
        <v>100</v>
      </c>
      <c r="K10" s="626"/>
      <c r="L10" s="2945"/>
      <c r="M10" s="2946"/>
      <c r="N10" s="2946"/>
      <c r="O10" s="2999"/>
      <c r="P10" s="3316"/>
      <c r="Q10" s="1525" t="str">
        <f t="shared" si="6"/>
        <v>土地使用年限（年）</v>
      </c>
      <c r="R10" s="708" t="s">
        <v>17</v>
      </c>
      <c r="S10" s="709">
        <f t="shared" si="0"/>
        <v>100</v>
      </c>
      <c r="T10" s="708" t="s">
        <v>17</v>
      </c>
      <c r="U10" s="709">
        <f t="shared" si="1"/>
        <v>100</v>
      </c>
      <c r="V10" s="708" t="s">
        <v>17</v>
      </c>
      <c r="W10" s="709">
        <f t="shared" si="2"/>
        <v>100</v>
      </c>
      <c r="X10" s="710"/>
      <c r="Y10" s="3210"/>
      <c r="Z10" s="55" t="str">
        <f t="shared" si="7"/>
        <v>土地使用年限（年）</v>
      </c>
      <c r="AA10" s="711">
        <f t="shared" si="3"/>
        <v>1</v>
      </c>
      <c r="AB10" s="711">
        <f t="shared" si="4"/>
        <v>1</v>
      </c>
      <c r="AC10" s="711">
        <f t="shared" si="5"/>
        <v>1</v>
      </c>
    </row>
    <row r="11" spans="1:29" ht="15">
      <c r="A11" s="385"/>
      <c r="B11" s="379" t="s">
        <v>2377</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7"/>
      <c r="M11" s="2942"/>
      <c r="N11" s="2942"/>
      <c r="O11" s="3000"/>
      <c r="P11" s="3316"/>
      <c r="Q11" s="1525" t="str">
        <f t="shared" si="6"/>
        <v>容积率</v>
      </c>
      <c r="R11" s="708" t="s">
        <v>17</v>
      </c>
      <c r="S11" s="709" t="e">
        <f t="shared" si="0"/>
        <v>#N/A</v>
      </c>
      <c r="T11" s="708" t="s">
        <v>17</v>
      </c>
      <c r="U11" s="709" t="e">
        <f t="shared" si="1"/>
        <v>#N/A</v>
      </c>
      <c r="V11" s="708" t="s">
        <v>17</v>
      </c>
      <c r="W11" s="709" t="e">
        <f t="shared" si="2"/>
        <v>#N/A</v>
      </c>
      <c r="X11" s="710"/>
      <c r="Y11" s="3210"/>
      <c r="Z11" s="55" t="str">
        <f t="shared" si="7"/>
        <v>容积率</v>
      </c>
      <c r="AA11" s="711" t="e">
        <f t="shared" si="3"/>
        <v>#N/A</v>
      </c>
      <c r="AB11" s="711" t="e">
        <f t="shared" si="4"/>
        <v>#N/A</v>
      </c>
      <c r="AC11" s="711" t="e">
        <f t="shared" si="5"/>
        <v>#N/A</v>
      </c>
    </row>
    <row r="12" spans="1:29" s="112"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3"/>
      <c r="M12" s="2944"/>
      <c r="N12" s="2944"/>
      <c r="O12" s="2998"/>
      <c r="P12" s="3316"/>
      <c r="Q12" s="1525">
        <f t="shared" si="6"/>
        <v>111</v>
      </c>
      <c r="R12" s="708" t="s">
        <v>17</v>
      </c>
      <c r="S12" s="709">
        <f t="shared" si="0"/>
        <v>100</v>
      </c>
      <c r="T12" s="708" t="s">
        <v>17</v>
      </c>
      <c r="U12" s="709">
        <f t="shared" si="1"/>
        <v>100</v>
      </c>
      <c r="V12" s="708" t="s">
        <v>17</v>
      </c>
      <c r="W12" s="709">
        <f t="shared" si="2"/>
        <v>100</v>
      </c>
      <c r="X12" s="710"/>
      <c r="Y12" s="3210"/>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8"/>
      <c r="M13" s="2942"/>
      <c r="N13" s="2942"/>
      <c r="O13" s="3000"/>
      <c r="P13" s="3316"/>
      <c r="Q13" s="1525">
        <f t="shared" si="6"/>
        <v>111</v>
      </c>
      <c r="R13" s="708" t="s">
        <v>17</v>
      </c>
      <c r="S13" s="709">
        <f t="shared" si="0"/>
        <v>100</v>
      </c>
      <c r="T13" s="708" t="s">
        <v>17</v>
      </c>
      <c r="U13" s="709">
        <f t="shared" si="1"/>
        <v>100</v>
      </c>
      <c r="V13" s="708" t="s">
        <v>17</v>
      </c>
      <c r="W13" s="709">
        <f t="shared" si="2"/>
        <v>100</v>
      </c>
      <c r="X13" s="710"/>
      <c r="Y13" s="3210"/>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8"/>
      <c r="M14" s="2942"/>
      <c r="N14" s="2942"/>
      <c r="O14" s="3000"/>
      <c r="P14" s="3316"/>
      <c r="Q14" s="1525">
        <f t="shared" si="6"/>
        <v>111</v>
      </c>
      <c r="R14" s="708" t="s">
        <v>17</v>
      </c>
      <c r="S14" s="709">
        <f t="shared" si="0"/>
        <v>100</v>
      </c>
      <c r="T14" s="708" t="s">
        <v>17</v>
      </c>
      <c r="U14" s="709">
        <f t="shared" si="1"/>
        <v>100</v>
      </c>
      <c r="V14" s="708" t="s">
        <v>17</v>
      </c>
      <c r="W14" s="709">
        <f t="shared" si="2"/>
        <v>100</v>
      </c>
      <c r="X14" s="710"/>
      <c r="Y14" s="3210"/>
      <c r="Z14" s="55">
        <f t="shared" si="7"/>
        <v>111</v>
      </c>
      <c r="AA14" s="711">
        <f t="shared" si="3"/>
        <v>1</v>
      </c>
      <c r="AB14" s="711">
        <f t="shared" si="4"/>
        <v>1</v>
      </c>
      <c r="AC14" s="711">
        <f t="shared" si="5"/>
        <v>1</v>
      </c>
    </row>
    <row r="15" spans="1:29" ht="57">
      <c r="A15" s="397" t="s">
        <v>2378</v>
      </c>
      <c r="B15" s="583" t="s">
        <v>2617</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8"/>
      <c r="M15" s="2942"/>
      <c r="N15" s="2942"/>
      <c r="O15" s="3000"/>
      <c r="P15" s="3318" t="s">
        <v>2379</v>
      </c>
      <c r="Q15" s="1534" t="str">
        <f t="shared" si="6"/>
        <v>产业集聚程度</v>
      </c>
      <c r="R15" s="712" t="s">
        <v>17</v>
      </c>
      <c r="S15" s="713">
        <f t="shared" si="0"/>
        <v>100</v>
      </c>
      <c r="T15" s="712" t="s">
        <v>17</v>
      </c>
      <c r="U15" s="713">
        <f t="shared" si="1"/>
        <v>100</v>
      </c>
      <c r="V15" s="712" t="s">
        <v>17</v>
      </c>
      <c r="W15" s="713">
        <f t="shared" si="2"/>
        <v>100</v>
      </c>
      <c r="X15" s="1537"/>
      <c r="Y15" s="3318" t="s">
        <v>2379</v>
      </c>
      <c r="Z15" s="1538" t="str">
        <f t="shared" si="7"/>
        <v>产业集聚程度</v>
      </c>
      <c r="AA15" s="1535">
        <f t="shared" si="3"/>
        <v>1</v>
      </c>
      <c r="AB15" s="1535">
        <f t="shared" si="4"/>
        <v>1</v>
      </c>
      <c r="AC15" s="1535">
        <f t="shared" si="5"/>
        <v>1</v>
      </c>
    </row>
    <row r="16" spans="1:29" ht="15">
      <c r="A16" s="385"/>
      <c r="B16" s="584"/>
      <c r="C16" s="404"/>
      <c r="D16" s="405"/>
      <c r="E16" s="2088"/>
      <c r="F16" s="405"/>
      <c r="G16" s="2088"/>
      <c r="H16" s="407"/>
      <c r="I16" s="2088"/>
      <c r="J16" s="405"/>
      <c r="K16" s="626"/>
      <c r="L16" s="2948"/>
      <c r="M16" s="2942"/>
      <c r="N16" s="2942"/>
      <c r="O16" s="3000"/>
      <c r="P16" s="3319"/>
      <c r="Q16" s="1534"/>
      <c r="R16" s="712"/>
      <c r="S16" s="713"/>
      <c r="T16" s="712"/>
      <c r="U16" s="713"/>
      <c r="V16" s="712"/>
      <c r="W16" s="713"/>
      <c r="X16" s="1537"/>
      <c r="Y16" s="3319"/>
      <c r="Z16" s="1538"/>
      <c r="AA16" s="1535">
        <v>1</v>
      </c>
      <c r="AB16" s="1535">
        <v>1</v>
      </c>
      <c r="AC16" s="1535">
        <v>1</v>
      </c>
    </row>
    <row r="17" spans="1:29" ht="85.5">
      <c r="A17" s="385"/>
      <c r="B17" s="585" t="s">
        <v>2528</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8"/>
      <c r="M17" s="2942"/>
      <c r="N17" s="2942"/>
      <c r="O17" s="3000"/>
      <c r="P17" s="3319"/>
      <c r="Q17" s="1534" t="str">
        <f>B17</f>
        <v>交通便捷度</v>
      </c>
      <c r="R17" s="712" t="s">
        <v>17</v>
      </c>
      <c r="S17" s="713">
        <f>F17</f>
        <v>100</v>
      </c>
      <c r="T17" s="712" t="s">
        <v>17</v>
      </c>
      <c r="U17" s="713">
        <f>H17</f>
        <v>100</v>
      </c>
      <c r="V17" s="712" t="s">
        <v>17</v>
      </c>
      <c r="W17" s="713">
        <f>J17</f>
        <v>100</v>
      </c>
      <c r="X17" s="1537"/>
      <c r="Y17" s="3319"/>
      <c r="Z17" s="1538" t="str">
        <f>Q17</f>
        <v>交通便捷度</v>
      </c>
      <c r="AA17" s="1535">
        <f t="shared" si="3"/>
        <v>1</v>
      </c>
      <c r="AB17" s="1535">
        <f t="shared" si="4"/>
        <v>1</v>
      </c>
      <c r="AC17" s="1535">
        <f t="shared" si="5"/>
        <v>1</v>
      </c>
    </row>
    <row r="18" spans="1:29" ht="15">
      <c r="A18" s="385"/>
      <c r="B18" s="586"/>
      <c r="C18" s="404"/>
      <c r="D18" s="405"/>
      <c r="E18" s="2082"/>
      <c r="F18" s="405"/>
      <c r="G18" s="2082"/>
      <c r="H18" s="405"/>
      <c r="I18" s="2081"/>
      <c r="J18" s="405"/>
      <c r="K18" s="626"/>
      <c r="L18" s="2948"/>
      <c r="M18" s="2942"/>
      <c r="N18" s="2942"/>
      <c r="O18" s="3000"/>
      <c r="P18" s="3319"/>
      <c r="Q18" s="1534"/>
      <c r="R18" s="712"/>
      <c r="S18" s="713"/>
      <c r="T18" s="712"/>
      <c r="U18" s="713"/>
      <c r="V18" s="712"/>
      <c r="W18" s="713"/>
      <c r="X18" s="1537"/>
      <c r="Y18" s="3319"/>
      <c r="Z18" s="1538"/>
      <c r="AA18" s="1535">
        <v>1</v>
      </c>
      <c r="AB18" s="1535">
        <v>1</v>
      </c>
      <c r="AC18" s="1535">
        <v>1</v>
      </c>
    </row>
    <row r="19" spans="1:29" ht="15">
      <c r="A19" s="385"/>
      <c r="B19" s="585" t="s">
        <v>2567</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8"/>
      <c r="M19" s="2942"/>
      <c r="N19" s="2942"/>
      <c r="O19" s="3000"/>
      <c r="P19" s="3319"/>
      <c r="Q19" s="1534" t="str">
        <f t="shared" ref="Q19:Q33" si="8">B19</f>
        <v>区域土地利用方向</v>
      </c>
      <c r="R19" s="712" t="s">
        <v>17</v>
      </c>
      <c r="S19" s="713">
        <f>F19</f>
        <v>100</v>
      </c>
      <c r="T19" s="712" t="s">
        <v>17</v>
      </c>
      <c r="U19" s="713">
        <f>H19</f>
        <v>100</v>
      </c>
      <c r="V19" s="712" t="s">
        <v>17</v>
      </c>
      <c r="W19" s="713">
        <f>J19</f>
        <v>100</v>
      </c>
      <c r="X19" s="1537"/>
      <c r="Y19" s="3319"/>
      <c r="Z19" s="1538" t="str">
        <f>Q19</f>
        <v>区域土地利用方向</v>
      </c>
      <c r="AA19" s="1535">
        <f t="shared" si="3"/>
        <v>1</v>
      </c>
      <c r="AB19" s="1535">
        <f t="shared" si="4"/>
        <v>1</v>
      </c>
      <c r="AC19" s="1535">
        <f t="shared" si="5"/>
        <v>1</v>
      </c>
    </row>
    <row r="20" spans="1:29" ht="15">
      <c r="A20" s="362"/>
      <c r="B20" s="586"/>
      <c r="C20" s="404"/>
      <c r="D20" s="405"/>
      <c r="E20" s="2082"/>
      <c r="F20" s="405"/>
      <c r="G20" s="2082"/>
      <c r="H20" s="405"/>
      <c r="I20" s="2082"/>
      <c r="J20" s="405"/>
      <c r="K20" s="749"/>
      <c r="L20" s="2948"/>
      <c r="M20" s="2942"/>
      <c r="N20" s="2942"/>
      <c r="O20" s="3000"/>
      <c r="P20" s="3319"/>
      <c r="Q20" s="1534"/>
      <c r="R20" s="712"/>
      <c r="S20" s="713"/>
      <c r="T20" s="712"/>
      <c r="U20" s="713"/>
      <c r="V20" s="712"/>
      <c r="W20" s="713"/>
      <c r="X20" s="1537"/>
      <c r="Y20" s="3319"/>
      <c r="Z20" s="1538"/>
      <c r="AA20" s="1535"/>
      <c r="AB20" s="1535"/>
      <c r="AC20" s="1535"/>
    </row>
    <row r="21" spans="1:29" ht="71.25">
      <c r="A21" s="362"/>
      <c r="B21" s="585" t="s">
        <v>2618</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8"/>
      <c r="M21" s="2942"/>
      <c r="N21" s="2942"/>
      <c r="O21" s="3000"/>
      <c r="P21" s="3319"/>
      <c r="Q21" s="1534" t="str">
        <f t="shared" si="8"/>
        <v>环境状况</v>
      </c>
      <c r="R21" s="712" t="s">
        <v>17</v>
      </c>
      <c r="S21" s="713">
        <f>F21</f>
        <v>100</v>
      </c>
      <c r="T21" s="712" t="s">
        <v>17</v>
      </c>
      <c r="U21" s="713">
        <f>H21</f>
        <v>100</v>
      </c>
      <c r="V21" s="712" t="s">
        <v>17</v>
      </c>
      <c r="W21" s="713">
        <f>J21</f>
        <v>100</v>
      </c>
      <c r="X21" s="1537"/>
      <c r="Y21" s="3319"/>
      <c r="Z21" s="1538" t="str">
        <f>Q21</f>
        <v>环境状况</v>
      </c>
      <c r="AA21" s="1535">
        <f t="shared" si="3"/>
        <v>1</v>
      </c>
      <c r="AB21" s="1535">
        <f t="shared" si="4"/>
        <v>1</v>
      </c>
      <c r="AC21" s="1535">
        <f t="shared" si="5"/>
        <v>1</v>
      </c>
    </row>
    <row r="22" spans="1:29" ht="15">
      <c r="A22" s="362"/>
      <c r="B22" s="586"/>
      <c r="C22" s="404"/>
      <c r="D22" s="405"/>
      <c r="E22" s="2088"/>
      <c r="F22" s="405"/>
      <c r="G22" s="2088"/>
      <c r="H22" s="405"/>
      <c r="I22" s="404"/>
      <c r="J22" s="405"/>
      <c r="K22" s="626"/>
      <c r="L22" s="2948"/>
      <c r="M22" s="2942"/>
      <c r="N22" s="2942"/>
      <c r="O22" s="3000"/>
      <c r="P22" s="3319"/>
      <c r="Q22" s="1534"/>
      <c r="R22" s="712"/>
      <c r="S22" s="713"/>
      <c r="T22" s="712"/>
      <c r="U22" s="713"/>
      <c r="V22" s="712"/>
      <c r="W22" s="713"/>
      <c r="X22" s="1537"/>
      <c r="Y22" s="3319"/>
      <c r="Z22" s="1538"/>
      <c r="AA22" s="1535">
        <v>1</v>
      </c>
      <c r="AB22" s="1535">
        <v>1</v>
      </c>
      <c r="AC22" s="1535">
        <v>1</v>
      </c>
    </row>
    <row r="23" spans="1:29" s="112" customFormat="1" ht="42.75">
      <c r="A23" s="603"/>
      <c r="B23" s="587" t="s">
        <v>2473</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3"/>
      <c r="M23" s="2944"/>
      <c r="N23" s="2944"/>
      <c r="O23" s="2998"/>
      <c r="P23" s="3319"/>
      <c r="Q23" s="1525" t="str">
        <f t="shared" si="8"/>
        <v>公共配套设施</v>
      </c>
      <c r="R23" s="708" t="s">
        <v>17</v>
      </c>
      <c r="S23" s="709">
        <f>F23</f>
        <v>100</v>
      </c>
      <c r="T23" s="708" t="s">
        <v>17</v>
      </c>
      <c r="U23" s="709">
        <f>H23</f>
        <v>100</v>
      </c>
      <c r="V23" s="708" t="s">
        <v>17</v>
      </c>
      <c r="W23" s="709">
        <f>J23</f>
        <v>100</v>
      </c>
      <c r="X23" s="710"/>
      <c r="Y23" s="3319"/>
      <c r="Z23" s="55" t="str">
        <f>Q23</f>
        <v>公共配套设施</v>
      </c>
      <c r="AA23" s="1535">
        <f>D23/F23</f>
        <v>1</v>
      </c>
      <c r="AB23" s="1535">
        <f>D23/H23</f>
        <v>1</v>
      </c>
      <c r="AC23" s="1535">
        <f>D23/J23</f>
        <v>1</v>
      </c>
    </row>
    <row r="24" spans="1:29" s="112" customFormat="1" ht="15">
      <c r="A24" s="603"/>
      <c r="B24" s="586"/>
      <c r="C24" s="2162"/>
      <c r="D24" s="405"/>
      <c r="E24" s="2088"/>
      <c r="F24" s="405"/>
      <c r="G24" s="2088"/>
      <c r="H24" s="405"/>
      <c r="I24" s="404"/>
      <c r="J24" s="405"/>
      <c r="K24" s="626"/>
      <c r="L24" s="2943"/>
      <c r="M24" s="2944"/>
      <c r="N24" s="2944"/>
      <c r="O24" s="2998"/>
      <c r="P24" s="3319"/>
      <c r="Q24" s="1525"/>
      <c r="R24" s="708"/>
      <c r="S24" s="709"/>
      <c r="T24" s="708"/>
      <c r="U24" s="709"/>
      <c r="V24" s="708"/>
      <c r="W24" s="709"/>
      <c r="X24" s="710"/>
      <c r="Y24" s="3319"/>
      <c r="Z24" s="55"/>
      <c r="AA24" s="711">
        <v>1</v>
      </c>
      <c r="AB24" s="711">
        <v>1</v>
      </c>
      <c r="AC24" s="711">
        <v>1</v>
      </c>
    </row>
    <row r="25" spans="1:29" s="112" customFormat="1" ht="28.5">
      <c r="A25" s="603"/>
      <c r="B25" s="587" t="s">
        <v>2474</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3"/>
      <c r="M25" s="2944"/>
      <c r="N25" s="2944"/>
      <c r="O25" s="2998"/>
      <c r="P25" s="3319"/>
      <c r="Q25" s="1525" t="str">
        <f t="shared" ref="Q25" si="9">B25</f>
        <v>基础设施水平</v>
      </c>
      <c r="R25" s="708" t="s">
        <v>17</v>
      </c>
      <c r="S25" s="709">
        <f>F25</f>
        <v>100</v>
      </c>
      <c r="T25" s="708" t="s">
        <v>17</v>
      </c>
      <c r="U25" s="709">
        <f>H25</f>
        <v>100</v>
      </c>
      <c r="V25" s="708" t="s">
        <v>17</v>
      </c>
      <c r="W25" s="709">
        <f>J25</f>
        <v>100</v>
      </c>
      <c r="X25" s="710"/>
      <c r="Y25" s="3319"/>
      <c r="Z25" s="55" t="str">
        <f>Q25</f>
        <v>基础设施水平</v>
      </c>
      <c r="AA25" s="1535">
        <f>D25/F25</f>
        <v>1</v>
      </c>
      <c r="AB25" s="1535">
        <f>D25/H25</f>
        <v>1</v>
      </c>
      <c r="AC25" s="1535">
        <f>D25/J25</f>
        <v>1</v>
      </c>
    </row>
    <row r="26" spans="1:29" s="112" customFormat="1" ht="15">
      <c r="A26" s="603"/>
      <c r="B26" s="586"/>
      <c r="C26" s="2162"/>
      <c r="D26" s="405"/>
      <c r="E26" s="2163"/>
      <c r="F26" s="405"/>
      <c r="G26" s="2163"/>
      <c r="H26" s="405"/>
      <c r="I26" s="2163"/>
      <c r="J26" s="405"/>
      <c r="K26" s="626"/>
      <c r="L26" s="2943"/>
      <c r="M26" s="2944"/>
      <c r="N26" s="2944"/>
      <c r="O26" s="2998"/>
      <c r="P26" s="3319"/>
      <c r="Q26" s="1525"/>
      <c r="R26" s="708"/>
      <c r="S26" s="709"/>
      <c r="T26" s="708"/>
      <c r="U26" s="709"/>
      <c r="V26" s="708"/>
      <c r="W26" s="709"/>
      <c r="X26" s="710"/>
      <c r="Y26" s="3319"/>
      <c r="Z26" s="55"/>
      <c r="AA26" s="711">
        <v>1</v>
      </c>
      <c r="AB26" s="711">
        <v>1</v>
      </c>
      <c r="AC26" s="711">
        <v>1</v>
      </c>
    </row>
    <row r="27" spans="1:29" ht="15">
      <c r="A27" s="385"/>
      <c r="B27" s="586" t="s">
        <v>2475</v>
      </c>
      <c r="C27" s="571"/>
      <c r="D27" s="392">
        <v>100</v>
      </c>
      <c r="E27" s="588"/>
      <c r="F27" s="392">
        <f>SUMIF(95:95,E27,96:96)-SUMIF(95:95,C27,96:96)+100</f>
        <v>100</v>
      </c>
      <c r="G27" s="588"/>
      <c r="H27" s="392">
        <f>SUMIF(95:95,G27,96:96)-SUMIF(95:95,C27,96:96)+100</f>
        <v>100</v>
      </c>
      <c r="I27" s="588"/>
      <c r="J27" s="392">
        <f>SUMIF(95:95,I27,96:96)-SUMIF(95:95,C27,96:96)+100</f>
        <v>100</v>
      </c>
      <c r="K27" s="627"/>
      <c r="L27" s="2948"/>
      <c r="M27" s="2942"/>
      <c r="N27" s="2942"/>
      <c r="O27" s="3000"/>
      <c r="P27" s="3319"/>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19"/>
      <c r="Z27" s="1538" t="str">
        <f t="shared" ref="Z27:Z40" si="13">Q27</f>
        <v>临街状况</v>
      </c>
      <c r="AA27" s="1535">
        <f t="shared" si="3"/>
        <v>1</v>
      </c>
      <c r="AB27" s="1535">
        <f t="shared" si="4"/>
        <v>1</v>
      </c>
      <c r="AC27" s="1535">
        <f t="shared" si="5"/>
        <v>1</v>
      </c>
    </row>
    <row r="28" spans="1:29" ht="27">
      <c r="A28" s="385"/>
      <c r="B28" s="587" t="s">
        <v>2510</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8"/>
      <c r="M28" s="2942"/>
      <c r="N28" s="2942"/>
      <c r="O28" s="3000"/>
      <c r="P28" s="3319"/>
      <c r="Q28" s="1534" t="str">
        <f t="shared" si="8"/>
        <v>毗邻道路的类型与等级</v>
      </c>
      <c r="R28" s="712" t="s">
        <v>17</v>
      </c>
      <c r="S28" s="713">
        <f t="shared" si="10"/>
        <v>100</v>
      </c>
      <c r="T28" s="712" t="s">
        <v>17</v>
      </c>
      <c r="U28" s="713">
        <f t="shared" si="11"/>
        <v>100</v>
      </c>
      <c r="V28" s="712" t="s">
        <v>17</v>
      </c>
      <c r="W28" s="713">
        <f t="shared" si="12"/>
        <v>100</v>
      </c>
      <c r="X28" s="1537"/>
      <c r="Y28" s="3319"/>
      <c r="Z28" s="1538" t="str">
        <f t="shared" si="13"/>
        <v>毗邻道路的类型与等级</v>
      </c>
      <c r="AA28" s="1535">
        <f t="shared" si="3"/>
        <v>1</v>
      </c>
      <c r="AB28" s="1535">
        <f t="shared" si="4"/>
        <v>1</v>
      </c>
      <c r="AC28" s="1535">
        <f t="shared" si="5"/>
        <v>1</v>
      </c>
    </row>
    <row r="29" spans="1:29" ht="15">
      <c r="A29" s="385"/>
      <c r="B29" s="586"/>
      <c r="C29" s="404"/>
      <c r="D29" s="405"/>
      <c r="E29" s="2088"/>
      <c r="F29" s="405"/>
      <c r="G29" s="2088"/>
      <c r="H29" s="405"/>
      <c r="I29" s="2088"/>
      <c r="J29" s="405"/>
      <c r="K29" s="568"/>
      <c r="L29" s="2948"/>
      <c r="M29" s="2942"/>
      <c r="N29" s="2942"/>
      <c r="O29" s="3000"/>
      <c r="P29" s="3319"/>
      <c r="Q29" s="1534"/>
      <c r="R29" s="712"/>
      <c r="S29" s="713"/>
      <c r="T29" s="712"/>
      <c r="U29" s="713"/>
      <c r="V29" s="712"/>
      <c r="W29" s="713"/>
      <c r="X29" s="1537"/>
      <c r="Y29" s="3319"/>
      <c r="Z29" s="1538"/>
      <c r="AA29" s="1535">
        <v>1</v>
      </c>
      <c r="AB29" s="1535">
        <v>1</v>
      </c>
      <c r="AC29" s="1535">
        <v>1</v>
      </c>
    </row>
    <row r="30" spans="1:29" ht="15">
      <c r="A30" s="385"/>
      <c r="B30" s="608" t="s">
        <v>2569</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8"/>
      <c r="M30" s="2942"/>
      <c r="N30" s="2942"/>
      <c r="O30" s="3000"/>
      <c r="P30" s="3319"/>
      <c r="Q30" s="1534" t="str">
        <f t="shared" si="8"/>
        <v>土地级别</v>
      </c>
      <c r="R30" s="712" t="s">
        <v>17</v>
      </c>
      <c r="S30" s="713">
        <f t="shared" si="10"/>
        <v>100</v>
      </c>
      <c r="T30" s="712" t="s">
        <v>17</v>
      </c>
      <c r="U30" s="713">
        <f t="shared" si="11"/>
        <v>100</v>
      </c>
      <c r="V30" s="712" t="s">
        <v>17</v>
      </c>
      <c r="W30" s="713">
        <f t="shared" si="12"/>
        <v>100</v>
      </c>
      <c r="X30" s="1537"/>
      <c r="Y30" s="3319"/>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8"/>
      <c r="M31" s="2942"/>
      <c r="N31" s="2942"/>
      <c r="O31" s="3000"/>
      <c r="P31" s="3319"/>
      <c r="Q31" s="1534">
        <f t="shared" si="8"/>
        <v>111</v>
      </c>
      <c r="R31" s="712" t="s">
        <v>17</v>
      </c>
      <c r="S31" s="713">
        <f t="shared" si="10"/>
        <v>100</v>
      </c>
      <c r="T31" s="712" t="s">
        <v>17</v>
      </c>
      <c r="U31" s="713">
        <f t="shared" si="11"/>
        <v>100</v>
      </c>
      <c r="V31" s="712" t="s">
        <v>17</v>
      </c>
      <c r="W31" s="713">
        <f t="shared" si="12"/>
        <v>100</v>
      </c>
      <c r="X31" s="1537"/>
      <c r="Y31" s="3319"/>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8"/>
      <c r="M32" s="2942"/>
      <c r="N32" s="2942"/>
      <c r="O32" s="3000"/>
      <c r="P32" s="3320" t="s">
        <v>2384</v>
      </c>
      <c r="Q32" s="1534">
        <f t="shared" si="8"/>
        <v>111</v>
      </c>
      <c r="R32" s="712" t="s">
        <v>17</v>
      </c>
      <c r="S32" s="713">
        <f t="shared" si="10"/>
        <v>100</v>
      </c>
      <c r="T32" s="712" t="s">
        <v>17</v>
      </c>
      <c r="U32" s="713">
        <f t="shared" si="11"/>
        <v>100</v>
      </c>
      <c r="V32" s="712" t="s">
        <v>17</v>
      </c>
      <c r="W32" s="713">
        <f t="shared" si="12"/>
        <v>100</v>
      </c>
      <c r="X32" s="1537"/>
      <c r="Y32" s="3321" t="s">
        <v>2384</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7"/>
      <c r="M33" s="2949"/>
      <c r="N33" s="2949"/>
      <c r="O33" s="3001"/>
      <c r="P33" s="3321"/>
      <c r="Q33" s="1534">
        <f t="shared" si="8"/>
        <v>111</v>
      </c>
      <c r="R33" s="715" t="s">
        <v>17</v>
      </c>
      <c r="S33" s="716">
        <f t="shared" si="10"/>
        <v>100</v>
      </c>
      <c r="T33" s="715" t="s">
        <v>17</v>
      </c>
      <c r="U33" s="716">
        <f t="shared" si="11"/>
        <v>100</v>
      </c>
      <c r="V33" s="715" t="s">
        <v>17</v>
      </c>
      <c r="W33" s="716">
        <f t="shared" si="12"/>
        <v>100</v>
      </c>
      <c r="X33" s="717"/>
      <c r="Y33" s="3321"/>
      <c r="Z33" s="718">
        <f t="shared" si="13"/>
        <v>111</v>
      </c>
      <c r="AA33" s="1535">
        <f t="shared" si="3"/>
        <v>1</v>
      </c>
      <c r="AB33" s="1535">
        <f t="shared" si="4"/>
        <v>1</v>
      </c>
      <c r="AC33" s="1535">
        <f t="shared" si="5"/>
        <v>1</v>
      </c>
    </row>
    <row r="34" spans="1:31" ht="15">
      <c r="A34" s="397" t="s">
        <v>2382</v>
      </c>
      <c r="B34" s="413" t="s">
        <v>2570</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8"/>
      <c r="M34" s="2942"/>
      <c r="N34" s="2942"/>
      <c r="O34" s="3000"/>
      <c r="P34" s="3321"/>
      <c r="Q34" s="1534" t="str">
        <f>B34</f>
        <v>宗地面积</v>
      </c>
      <c r="R34" s="712" t="s">
        <v>17</v>
      </c>
      <c r="S34" s="713" t="e">
        <f t="shared" si="10"/>
        <v>#N/A</v>
      </c>
      <c r="T34" s="712" t="s">
        <v>17</v>
      </c>
      <c r="U34" s="713" t="e">
        <f t="shared" si="11"/>
        <v>#N/A</v>
      </c>
      <c r="V34" s="712" t="s">
        <v>17</v>
      </c>
      <c r="W34" s="713" t="e">
        <f t="shared" si="12"/>
        <v>#N/A</v>
      </c>
      <c r="X34" s="1537"/>
      <c r="Y34" s="3321"/>
      <c r="Z34" s="1538" t="str">
        <f t="shared" si="13"/>
        <v>宗地面积</v>
      </c>
      <c r="AA34" s="1535" t="e">
        <f t="shared" si="3"/>
        <v>#N/A</v>
      </c>
      <c r="AB34" s="1535" t="e">
        <f t="shared" si="4"/>
        <v>#N/A</v>
      </c>
      <c r="AC34" s="1535" t="e">
        <f t="shared" si="5"/>
        <v>#N/A</v>
      </c>
    </row>
    <row r="35" spans="1:31" ht="15">
      <c r="A35" s="429"/>
      <c r="B35" s="379" t="s">
        <v>2571</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8"/>
      <c r="M35" s="2942"/>
      <c r="N35" s="2942"/>
      <c r="O35" s="3000"/>
      <c r="P35" s="3321"/>
      <c r="Q35" s="1534" t="str">
        <f t="shared" ref="Q35:Q40" si="14">B35</f>
        <v>宗地形状</v>
      </c>
      <c r="R35" s="712" t="s">
        <v>17</v>
      </c>
      <c r="S35" s="713">
        <f t="shared" si="10"/>
        <v>100</v>
      </c>
      <c r="T35" s="712" t="s">
        <v>17</v>
      </c>
      <c r="U35" s="713">
        <f t="shared" si="11"/>
        <v>100</v>
      </c>
      <c r="V35" s="712" t="s">
        <v>17</v>
      </c>
      <c r="W35" s="713">
        <f t="shared" si="12"/>
        <v>100</v>
      </c>
      <c r="X35" s="1537"/>
      <c r="Y35" s="3321"/>
      <c r="Z35" s="1538" t="str">
        <f t="shared" si="13"/>
        <v>宗地形状</v>
      </c>
      <c r="AA35" s="1535">
        <f t="shared" si="3"/>
        <v>1</v>
      </c>
      <c r="AB35" s="1535">
        <f t="shared" si="4"/>
        <v>1</v>
      </c>
      <c r="AC35" s="1535">
        <f t="shared" si="5"/>
        <v>1</v>
      </c>
    </row>
    <row r="36" spans="1:31" s="112" customFormat="1" ht="15">
      <c r="A36" s="430"/>
      <c r="B36" s="379" t="s">
        <v>2573</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3"/>
      <c r="M36" s="2944"/>
      <c r="N36" s="2944"/>
      <c r="O36" s="2998"/>
      <c r="P36" s="3321"/>
      <c r="Q36" s="1534" t="str">
        <f t="shared" si="14"/>
        <v>宗地开发程度</v>
      </c>
      <c r="R36" s="708" t="s">
        <v>17</v>
      </c>
      <c r="S36" s="709">
        <f t="shared" si="10"/>
        <v>100</v>
      </c>
      <c r="T36" s="708" t="s">
        <v>17</v>
      </c>
      <c r="U36" s="709">
        <f t="shared" si="11"/>
        <v>100</v>
      </c>
      <c r="V36" s="708" t="s">
        <v>17</v>
      </c>
      <c r="W36" s="709">
        <f t="shared" si="12"/>
        <v>100</v>
      </c>
      <c r="X36" s="710"/>
      <c r="Y36" s="3321"/>
      <c r="Z36" s="55" t="str">
        <f t="shared" si="13"/>
        <v>宗地开发程度</v>
      </c>
      <c r="AA36" s="711">
        <f t="shared" si="3"/>
        <v>1</v>
      </c>
      <c r="AB36" s="711">
        <f t="shared" si="4"/>
        <v>1</v>
      </c>
      <c r="AC36" s="711">
        <f t="shared" si="5"/>
        <v>1</v>
      </c>
    </row>
    <row r="37" spans="1:31" ht="15">
      <c r="A37" s="429"/>
      <c r="B37" s="379" t="s">
        <v>2574</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8"/>
      <c r="M37" s="2942"/>
      <c r="N37" s="2942"/>
      <c r="O37" s="3000"/>
      <c r="P37" s="3321" t="s">
        <v>2384</v>
      </c>
      <c r="Q37" s="1534" t="str">
        <f t="shared" si="14"/>
        <v>工程地质条件</v>
      </c>
      <c r="R37" s="712" t="s">
        <v>17</v>
      </c>
      <c r="S37" s="713">
        <f t="shared" si="10"/>
        <v>100</v>
      </c>
      <c r="T37" s="712" t="s">
        <v>17</v>
      </c>
      <c r="U37" s="713">
        <f t="shared" si="11"/>
        <v>100</v>
      </c>
      <c r="V37" s="712" t="s">
        <v>17</v>
      </c>
      <c r="W37" s="713">
        <f t="shared" si="12"/>
        <v>100</v>
      </c>
      <c r="X37" s="1537"/>
      <c r="Y37" s="3321" t="s">
        <v>2384</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8"/>
      <c r="M38" s="2942"/>
      <c r="N38" s="2942"/>
      <c r="O38" s="3000"/>
      <c r="P38" s="3321"/>
      <c r="Q38" s="1534">
        <f t="shared" si="14"/>
        <v>111</v>
      </c>
      <c r="R38" s="712" t="s">
        <v>17</v>
      </c>
      <c r="S38" s="713">
        <f t="shared" si="10"/>
        <v>100</v>
      </c>
      <c r="T38" s="712" t="s">
        <v>17</v>
      </c>
      <c r="U38" s="713">
        <f t="shared" si="11"/>
        <v>100</v>
      </c>
      <c r="V38" s="712" t="s">
        <v>17</v>
      </c>
      <c r="W38" s="713">
        <f t="shared" si="12"/>
        <v>100</v>
      </c>
      <c r="X38" s="1537"/>
      <c r="Y38" s="3321"/>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8"/>
      <c r="M39" s="2942"/>
      <c r="N39" s="2942"/>
      <c r="O39" s="3000"/>
      <c r="P39" s="3321"/>
      <c r="Q39" s="1534">
        <f t="shared" si="14"/>
        <v>111</v>
      </c>
      <c r="R39" s="712" t="s">
        <v>17</v>
      </c>
      <c r="S39" s="713">
        <f t="shared" si="10"/>
        <v>100</v>
      </c>
      <c r="T39" s="712" t="s">
        <v>17</v>
      </c>
      <c r="U39" s="713">
        <f t="shared" si="11"/>
        <v>100</v>
      </c>
      <c r="V39" s="712" t="s">
        <v>17</v>
      </c>
      <c r="W39" s="713">
        <f t="shared" si="12"/>
        <v>100</v>
      </c>
      <c r="X39" s="1537"/>
      <c r="Y39" s="3321"/>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7"/>
      <c r="M40" s="2949"/>
      <c r="N40" s="2949"/>
      <c r="O40" s="3001"/>
      <c r="P40" s="3321"/>
      <c r="Q40" s="1534">
        <f t="shared" si="14"/>
        <v>111</v>
      </c>
      <c r="R40" s="715" t="s">
        <v>17</v>
      </c>
      <c r="S40" s="716">
        <f t="shared" si="10"/>
        <v>100</v>
      </c>
      <c r="T40" s="715" t="s">
        <v>17</v>
      </c>
      <c r="U40" s="716">
        <f t="shared" si="11"/>
        <v>100</v>
      </c>
      <c r="V40" s="715" t="s">
        <v>17</v>
      </c>
      <c r="W40" s="716">
        <f t="shared" si="12"/>
        <v>100</v>
      </c>
      <c r="X40" s="717"/>
      <c r="Y40" s="3321"/>
      <c r="Z40" s="718">
        <f t="shared" si="13"/>
        <v>111</v>
      </c>
      <c r="AA40" s="1535">
        <f t="shared" si="3"/>
        <v>1</v>
      </c>
      <c r="AB40" s="1535">
        <f t="shared" si="4"/>
        <v>1</v>
      </c>
      <c r="AC40" s="1535">
        <f t="shared" si="5"/>
        <v>1</v>
      </c>
    </row>
    <row r="41" spans="1:31" ht="15">
      <c r="A41" s="436" t="s">
        <v>2539</v>
      </c>
      <c r="B41" s="2166" t="s">
        <v>2619</v>
      </c>
      <c r="C41" s="636" t="s">
        <v>1</v>
      </c>
      <c r="D41" s="438"/>
      <c r="E41" s="439"/>
      <c r="F41" s="440"/>
      <c r="G41" s="441"/>
      <c r="H41" s="442"/>
      <c r="I41" s="439"/>
      <c r="J41" s="442"/>
      <c r="K41" s="721"/>
      <c r="L41" s="2950"/>
      <c r="M41" s="2942"/>
      <c r="N41" s="2942"/>
      <c r="O41" s="2951"/>
      <c r="P41" s="3316" t="str">
        <f>A41</f>
        <v>成交单价</v>
      </c>
      <c r="Q41" s="3316"/>
      <c r="R41" s="3322">
        <f>E41</f>
        <v>0</v>
      </c>
      <c r="S41" s="3322"/>
      <c r="T41" s="3322">
        <f>G41</f>
        <v>0</v>
      </c>
      <c r="U41" s="3322"/>
      <c r="V41" s="3322">
        <f>I41</f>
        <v>0</v>
      </c>
      <c r="W41" s="3322"/>
      <c r="X41" s="697"/>
      <c r="Y41" s="719"/>
      <c r="Z41" s="697"/>
      <c r="AA41" s="697"/>
      <c r="AB41" s="697"/>
      <c r="AC41" s="697"/>
    </row>
    <row r="42" spans="1:31" ht="15.75" thickBot="1">
      <c r="A42" s="443" t="s">
        <v>2488</v>
      </c>
      <c r="B42" s="637"/>
      <c r="C42" s="446" t="e">
        <f>R43</f>
        <v>#DIV/0!</v>
      </c>
      <c r="D42" s="2536" t="s">
        <v>2878</v>
      </c>
      <c r="E42" s="446" t="e">
        <f>R42</f>
        <v>#DIV/0!</v>
      </c>
      <c r="F42" s="2537"/>
      <c r="G42" s="445" t="e">
        <f>T42</f>
        <v>#DIV/0!</v>
      </c>
      <c r="H42" s="2537"/>
      <c r="I42" s="446" t="e">
        <f>V42</f>
        <v>#DIV/0!</v>
      </c>
      <c r="J42" s="2537"/>
      <c r="K42" s="2539">
        <f>F42+H42+J42</f>
        <v>0</v>
      </c>
      <c r="L42" s="2950"/>
      <c r="M42" s="2942"/>
      <c r="N42" s="2942"/>
      <c r="O42" s="2951"/>
      <c r="P42" s="3316" t="str">
        <f>A42</f>
        <v>比较价值（元/平方米）</v>
      </c>
      <c r="Q42" s="3316"/>
      <c r="R42" s="3309" t="e">
        <f>ROUND(PRODUCT(R41,AA7:AA40),0)</f>
        <v>#DIV/0!</v>
      </c>
      <c r="S42" s="3309"/>
      <c r="T42" s="3309" t="e">
        <f>ROUND(PRODUCT(T41,AB7:AB40),0)</f>
        <v>#DIV/0!</v>
      </c>
      <c r="U42" s="3309"/>
      <c r="V42" s="3309" t="e">
        <f>ROUND(PRODUCT(V41,AC7:AC40),0)</f>
        <v>#DIV/0!</v>
      </c>
      <c r="W42" s="3309"/>
      <c r="X42" s="697"/>
      <c r="Y42" s="697"/>
      <c r="Z42" s="697"/>
      <c r="AA42" s="697"/>
      <c r="AB42" s="697"/>
      <c r="AC42" s="697"/>
    </row>
    <row r="43" spans="1:31" ht="15.75" thickBot="1">
      <c r="A43" s="447" t="s">
        <v>2489</v>
      </c>
      <c r="B43" s="448"/>
      <c r="C43" s="449" t="e">
        <f>R43</f>
        <v>#DIV/0!</v>
      </c>
      <c r="D43" s="449"/>
      <c r="E43" s="449"/>
      <c r="F43" s="449"/>
      <c r="G43" s="449"/>
      <c r="H43" s="449"/>
      <c r="I43" s="449"/>
      <c r="J43" s="449"/>
      <c r="K43" s="722"/>
      <c r="L43" s="2950"/>
      <c r="M43" s="2942"/>
      <c r="N43" s="2942"/>
      <c r="O43" s="2951"/>
      <c r="P43" s="3310" t="str">
        <f>A43</f>
        <v>估价对象XX用房的比较价值（楼面单价，元/平方米）</v>
      </c>
      <c r="Q43" s="3311"/>
      <c r="R43" s="3312" t="e">
        <f>ROUND(IF(D42="简单平均",AVERAGE(R42:W42),R42*F42+T42*H42+V42*J42),0)</f>
        <v>#DIV/0!</v>
      </c>
      <c r="S43" s="3312"/>
      <c r="T43" s="3312"/>
      <c r="U43" s="3312"/>
      <c r="V43" s="3312"/>
      <c r="W43" s="3312"/>
      <c r="X43" s="697"/>
      <c r="Y43" s="697"/>
      <c r="Z43" s="697"/>
      <c r="AA43" s="697"/>
      <c r="AB43" s="697"/>
      <c r="AC43" s="697"/>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2" t="s">
        <v>2490</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2" t="s">
        <v>2491</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7" customFormat="1" ht="13.5" customHeight="1">
      <c r="A48" s="2954"/>
      <c r="B48" s="2954"/>
      <c r="C48" s="452" t="s">
        <v>2492</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7" customFormat="1" ht="15" thickBot="1">
      <c r="A49" s="2954"/>
      <c r="B49" s="2957"/>
      <c r="C49" s="700"/>
      <c r="D49" s="698"/>
      <c r="E49" s="698"/>
      <c r="F49" s="698"/>
      <c r="G49" s="698"/>
      <c r="H49" s="698"/>
      <c r="I49" s="698"/>
      <c r="J49" s="698"/>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8" t="s">
        <v>2577</v>
      </c>
      <c r="B50" s="639" t="s">
        <v>2578</v>
      </c>
      <c r="C50" s="2167" t="s">
        <v>2579</v>
      </c>
      <c r="D50" s="2168" t="s">
        <v>2580</v>
      </c>
      <c r="E50" s="640" t="s">
        <v>2581</v>
      </c>
      <c r="F50" s="641" t="s">
        <v>2582</v>
      </c>
      <c r="G50" s="3313" t="s">
        <v>2583</v>
      </c>
      <c r="H50" s="3314"/>
      <c r="I50" s="1538" t="s">
        <v>2620</v>
      </c>
      <c r="J50" s="1538">
        <f>项目基本情况!F35</f>
        <v>0</v>
      </c>
      <c r="K50" s="2170" t="s">
        <v>2585</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6" customFormat="1">
      <c r="A51" s="642" t="s">
        <v>2586</v>
      </c>
      <c r="B51" s="643" t="e">
        <f>C43</f>
        <v>#DIV/0!</v>
      </c>
      <c r="C51" s="644">
        <v>1</v>
      </c>
      <c r="D51" s="1073">
        <v>1</v>
      </c>
      <c r="E51" s="644">
        <f>'数据-汇总表'!E8+'数据-汇总表'!E9</f>
        <v>125054.78</v>
      </c>
      <c r="F51" s="645" t="e">
        <f t="shared" ref="F51:F60" si="15">ROUND(B51*E51/10000,0)</f>
        <v>#DIV/0!</v>
      </c>
      <c r="G51" s="3315"/>
      <c r="H51" s="3316"/>
      <c r="I51" s="877">
        <v>1</v>
      </c>
      <c r="J51" s="877">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6" customFormat="1">
      <c r="A52" s="647" t="s">
        <v>2587</v>
      </c>
      <c r="B52" s="222" t="e">
        <f>ROUND($C$43*C52*D52,0)</f>
        <v>#DIV/0!</v>
      </c>
      <c r="C52" s="174">
        <f t="shared" ref="C52:C60" si="16">IF($C$50="北京市系数",I52,J52)</f>
        <v>0</v>
      </c>
      <c r="D52" s="1074">
        <v>0.25</v>
      </c>
      <c r="E52" s="648"/>
      <c r="F52" s="645" t="e">
        <f t="shared" si="15"/>
        <v>#DIV/0!</v>
      </c>
      <c r="G52" s="3317" t="s">
        <v>2588</v>
      </c>
      <c r="H52" s="1016">
        <f>项目基本情况!B37</f>
        <v>0</v>
      </c>
      <c r="I52" s="877">
        <f>SUMIF(修正!A45:A56,H52,修正!B45:B56)</f>
        <v>0</v>
      </c>
      <c r="J52" s="878"/>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6" customFormat="1">
      <c r="A53" s="647" t="s">
        <v>2589</v>
      </c>
      <c r="B53" s="222" t="e">
        <f t="shared" ref="B53:B60" si="17">ROUND($C$43*C53*D53,0)</f>
        <v>#DIV/0!</v>
      </c>
      <c r="C53" s="174">
        <f t="shared" si="16"/>
        <v>0</v>
      </c>
      <c r="D53" s="1074">
        <v>0.25</v>
      </c>
      <c r="E53" s="648"/>
      <c r="F53" s="645" t="e">
        <f t="shared" si="15"/>
        <v>#DIV/0!</v>
      </c>
      <c r="G53" s="3317"/>
      <c r="H53" s="1016">
        <f>项目基本情况!B37</f>
        <v>0</v>
      </c>
      <c r="I53" s="877">
        <f>SUMIF(修正!A45:A56,H53,修正!C45:C56)</f>
        <v>0</v>
      </c>
      <c r="J53" s="878"/>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6" customFormat="1">
      <c r="A54" s="647" t="s">
        <v>2590</v>
      </c>
      <c r="B54" s="222" t="e">
        <f t="shared" si="17"/>
        <v>#DIV/0!</v>
      </c>
      <c r="C54" s="174">
        <f t="shared" si="16"/>
        <v>0</v>
      </c>
      <c r="D54" s="1074">
        <v>0.25</v>
      </c>
      <c r="E54" s="648"/>
      <c r="F54" s="645" t="e">
        <f t="shared" si="15"/>
        <v>#DIV/0!</v>
      </c>
      <c r="G54" s="3317"/>
      <c r="H54" s="1016">
        <f>项目基本情况!B37</f>
        <v>0</v>
      </c>
      <c r="I54" s="877">
        <f>SUMIF(修正!A45:A56,H54,修正!D45:D56)</f>
        <v>0</v>
      </c>
      <c r="J54" s="878"/>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6" customFormat="1">
      <c r="A55" s="647" t="s">
        <v>2591</v>
      </c>
      <c r="B55" s="222" t="e">
        <f t="shared" si="17"/>
        <v>#DIV/0!</v>
      </c>
      <c r="C55" s="174">
        <f t="shared" si="16"/>
        <v>0</v>
      </c>
      <c r="D55" s="1074">
        <v>0.25</v>
      </c>
      <c r="E55" s="648"/>
      <c r="F55" s="645" t="e">
        <f t="shared" si="15"/>
        <v>#DIV/0!</v>
      </c>
      <c r="G55" s="3317"/>
      <c r="H55" s="1016">
        <f>项目基本情况!B37</f>
        <v>0</v>
      </c>
      <c r="I55" s="877">
        <f>SUMIF(修正!A45:A56,H55,修正!E45:E56)</f>
        <v>0</v>
      </c>
      <c r="J55" s="878"/>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6" customFormat="1">
      <c r="A56" s="647" t="s">
        <v>2592</v>
      </c>
      <c r="B56" s="222" t="e">
        <f t="shared" si="17"/>
        <v>#DIV/0!</v>
      </c>
      <c r="C56" s="174">
        <f t="shared" si="16"/>
        <v>0</v>
      </c>
      <c r="D56" s="1074">
        <v>0.25</v>
      </c>
      <c r="E56" s="221">
        <f>'数据-汇总表'!E11</f>
        <v>0</v>
      </c>
      <c r="F56" s="645" t="e">
        <f t="shared" si="15"/>
        <v>#DIV/0!</v>
      </c>
      <c r="G56" s="2171" t="s">
        <v>2593</v>
      </c>
      <c r="H56" s="1016">
        <f>项目基本情况!C37</f>
        <v>0</v>
      </c>
      <c r="I56" s="877">
        <f>SUMIF(修正!A45:A56,H56,修正!F45:F56)</f>
        <v>0</v>
      </c>
      <c r="J56" s="878"/>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6" customFormat="1">
      <c r="A57" s="647" t="s">
        <v>2594</v>
      </c>
      <c r="B57" s="222" t="e">
        <f t="shared" si="17"/>
        <v>#DIV/0!</v>
      </c>
      <c r="C57" s="174">
        <f t="shared" si="16"/>
        <v>0</v>
      </c>
      <c r="D57" s="1074">
        <v>0.25</v>
      </c>
      <c r="E57" s="221">
        <f>'数据-汇总表'!E12</f>
        <v>8370.0399999999991</v>
      </c>
      <c r="F57" s="645" t="e">
        <f t="shared" si="15"/>
        <v>#DIV/0!</v>
      </c>
      <c r="G57" s="1021" t="s">
        <v>2595</v>
      </c>
      <c r="H57" s="1016">
        <f>IF(G57="商业",项目基本情况!B37,IF(G57="办公",项目基本情况!C37,IF(G57="住宅",项目基本情况!D37,项目基本情况!E37)))</f>
        <v>0</v>
      </c>
      <c r="I57" s="877">
        <f>SUMIF(修正!A45:A56,H57,修正!G45:G56)</f>
        <v>0</v>
      </c>
      <c r="J57" s="878"/>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6" customFormat="1">
      <c r="A58" s="647" t="s">
        <v>2596</v>
      </c>
      <c r="B58" s="222" t="e">
        <f t="shared" si="17"/>
        <v>#DIV/0!</v>
      </c>
      <c r="C58" s="174">
        <f t="shared" si="16"/>
        <v>0</v>
      </c>
      <c r="D58" s="1074">
        <v>0.25</v>
      </c>
      <c r="E58" s="221">
        <f>'数据-汇总表'!E13</f>
        <v>0</v>
      </c>
      <c r="F58" s="645" t="e">
        <f t="shared" si="15"/>
        <v>#DIV/0!</v>
      </c>
      <c r="G58" s="1021" t="s">
        <v>2597</v>
      </c>
      <c r="H58" s="1016">
        <f>IF(G58="商业",项目基本情况!B37,IF(G58="办公",项目基本情况!C37,IF(G58="住宅",项目基本情况!D37,项目基本情况!E37)))</f>
        <v>0</v>
      </c>
      <c r="I58" s="877">
        <f>SUMIF(修正!A45:A56,H58,修正!H45:H56)</f>
        <v>0</v>
      </c>
      <c r="J58" s="878"/>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6" customFormat="1">
      <c r="A59" s="647" t="s">
        <v>2598</v>
      </c>
      <c r="B59" s="222" t="e">
        <f t="shared" si="17"/>
        <v>#DIV/0!</v>
      </c>
      <c r="C59" s="174">
        <f t="shared" si="16"/>
        <v>0</v>
      </c>
      <c r="D59" s="1074">
        <v>0.25</v>
      </c>
      <c r="E59" s="221">
        <f>'数据-汇总表'!E14</f>
        <v>0</v>
      </c>
      <c r="F59" s="645" t="e">
        <f t="shared" si="15"/>
        <v>#DIV/0!</v>
      </c>
      <c r="G59" s="2171" t="s">
        <v>2588</v>
      </c>
      <c r="H59" s="1016">
        <f>项目基本情况!B37</f>
        <v>0</v>
      </c>
      <c r="I59" s="877">
        <f>SUMIF(修正!A45:A56,H59,修正!H45:H56)</f>
        <v>0</v>
      </c>
      <c r="J59" s="878"/>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6" customFormat="1" ht="15" thickBot="1">
      <c r="A60" s="647" t="s">
        <v>2599</v>
      </c>
      <c r="B60" s="222" t="e">
        <f t="shared" si="17"/>
        <v>#DIV/0!</v>
      </c>
      <c r="C60" s="174">
        <f t="shared" si="16"/>
        <v>0</v>
      </c>
      <c r="D60" s="1074">
        <v>0.25</v>
      </c>
      <c r="E60" s="221">
        <f>'数据-汇总表'!E15</f>
        <v>0</v>
      </c>
      <c r="F60" s="645" t="e">
        <f t="shared" si="15"/>
        <v>#DIV/0!</v>
      </c>
      <c r="G60" s="2172" t="s">
        <v>2593</v>
      </c>
      <c r="H60" s="1026">
        <f>项目基本情况!C37</f>
        <v>0</v>
      </c>
      <c r="I60" s="877">
        <f>SUMIF(修正!A45:A56,H60,修正!H45:H56)</f>
        <v>0</v>
      </c>
      <c r="J60" s="878"/>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6" customFormat="1" ht="15" thickBot="1">
      <c r="A61" s="649" t="s">
        <v>2600</v>
      </c>
      <c r="B61" s="650" t="s">
        <v>28</v>
      </c>
      <c r="C61" s="650" t="s">
        <v>29</v>
      </c>
      <c r="D61" s="650" t="s">
        <v>997</v>
      </c>
      <c r="E61" s="650">
        <f>IF(B41="楼面地价",SUM(E51:E60),'数据-汇总表'!D3)</f>
        <v>39947</v>
      </c>
      <c r="F61" s="651" t="e">
        <f>IF(B41="楼面地价",SUM(F51:F60),ROUND(C43*E61/10000,0))</f>
        <v>#DIV/0!</v>
      </c>
      <c r="G61" s="1068"/>
      <c r="H61" s="1068"/>
      <c r="I61" s="1068"/>
      <c r="J61" s="1068"/>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6"/>
      <c r="B62" s="1058"/>
      <c r="C62" s="1060"/>
      <c r="D62" s="1056"/>
      <c r="E62" s="1056"/>
      <c r="F62" s="1056"/>
      <c r="G62" s="1056"/>
      <c r="H62" s="1056"/>
      <c r="I62" s="1056"/>
      <c r="J62" s="1056"/>
      <c r="K62" s="1017"/>
      <c r="L62" s="1018"/>
      <c r="M62" s="1056"/>
      <c r="N62" s="1056"/>
      <c r="O62" s="1056"/>
      <c r="P62" s="2951"/>
      <c r="Q62" s="2951"/>
      <c r="R62" s="2951"/>
      <c r="S62" s="2951"/>
      <c r="T62" s="2951"/>
      <c r="U62" s="2951"/>
      <c r="V62" s="2951"/>
      <c r="W62" s="2951"/>
      <c r="X62" s="2951"/>
      <c r="Y62" s="2951"/>
      <c r="Z62" s="2951"/>
      <c r="AA62" s="2951"/>
      <c r="AB62" s="2951"/>
      <c r="AC62" s="2951"/>
      <c r="AD62" s="2951"/>
      <c r="AE62" s="2951"/>
    </row>
    <row r="63" spans="1:31">
      <c r="A63" s="1056"/>
      <c r="B63" s="1058"/>
      <c r="C63" s="699" t="str">
        <f>YEAR(C7)&amp;"-"&amp;MONTH(C7)&amp;"-1"</f>
        <v>2021-4-1</v>
      </c>
      <c r="D63" s="699">
        <f>EDATE(C63,-3)</f>
        <v>44197</v>
      </c>
      <c r="E63" s="699">
        <f>EDATE(D63,-3)</f>
        <v>44105</v>
      </c>
      <c r="F63" s="699">
        <f t="shared" ref="F63:O63" si="18">EDATE(E63,-3)</f>
        <v>44013</v>
      </c>
      <c r="G63" s="699">
        <f t="shared" si="18"/>
        <v>43922</v>
      </c>
      <c r="H63" s="699">
        <f t="shared" si="18"/>
        <v>43831</v>
      </c>
      <c r="I63" s="699">
        <f t="shared" si="18"/>
        <v>43739</v>
      </c>
      <c r="J63" s="699">
        <f t="shared" si="18"/>
        <v>43647</v>
      </c>
      <c r="K63" s="699">
        <f t="shared" si="18"/>
        <v>43556</v>
      </c>
      <c r="L63" s="699">
        <f t="shared" si="18"/>
        <v>43466</v>
      </c>
      <c r="M63" s="699">
        <f t="shared" si="18"/>
        <v>43374</v>
      </c>
      <c r="N63" s="699">
        <f t="shared" si="18"/>
        <v>43282</v>
      </c>
      <c r="O63" s="699">
        <f t="shared" si="18"/>
        <v>43191</v>
      </c>
      <c r="P63" s="2951"/>
      <c r="Q63" s="2951"/>
      <c r="R63" s="2951"/>
      <c r="S63" s="2951"/>
      <c r="T63" s="2951"/>
      <c r="U63" s="2951"/>
      <c r="V63" s="2951"/>
      <c r="W63" s="2951"/>
      <c r="X63" s="2951"/>
      <c r="Y63" s="2951"/>
      <c r="Z63" s="2951"/>
      <c r="AA63" s="2951"/>
      <c r="AB63" s="2951"/>
      <c r="AC63" s="2951"/>
      <c r="AD63" s="2951"/>
      <c r="AE63" s="2951"/>
    </row>
    <row r="64" spans="1:31" ht="21.75" thickBot="1">
      <c r="A64" s="701" t="s">
        <v>2493</v>
      </c>
      <c r="B64" s="697"/>
      <c r="C64" s="702"/>
      <c r="D64" s="702"/>
      <c r="E64" s="702"/>
      <c r="F64" s="703"/>
      <c r="G64" s="703"/>
      <c r="H64" s="702"/>
      <c r="I64" s="702"/>
      <c r="J64" s="702"/>
      <c r="K64" s="704"/>
      <c r="L64" s="705"/>
      <c r="M64" s="702"/>
      <c r="N64" s="702"/>
      <c r="O64" s="1069"/>
      <c r="P64" s="2995"/>
      <c r="Q64" s="2965"/>
      <c r="R64" s="2951"/>
      <c r="S64" s="2951"/>
      <c r="T64" s="2951"/>
      <c r="U64" s="2951"/>
      <c r="V64" s="2951"/>
      <c r="W64" s="2951"/>
      <c r="X64" s="2951"/>
      <c r="Y64" s="2951"/>
      <c r="Z64" s="2951"/>
      <c r="AA64" s="2951"/>
      <c r="AB64" s="2951"/>
      <c r="AC64" s="2951"/>
      <c r="AD64" s="2951"/>
      <c r="AE64" s="2951"/>
    </row>
    <row r="65" spans="1:31" s="463" customFormat="1" ht="15">
      <c r="A65" s="2173" t="s">
        <v>2601</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8" t="s">
        <v>2621</v>
      </c>
      <c r="B66" s="292" t="str">
        <f>"北京市平均增长率"&amp;TEXT(基准地价修正!P24,"0.00%")</f>
        <v>北京市平均增长率1.24%</v>
      </c>
      <c r="C66" s="558">
        <v>100</v>
      </c>
      <c r="D66" s="550"/>
      <c r="E66" s="550"/>
      <c r="F66" s="550"/>
      <c r="G66" s="550"/>
      <c r="H66" s="550"/>
      <c r="I66" s="550"/>
      <c r="J66" s="550"/>
      <c r="K66" s="550"/>
      <c r="L66" s="550"/>
      <c r="M66" s="1338"/>
      <c r="N66" s="1338"/>
      <c r="O66" s="1340"/>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70" t="s">
        <v>2404</v>
      </c>
      <c r="B67" s="471"/>
      <c r="C67" s="472"/>
      <c r="D67" s="473"/>
      <c r="E67" s="473"/>
      <c r="F67" s="473"/>
      <c r="G67" s="473"/>
      <c r="H67" s="473"/>
      <c r="I67" s="473"/>
      <c r="J67" s="473"/>
      <c r="K67" s="473"/>
      <c r="L67" s="473"/>
      <c r="M67" s="474"/>
      <c r="N67" s="474"/>
      <c r="O67" s="475"/>
      <c r="P67" s="2965"/>
      <c r="Q67" s="2965"/>
      <c r="R67" s="2885"/>
      <c r="S67" s="2885"/>
      <c r="T67" s="2885"/>
      <c r="U67" s="2885"/>
      <c r="V67" s="2885"/>
      <c r="W67" s="2885"/>
      <c r="X67" s="2885"/>
      <c r="Y67" s="2885"/>
      <c r="Z67" s="2885"/>
      <c r="AA67" s="2885"/>
      <c r="AB67" s="2885"/>
      <c r="AC67" s="2885"/>
      <c r="AD67" s="2885"/>
      <c r="AE67" s="2885"/>
    </row>
    <row r="68" spans="1:31" s="112" customFormat="1" ht="15">
      <c r="A68" s="476" t="s">
        <v>2369</v>
      </c>
      <c r="B68" s="465"/>
      <c r="C68" s="477" t="s">
        <v>2471</v>
      </c>
      <c r="D68" s="478"/>
      <c r="E68" s="478"/>
      <c r="F68" s="478"/>
      <c r="G68" s="478"/>
      <c r="H68" s="478"/>
      <c r="I68" s="478"/>
      <c r="J68" s="478"/>
      <c r="K68" s="478"/>
      <c r="L68" s="479"/>
      <c r="M68" s="480"/>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6"/>
      <c r="B69" s="465"/>
      <c r="C69" s="593">
        <v>100</v>
      </c>
      <c r="D69" s="467"/>
      <c r="E69" s="467"/>
      <c r="F69" s="467"/>
      <c r="G69" s="467"/>
      <c r="H69" s="467"/>
      <c r="I69" s="467"/>
      <c r="J69" s="467"/>
      <c r="K69" s="467"/>
      <c r="L69" s="467"/>
      <c r="M69" s="469"/>
      <c r="N69" s="2978"/>
      <c r="O69" s="2978"/>
      <c r="P69" s="2965"/>
      <c r="Q69" s="2965"/>
      <c r="R69" s="2885"/>
      <c r="S69" s="2885"/>
      <c r="T69" s="2885"/>
      <c r="U69" s="2885"/>
      <c r="V69" s="2885"/>
      <c r="W69" s="2885"/>
      <c r="X69" s="2885"/>
      <c r="Y69" s="2885"/>
      <c r="Z69" s="2885"/>
      <c r="AA69" s="2885"/>
      <c r="AB69" s="2885"/>
      <c r="AC69" s="2885"/>
      <c r="AD69" s="2885"/>
      <c r="AE69" s="2885"/>
    </row>
    <row r="70" spans="1:31">
      <c r="A70" s="482" t="s">
        <v>2407</v>
      </c>
      <c r="B70" s="483" t="s">
        <v>2373</v>
      </c>
      <c r="C70" s="485"/>
      <c r="D70" s="485"/>
      <c r="E70" s="485"/>
      <c r="F70" s="485"/>
      <c r="G70" s="485"/>
      <c r="H70" s="485"/>
      <c r="I70" s="485"/>
      <c r="J70" s="485"/>
      <c r="K70" s="486"/>
      <c r="L70" s="487"/>
      <c r="M70" s="488"/>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9"/>
      <c r="B71" s="490"/>
      <c r="C71" s="491"/>
      <c r="D71" s="491"/>
      <c r="E71" s="491"/>
      <c r="F71" s="491"/>
      <c r="G71" s="491"/>
      <c r="H71" s="491"/>
      <c r="I71" s="491"/>
      <c r="J71" s="491"/>
      <c r="K71" s="491"/>
      <c r="L71" s="491"/>
      <c r="M71" s="492"/>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9"/>
      <c r="B72" s="493" t="s">
        <v>2376</v>
      </c>
      <c r="C72" s="494"/>
      <c r="D72" s="494"/>
      <c r="E72" s="494"/>
      <c r="F72" s="494"/>
      <c r="G72" s="494"/>
      <c r="H72" s="494"/>
      <c r="I72" s="494"/>
      <c r="J72" s="494"/>
      <c r="K72" s="495"/>
      <c r="L72" s="496"/>
      <c r="M72" s="497"/>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9"/>
      <c r="B73" s="498"/>
      <c r="C73" s="499"/>
      <c r="D73" s="499"/>
      <c r="E73" s="499"/>
      <c r="F73" s="499"/>
      <c r="G73" s="499"/>
      <c r="H73" s="499"/>
      <c r="I73" s="499"/>
      <c r="J73" s="499"/>
      <c r="K73" s="499"/>
      <c r="L73" s="499"/>
      <c r="M73" s="500"/>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9"/>
      <c r="B74" s="501" t="s">
        <v>2377</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9"/>
      <c r="B75" s="503"/>
      <c r="C75" s="504"/>
      <c r="D75" s="504"/>
      <c r="E75" s="504"/>
      <c r="F75" s="504"/>
      <c r="G75" s="504"/>
      <c r="H75" s="504"/>
      <c r="I75" s="504"/>
      <c r="J75" s="504"/>
      <c r="K75" s="505"/>
      <c r="L75" s="506"/>
      <c r="M75" s="507"/>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8" customFormat="1" ht="15.75" thickTop="1">
      <c r="A77" s="508"/>
      <c r="B77" s="493">
        <f>B12</f>
        <v>111</v>
      </c>
      <c r="C77" s="509"/>
      <c r="D77" s="509"/>
      <c r="E77" s="509"/>
      <c r="F77" s="509"/>
      <c r="G77" s="509"/>
      <c r="H77" s="510"/>
      <c r="I77" s="510"/>
      <c r="J77" s="510"/>
      <c r="K77" s="510"/>
      <c r="L77" s="511"/>
      <c r="M77" s="512"/>
      <c r="N77" s="2981"/>
      <c r="O77" s="2981"/>
      <c r="P77" s="3005"/>
      <c r="Q77" s="2972"/>
      <c r="R77" s="2973"/>
      <c r="S77" s="2973"/>
      <c r="T77" s="2973"/>
      <c r="U77" s="2973"/>
      <c r="V77" s="2973"/>
      <c r="W77" s="2973"/>
      <c r="X77" s="2973"/>
      <c r="Y77" s="2973"/>
      <c r="Z77" s="2973"/>
      <c r="AA77" s="2973"/>
      <c r="AB77" s="2973"/>
      <c r="AC77" s="2973"/>
      <c r="AD77" s="2973"/>
      <c r="AE77" s="2973"/>
    </row>
    <row r="78" spans="1:31" s="428" customFormat="1" ht="15.75" thickBot="1">
      <c r="A78" s="508"/>
      <c r="B78" s="498"/>
      <c r="C78" s="515"/>
      <c r="D78" s="491"/>
      <c r="E78" s="491"/>
      <c r="F78" s="491"/>
      <c r="G78" s="491"/>
      <c r="H78" s="491"/>
      <c r="I78" s="491"/>
      <c r="J78" s="491"/>
      <c r="K78" s="491"/>
      <c r="L78" s="491"/>
      <c r="M78" s="492"/>
      <c r="N78" s="2980"/>
      <c r="O78" s="2980"/>
      <c r="P78" s="3005"/>
      <c r="Q78" s="2972"/>
      <c r="R78" s="2973"/>
      <c r="S78" s="2973"/>
      <c r="T78" s="2973"/>
      <c r="U78" s="2973"/>
      <c r="V78" s="2973"/>
      <c r="W78" s="2973"/>
      <c r="X78" s="2973"/>
      <c r="Y78" s="2973"/>
      <c r="Z78" s="2973"/>
      <c r="AA78" s="2973"/>
      <c r="AB78" s="2973"/>
      <c r="AC78" s="2973"/>
      <c r="AD78" s="2973"/>
      <c r="AE78" s="2973"/>
    </row>
    <row r="79" spans="1:31" s="428" customFormat="1" ht="15.75" thickTop="1">
      <c r="A79" s="508"/>
      <c r="B79" s="493">
        <f>B13</f>
        <v>111</v>
      </c>
      <c r="C79" s="509"/>
      <c r="D79" s="509"/>
      <c r="E79" s="509"/>
      <c r="F79" s="509"/>
      <c r="G79" s="509"/>
      <c r="H79" s="510"/>
      <c r="I79" s="510"/>
      <c r="J79" s="510"/>
      <c r="K79" s="510"/>
      <c r="L79" s="511"/>
      <c r="M79" s="512"/>
      <c r="N79" s="2981"/>
      <c r="O79" s="2981"/>
      <c r="P79" s="2949"/>
      <c r="Q79" s="2975"/>
      <c r="R79" s="2973"/>
      <c r="S79" s="2973"/>
      <c r="T79" s="2973"/>
      <c r="U79" s="2973"/>
      <c r="V79" s="2973"/>
      <c r="W79" s="2973"/>
      <c r="X79" s="2973"/>
      <c r="Y79" s="2973"/>
      <c r="Z79" s="2973"/>
      <c r="AA79" s="2973"/>
      <c r="AB79" s="2973"/>
      <c r="AC79" s="2973"/>
      <c r="AD79" s="2973"/>
      <c r="AE79" s="2973"/>
    </row>
    <row r="80" spans="1:31" s="428" customFormat="1" ht="15.75" thickBot="1">
      <c r="A80" s="508"/>
      <c r="B80" s="498"/>
      <c r="C80" s="515"/>
      <c r="D80" s="515"/>
      <c r="E80" s="515"/>
      <c r="F80" s="515"/>
      <c r="G80" s="515"/>
      <c r="H80" s="517"/>
      <c r="I80" s="517"/>
      <c r="J80" s="517"/>
      <c r="K80" s="517"/>
      <c r="L80" s="517"/>
      <c r="M80" s="518"/>
      <c r="N80" s="2981"/>
      <c r="O80" s="2981"/>
      <c r="P80" s="3005"/>
      <c r="Q80" s="2972"/>
      <c r="R80" s="2973"/>
      <c r="S80" s="2973"/>
      <c r="T80" s="2973"/>
      <c r="U80" s="2973"/>
      <c r="V80" s="2973"/>
      <c r="W80" s="2973"/>
      <c r="X80" s="2973"/>
      <c r="Y80" s="2973"/>
      <c r="Z80" s="2973"/>
      <c r="AA80" s="2973"/>
      <c r="AB80" s="2973"/>
      <c r="AC80" s="2973"/>
      <c r="AD80" s="2973"/>
      <c r="AE80" s="2973"/>
    </row>
    <row r="81" spans="1:31" s="428" customFormat="1" ht="15.75" thickTop="1">
      <c r="A81" s="508"/>
      <c r="B81" s="501">
        <f>B14</f>
        <v>111</v>
      </c>
      <c r="C81" s="478"/>
      <c r="D81" s="478"/>
      <c r="E81" s="478"/>
      <c r="F81" s="478"/>
      <c r="G81" s="478"/>
      <c r="H81" s="519"/>
      <c r="I81" s="519"/>
      <c r="J81" s="519"/>
      <c r="K81" s="519"/>
      <c r="L81" s="520"/>
      <c r="M81" s="521"/>
      <c r="N81" s="2981"/>
      <c r="O81" s="2981"/>
      <c r="P81" s="3010"/>
      <c r="Q81" s="2972"/>
      <c r="R81" s="2973"/>
      <c r="S81" s="2973"/>
      <c r="T81" s="2973"/>
      <c r="U81" s="2973"/>
      <c r="V81" s="2973"/>
      <c r="W81" s="2973"/>
      <c r="X81" s="2973"/>
      <c r="Y81" s="2973"/>
      <c r="Z81" s="2973"/>
      <c r="AA81" s="2973"/>
      <c r="AB81" s="2973"/>
      <c r="AC81" s="2973"/>
      <c r="AD81" s="2973"/>
      <c r="AE81" s="2973"/>
    </row>
    <row r="82" spans="1:31" s="428" customFormat="1" ht="15.75" thickBot="1">
      <c r="A82" s="523"/>
      <c r="B82" s="524"/>
      <c r="C82" s="525"/>
      <c r="D82" s="525"/>
      <c r="E82" s="525"/>
      <c r="F82" s="525"/>
      <c r="G82" s="525"/>
      <c r="H82" s="526"/>
      <c r="I82" s="526"/>
      <c r="J82" s="526"/>
      <c r="K82" s="526"/>
      <c r="L82" s="526"/>
      <c r="M82" s="527"/>
      <c r="N82" s="2981"/>
      <c r="O82" s="2981"/>
      <c r="P82" s="3005"/>
      <c r="Q82" s="2972"/>
      <c r="R82" s="2973"/>
      <c r="S82" s="2973"/>
      <c r="T82" s="2973"/>
      <c r="U82" s="2973"/>
      <c r="V82" s="2973"/>
      <c r="W82" s="2973"/>
      <c r="X82" s="2973"/>
      <c r="Y82" s="2973"/>
      <c r="Z82" s="2973"/>
      <c r="AA82" s="2973"/>
      <c r="AB82" s="2973"/>
      <c r="AC82" s="2973"/>
      <c r="AD82" s="2973"/>
      <c r="AE82" s="2973"/>
    </row>
    <row r="83" spans="1:31">
      <c r="A83" s="482" t="s">
        <v>2378</v>
      </c>
      <c r="B83" s="483" t="s">
        <v>2524</v>
      </c>
      <c r="C83" s="528" t="s">
        <v>2416</v>
      </c>
      <c r="D83" s="528" t="s">
        <v>2417</v>
      </c>
      <c r="E83" s="528" t="s">
        <v>2418</v>
      </c>
      <c r="F83" s="528" t="s">
        <v>2419</v>
      </c>
      <c r="G83" s="528" t="s">
        <v>2420</v>
      </c>
      <c r="H83" s="484"/>
      <c r="I83" s="484"/>
      <c r="J83" s="484"/>
      <c r="K83" s="529"/>
      <c r="L83" s="530"/>
      <c r="M83" s="531"/>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9"/>
      <c r="B85" s="493" t="s">
        <v>2421</v>
      </c>
      <c r="C85" s="533" t="s">
        <v>2416</v>
      </c>
      <c r="D85" s="533" t="s">
        <v>2417</v>
      </c>
      <c r="E85" s="533" t="s">
        <v>2418</v>
      </c>
      <c r="F85" s="533" t="s">
        <v>2419</v>
      </c>
      <c r="G85" s="533" t="s">
        <v>2420</v>
      </c>
      <c r="H85" s="494"/>
      <c r="I85" s="494"/>
      <c r="J85" s="494"/>
      <c r="K85" s="495"/>
      <c r="L85" s="496"/>
      <c r="M85" s="497"/>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4"/>
      <c r="B87" s="493" t="s">
        <v>2604</v>
      </c>
      <c r="C87" s="528" t="s">
        <v>2416</v>
      </c>
      <c r="D87" s="528" t="s">
        <v>2417</v>
      </c>
      <c r="E87" s="528" t="s">
        <v>2418</v>
      </c>
      <c r="F87" s="528" t="s">
        <v>2419</v>
      </c>
      <c r="G87" s="528" t="s">
        <v>2420</v>
      </c>
      <c r="H87" s="533"/>
      <c r="I87" s="533"/>
      <c r="J87" s="533"/>
      <c r="K87" s="533"/>
      <c r="L87" s="652"/>
      <c r="M87" s="576"/>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4"/>
      <c r="B89" s="493" t="s">
        <v>2605</v>
      </c>
      <c r="C89" s="528" t="s">
        <v>2416</v>
      </c>
      <c r="D89" s="528" t="s">
        <v>2417</v>
      </c>
      <c r="E89" s="528" t="s">
        <v>2418</v>
      </c>
      <c r="F89" s="528" t="s">
        <v>2419</v>
      </c>
      <c r="G89" s="528" t="s">
        <v>2420</v>
      </c>
      <c r="H89" s="533"/>
      <c r="I89" s="533"/>
      <c r="J89" s="533"/>
      <c r="K89" s="533"/>
      <c r="L89" s="533"/>
      <c r="M89" s="576"/>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80"/>
      <c r="O90" s="2980"/>
      <c r="P90" s="3004"/>
      <c r="Q90" s="2965"/>
      <c r="R90" s="2885"/>
      <c r="S90" s="2885"/>
      <c r="T90" s="2885"/>
      <c r="U90" s="2885"/>
      <c r="V90" s="2885"/>
      <c r="W90" s="2885"/>
      <c r="X90" s="2885"/>
      <c r="Y90" s="2885"/>
      <c r="Z90" s="2885"/>
      <c r="AA90" s="2885"/>
      <c r="AB90" s="2885"/>
      <c r="AC90" s="2885"/>
      <c r="AD90" s="2885"/>
      <c r="AE90" s="2885"/>
    </row>
    <row r="91" spans="1:31" s="428" customFormat="1" ht="15.75" thickTop="1">
      <c r="A91" s="508"/>
      <c r="B91" s="493" t="s">
        <v>2473</v>
      </c>
      <c r="C91" s="528" t="s">
        <v>2416</v>
      </c>
      <c r="D91" s="528" t="s">
        <v>2417</v>
      </c>
      <c r="E91" s="528" t="s">
        <v>2418</v>
      </c>
      <c r="F91" s="528" t="s">
        <v>2419</v>
      </c>
      <c r="G91" s="528" t="s">
        <v>2420</v>
      </c>
      <c r="H91" s="555"/>
      <c r="I91" s="555"/>
      <c r="J91" s="555"/>
      <c r="K91" s="555"/>
      <c r="L91" s="556"/>
      <c r="M91" s="557"/>
      <c r="N91" s="2981"/>
      <c r="O91" s="2981"/>
      <c r="P91" s="3005"/>
      <c r="Q91" s="2972"/>
      <c r="R91" s="2973"/>
      <c r="S91" s="2973"/>
      <c r="T91" s="2973"/>
      <c r="U91" s="2973"/>
      <c r="V91" s="2973"/>
      <c r="W91" s="2973"/>
      <c r="X91" s="2973"/>
      <c r="Y91" s="2973"/>
      <c r="Z91" s="2973"/>
      <c r="AA91" s="2973"/>
      <c r="AB91" s="2973"/>
      <c r="AC91" s="2973"/>
      <c r="AD91" s="2973"/>
      <c r="AE91" s="2973"/>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1"/>
      <c r="O92" s="2981"/>
      <c r="P92" s="3005"/>
      <c r="Q92" s="2972"/>
      <c r="R92" s="2973"/>
      <c r="S92" s="2973"/>
      <c r="T92" s="2973"/>
      <c r="U92" s="2973"/>
      <c r="V92" s="2973"/>
      <c r="W92" s="2973"/>
      <c r="X92" s="2973"/>
      <c r="Y92" s="2973"/>
      <c r="Z92" s="2973"/>
      <c r="AA92" s="2973"/>
      <c r="AB92" s="2973"/>
      <c r="AC92" s="2973"/>
      <c r="AD92" s="2973"/>
      <c r="AE92" s="2973"/>
    </row>
    <row r="93" spans="1:31" s="428" customFormat="1" ht="15.75" thickTop="1">
      <c r="A93" s="508"/>
      <c r="B93" s="501" t="s">
        <v>2622</v>
      </c>
      <c r="C93" s="614" t="s">
        <v>2494</v>
      </c>
      <c r="D93" s="614" t="s">
        <v>2495</v>
      </c>
      <c r="E93" s="614" t="s">
        <v>2496</v>
      </c>
      <c r="F93" s="614" t="s">
        <v>2497</v>
      </c>
      <c r="G93" s="614" t="s">
        <v>2498</v>
      </c>
      <c r="H93" s="555"/>
      <c r="I93" s="555"/>
      <c r="J93" s="555"/>
      <c r="K93" s="555"/>
      <c r="L93" s="555"/>
      <c r="M93" s="557"/>
      <c r="N93" s="2981"/>
      <c r="O93" s="2981"/>
      <c r="P93" s="3005"/>
      <c r="Q93" s="2972"/>
      <c r="R93" s="2973"/>
      <c r="S93" s="2973"/>
      <c r="T93" s="2973"/>
      <c r="U93" s="2973"/>
      <c r="V93" s="2973"/>
      <c r="W93" s="2973"/>
      <c r="X93" s="2973"/>
      <c r="Y93" s="2973"/>
      <c r="Z93" s="2973"/>
      <c r="AA93" s="2973"/>
      <c r="AB93" s="2973"/>
      <c r="AC93" s="2973"/>
      <c r="AD93" s="2973"/>
      <c r="AE93" s="2973"/>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9"/>
      <c r="B95" s="493" t="str">
        <f>B27</f>
        <v>临街状况</v>
      </c>
      <c r="C95" s="494" t="s">
        <v>2606</v>
      </c>
      <c r="D95" s="494" t="s">
        <v>2607</v>
      </c>
      <c r="E95" s="494" t="s">
        <v>2608</v>
      </c>
      <c r="F95" s="494" t="s">
        <v>2609</v>
      </c>
      <c r="G95" s="494"/>
      <c r="H95" s="494"/>
      <c r="I95" s="494"/>
      <c r="J95" s="494"/>
      <c r="K95" s="495"/>
      <c r="L95" s="496"/>
      <c r="M95" s="497"/>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9"/>
      <c r="B97" s="493" t="s">
        <v>2510</v>
      </c>
      <c r="C97" s="509"/>
      <c r="D97" s="509"/>
      <c r="E97" s="509"/>
      <c r="F97" s="509"/>
      <c r="G97" s="509"/>
      <c r="H97" s="538"/>
      <c r="I97" s="538"/>
      <c r="J97" s="538"/>
      <c r="K97" s="539"/>
      <c r="L97" s="540"/>
      <c r="M97" s="541"/>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9"/>
      <c r="B99" s="493" t="s">
        <v>2569</v>
      </c>
      <c r="C99" s="538"/>
      <c r="D99" s="538"/>
      <c r="E99" s="538"/>
      <c r="F99" s="538"/>
      <c r="G99" s="538"/>
      <c r="H99" s="538"/>
      <c r="I99" s="538"/>
      <c r="J99" s="538"/>
      <c r="K99" s="539"/>
      <c r="L99" s="540"/>
      <c r="M99" s="541"/>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9"/>
      <c r="B101" s="501">
        <f>B31</f>
        <v>111</v>
      </c>
      <c r="C101" s="509"/>
      <c r="D101" s="509"/>
      <c r="E101" s="509"/>
      <c r="F101" s="509"/>
      <c r="G101" s="542"/>
      <c r="H101" s="542"/>
      <c r="I101" s="542"/>
      <c r="J101" s="542"/>
      <c r="K101" s="543"/>
      <c r="L101" s="544"/>
      <c r="M101" s="545"/>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9"/>
      <c r="B102" s="524"/>
      <c r="C102" s="515"/>
      <c r="D102" s="491"/>
      <c r="E102" s="491"/>
      <c r="F102" s="491"/>
      <c r="G102" s="546"/>
      <c r="H102" s="546"/>
      <c r="I102" s="546"/>
      <c r="J102" s="546"/>
      <c r="K102" s="546"/>
      <c r="L102" s="546"/>
      <c r="M102" s="547"/>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9"/>
      <c r="B103" s="493">
        <f>B32</f>
        <v>111</v>
      </c>
      <c r="C103" s="509"/>
      <c r="D103" s="509"/>
      <c r="E103" s="509"/>
      <c r="F103" s="509"/>
      <c r="G103" s="538"/>
      <c r="H103" s="538"/>
      <c r="I103" s="538"/>
      <c r="J103" s="538"/>
      <c r="K103" s="539"/>
      <c r="L103" s="540"/>
      <c r="M103" s="541"/>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9"/>
      <c r="B104" s="498"/>
      <c r="C104" s="515"/>
      <c r="D104" s="515"/>
      <c r="E104" s="515"/>
      <c r="F104" s="515"/>
      <c r="G104" s="491"/>
      <c r="H104" s="491"/>
      <c r="I104" s="491"/>
      <c r="J104" s="491"/>
      <c r="K104" s="491"/>
      <c r="L104" s="491"/>
      <c r="M104" s="492"/>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8" customFormat="1" ht="15" thickTop="1">
      <c r="A105" s="548"/>
      <c r="B105" s="549">
        <f>B33</f>
        <v>111</v>
      </c>
      <c r="C105" s="478"/>
      <c r="D105" s="478"/>
      <c r="E105" s="478"/>
      <c r="F105" s="478"/>
      <c r="G105" s="550"/>
      <c r="H105" s="550"/>
      <c r="I105" s="550"/>
      <c r="J105" s="551"/>
      <c r="K105" s="551"/>
      <c r="L105" s="552"/>
      <c r="M105" s="553"/>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8" customFormat="1" ht="15.75" thickBot="1">
      <c r="A106" s="508"/>
      <c r="B106" s="501"/>
      <c r="C106" s="525"/>
      <c r="D106" s="525"/>
      <c r="E106" s="525"/>
      <c r="F106" s="525"/>
      <c r="G106" s="631"/>
      <c r="H106" s="631"/>
      <c r="I106" s="631"/>
      <c r="J106" s="631"/>
      <c r="K106" s="631"/>
      <c r="L106" s="631"/>
      <c r="M106" s="653"/>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2" t="s">
        <v>2382</v>
      </c>
      <c r="B107" s="483" t="s">
        <v>2610</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9"/>
      <c r="B108" s="501"/>
      <c r="C108" s="550"/>
      <c r="D108" s="550"/>
      <c r="E108" s="550"/>
      <c r="F108" s="550"/>
      <c r="G108" s="550"/>
      <c r="H108" s="550"/>
      <c r="I108" s="550"/>
      <c r="J108" s="551"/>
      <c r="K108" s="551"/>
      <c r="L108" s="552"/>
      <c r="M108" s="553"/>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9"/>
      <c r="B109" s="498"/>
      <c r="C109" s="525"/>
      <c r="D109" s="546"/>
      <c r="E109" s="546"/>
      <c r="F109" s="546"/>
      <c r="G109" s="546"/>
      <c r="H109" s="546"/>
      <c r="I109" s="546"/>
      <c r="J109" s="546"/>
      <c r="K109" s="546"/>
      <c r="L109" s="546"/>
      <c r="M109" s="547"/>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4"/>
      <c r="B110" s="493" t="s">
        <v>2611</v>
      </c>
      <c r="C110" s="538"/>
      <c r="D110" s="538"/>
      <c r="E110" s="538"/>
      <c r="F110" s="538"/>
      <c r="G110" s="538"/>
      <c r="H110" s="538"/>
      <c r="I110" s="538"/>
      <c r="J110" s="538"/>
      <c r="K110" s="539"/>
      <c r="L110" s="540"/>
      <c r="M110" s="541"/>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8" customFormat="1" ht="15" thickTop="1">
      <c r="A112" s="548"/>
      <c r="B112" s="493" t="s">
        <v>2613</v>
      </c>
      <c r="C112" s="509"/>
      <c r="D112" s="509"/>
      <c r="E112" s="509"/>
      <c r="F112" s="509"/>
      <c r="G112" s="509"/>
      <c r="H112" s="538"/>
      <c r="I112" s="538"/>
      <c r="J112" s="538"/>
      <c r="K112" s="539"/>
      <c r="L112" s="540"/>
      <c r="M112" s="541"/>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4"/>
      <c r="B114" s="493" t="s">
        <v>2614</v>
      </c>
      <c r="C114" s="509"/>
      <c r="D114" s="509"/>
      <c r="E114" s="538"/>
      <c r="F114" s="538"/>
      <c r="G114" s="538"/>
      <c r="H114" s="538"/>
      <c r="I114" s="538"/>
      <c r="J114" s="538"/>
      <c r="K114" s="539"/>
      <c r="L114" s="540"/>
      <c r="M114" s="541"/>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4"/>
      <c r="B116" s="493">
        <f>B38</f>
        <v>111</v>
      </c>
      <c r="C116" s="509"/>
      <c r="D116" s="509"/>
      <c r="E116" s="509"/>
      <c r="F116" s="509"/>
      <c r="G116" s="509"/>
      <c r="H116" s="538"/>
      <c r="I116" s="538"/>
      <c r="J116" s="538"/>
      <c r="K116" s="539"/>
      <c r="L116" s="540"/>
      <c r="M116" s="541"/>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9"/>
      <c r="B117" s="498"/>
      <c r="C117" s="515"/>
      <c r="D117" s="491"/>
      <c r="E117" s="491"/>
      <c r="F117" s="491"/>
      <c r="G117" s="491"/>
      <c r="H117" s="491"/>
      <c r="I117" s="491"/>
      <c r="J117" s="491"/>
      <c r="K117" s="491"/>
      <c r="L117" s="491"/>
      <c r="M117" s="492"/>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4"/>
      <c r="B118" s="493">
        <f>B39</f>
        <v>111</v>
      </c>
      <c r="C118" s="509"/>
      <c r="D118" s="509"/>
      <c r="E118" s="509"/>
      <c r="F118" s="509"/>
      <c r="G118" s="538"/>
      <c r="H118" s="538"/>
      <c r="I118" s="538"/>
      <c r="J118" s="538"/>
      <c r="K118" s="539"/>
      <c r="L118" s="540"/>
      <c r="M118" s="541"/>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9"/>
      <c r="B119" s="498"/>
      <c r="C119" s="515"/>
      <c r="D119" s="515"/>
      <c r="E119" s="515"/>
      <c r="F119" s="515"/>
      <c r="G119" s="491"/>
      <c r="H119" s="491"/>
      <c r="I119" s="491"/>
      <c r="J119" s="491"/>
      <c r="K119" s="491"/>
      <c r="L119" s="491"/>
      <c r="M119" s="492"/>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8" customFormat="1" ht="15" thickTop="1">
      <c r="A120" s="548"/>
      <c r="B120" s="493">
        <f>B40</f>
        <v>111</v>
      </c>
      <c r="C120" s="478"/>
      <c r="D120" s="478"/>
      <c r="E120" s="478"/>
      <c r="F120" s="478"/>
      <c r="G120" s="510"/>
      <c r="H120" s="510"/>
      <c r="I120" s="510"/>
      <c r="J120" s="510"/>
      <c r="K120" s="510"/>
      <c r="L120" s="511"/>
      <c r="M120" s="512"/>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8" customFormat="1" ht="15.75" thickBot="1">
      <c r="A121" s="523"/>
      <c r="B121" s="654"/>
      <c r="C121" s="525"/>
      <c r="D121" s="525"/>
      <c r="E121" s="525"/>
      <c r="F121" s="525"/>
      <c r="G121" s="546"/>
      <c r="H121" s="546"/>
      <c r="I121" s="546"/>
      <c r="J121" s="546"/>
      <c r="K121" s="546"/>
      <c r="L121" s="546"/>
      <c r="M121" s="547"/>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C81" sqref="C81"/>
    </sheetView>
  </sheetViews>
  <sheetFormatPr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9" style="2182"/>
  </cols>
  <sheetData>
    <row r="1" spans="1:36" ht="28.5">
      <c r="A1" s="200" t="s">
        <v>2623</v>
      </c>
      <c r="B1" s="201"/>
      <c r="C1" s="205" t="s">
        <v>2624</v>
      </c>
      <c r="D1" s="346">
        <f>SUM(D29:D30,D33:D39)</f>
        <v>125054.78</v>
      </c>
      <c r="E1" s="2179"/>
      <c r="F1" s="2179"/>
      <c r="G1" s="2179"/>
      <c r="H1" s="2179"/>
      <c r="I1" s="2179"/>
      <c r="J1" s="2179"/>
      <c r="K1" s="1278"/>
      <c r="L1" s="2180" t="s">
        <v>2625</v>
      </c>
      <c r="M1" s="992">
        <f>SUMPRODUCT((区片价!B5:B9=I2)*(区片价!C3:F3=E2)*(区片价!C5:F9))</f>
        <v>0</v>
      </c>
      <c r="N1" s="995">
        <f>SUMPRODUCT((因素修正幅度!B5:B9=I2)*(因素修正幅度!C3:F3=E2)*(因素修正幅度!C5:F9))</f>
        <v>0</v>
      </c>
      <c r="O1" s="2181"/>
      <c r="P1" s="2181"/>
      <c r="Q1" s="1278"/>
      <c r="R1" s="1372" t="s">
        <v>2626</v>
      </c>
      <c r="S1" s="1372" t="s">
        <v>2627</v>
      </c>
      <c r="T1" s="1372" t="s">
        <v>2628</v>
      </c>
      <c r="U1" s="1372" t="s">
        <v>2629</v>
      </c>
      <c r="V1" s="1372" t="s">
        <v>2630</v>
      </c>
      <c r="W1" s="1376"/>
      <c r="X1" s="1376"/>
      <c r="Y1" s="1376"/>
      <c r="Z1" s="1376"/>
      <c r="AA1" s="1376"/>
      <c r="AB1" s="1376"/>
      <c r="AC1" s="1377"/>
      <c r="AD1" s="1378"/>
      <c r="AE1" s="1378"/>
      <c r="AF1" s="1378"/>
      <c r="AG1" s="1378"/>
      <c r="AH1" s="1378"/>
      <c r="AI1" s="1378"/>
      <c r="AJ1" s="1379"/>
    </row>
    <row r="2" spans="1:36" ht="15.75">
      <c r="A2" s="205" t="s">
        <v>2631</v>
      </c>
      <c r="B2" s="208" t="e">
        <f>C26</f>
        <v>#DIV/0!</v>
      </c>
      <c r="C2" s="2183" t="s">
        <v>2632</v>
      </c>
      <c r="D2" s="2184" t="s">
        <v>2633</v>
      </c>
      <c r="E2" s="2185" t="s">
        <v>6</v>
      </c>
      <c r="F2" s="2184" t="s">
        <v>2634</v>
      </c>
      <c r="G2" s="2186">
        <f>IF(E2="商业",项目基本情况!B37,IF(E2="办公",项目基本情况!C37,IF(E2="住宅",项目基本情况!D37,项目基本情况!E37)))</f>
        <v>0</v>
      </c>
      <c r="H2" s="2184" t="s">
        <v>2635</v>
      </c>
      <c r="I2" s="2186">
        <f>IF(E2="商业",项目基本情况!B38,IF(E2="办公",项目基本情况!C38,IF(E2="住宅",项目基本情况!D38,项目基本情况!E38)))</f>
        <v>0</v>
      </c>
      <c r="J2" s="2187"/>
      <c r="K2" s="1278"/>
      <c r="L2" s="2188" t="s">
        <v>2636</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7" t="s">
        <v>2637</v>
      </c>
      <c r="B3" s="208" t="e">
        <f>ROUND(B2*10000/D1,0)</f>
        <v>#DIV/0!</v>
      </c>
      <c r="C3" s="2183" t="s">
        <v>2638</v>
      </c>
      <c r="D3" s="2184" t="s">
        <v>2639</v>
      </c>
      <c r="E3" s="2189" t="s">
        <v>3094</v>
      </c>
      <c r="F3" s="2190" t="s">
        <v>2640</v>
      </c>
      <c r="G3" s="853">
        <f>IF(F3="宗地容积率",'数据-汇总表'!I4,IF(F3="估价对象容积率",'数据-汇总表'!I6,'数据-汇总表'!I7))</f>
        <v>3.13</v>
      </c>
      <c r="H3" s="173" t="s">
        <v>2641</v>
      </c>
      <c r="I3" s="879"/>
      <c r="J3" s="2187" t="s">
        <v>2642</v>
      </c>
      <c r="K3" s="1278"/>
      <c r="L3" s="2188" t="s">
        <v>2643</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413"/>
      <c r="B4" s="3414"/>
      <c r="C4" s="3414"/>
      <c r="D4" s="3415"/>
      <c r="E4" s="3415"/>
      <c r="F4" s="3415"/>
      <c r="G4" s="3415"/>
      <c r="H4" s="3415"/>
      <c r="I4" s="3415"/>
      <c r="J4" s="3416"/>
      <c r="K4" s="1278"/>
      <c r="L4" s="2188" t="s">
        <v>2644</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2645</v>
      </c>
      <c r="C5" s="854">
        <f>ROUND(IF(E2="商业",C6*C7+C16,(IF(E2="住宅",C6*C12+C16,C6+C16))),0)</f>
        <v>0</v>
      </c>
      <c r="D5" s="1521">
        <f>ROUND(C6+C16,0)</f>
        <v>0</v>
      </c>
      <c r="E5" s="1521"/>
      <c r="F5" s="2193"/>
      <c r="G5" s="2194"/>
      <c r="H5" s="2194"/>
      <c r="I5" s="2194"/>
      <c r="J5" s="2195"/>
      <c r="K5" s="2196"/>
      <c r="L5" s="2188" t="s">
        <v>2646</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2647</v>
      </c>
      <c r="B6" s="2202" t="s">
        <v>2648</v>
      </c>
      <c r="C6" s="855">
        <f>SUMIF(L1:L12,G2,M1:M12)</f>
        <v>0</v>
      </c>
      <c r="D6" s="2203" t="s">
        <v>2649</v>
      </c>
      <c r="E6" s="2204"/>
      <c r="F6" s="2204"/>
      <c r="G6" s="2205"/>
      <c r="H6" s="2205"/>
      <c r="I6" s="2205"/>
      <c r="J6" s="2206"/>
      <c r="K6" s="1566"/>
      <c r="L6" s="2188" t="s">
        <v>2650</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hidden="1">
      <c r="A7" s="3417" t="str">
        <f>IF(E2="商业",IF(C8="不临58条商业街","",2),"")</f>
        <v/>
      </c>
      <c r="B7" s="2207" t="s">
        <v>2651</v>
      </c>
      <c r="C7" s="856" t="e">
        <f>IF(C8="不临58条商业街",1,ROUND(1+(1.6*E8+1.2*E9+0.8*E10+0.4*E11)*C9,4))</f>
        <v>#DIV/0!</v>
      </c>
      <c r="D7" s="2208" t="s">
        <v>2652</v>
      </c>
      <c r="E7" s="880"/>
      <c r="F7" s="2209"/>
      <c r="G7" s="2210"/>
      <c r="H7" s="2210"/>
      <c r="I7" s="2210"/>
      <c r="J7" s="2211"/>
      <c r="K7" s="1566"/>
      <c r="L7" s="2188" t="s">
        <v>2653</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v>
      </c>
      <c r="T7" s="1372" t="e">
        <f t="shared" si="0"/>
        <v>#DIV/0!</v>
      </c>
      <c r="U7" s="1373"/>
      <c r="V7" s="1372" t="e">
        <f t="shared" si="1"/>
        <v>#DIV/0!</v>
      </c>
      <c r="W7" s="1540" t="s">
        <v>2654</v>
      </c>
      <c r="X7" s="1374">
        <f>G2</f>
        <v>0</v>
      </c>
      <c r="Y7" s="1374" t="s">
        <v>2655</v>
      </c>
      <c r="Z7" s="1375">
        <f>G3</f>
        <v>3.13</v>
      </c>
      <c r="AA7" s="1376"/>
      <c r="AB7" s="1376"/>
      <c r="AC7" s="1377"/>
      <c r="AD7" s="1378"/>
      <c r="AE7" s="1378"/>
      <c r="AF7" s="1378"/>
      <c r="AG7" s="1378"/>
      <c r="AH7" s="1378"/>
      <c r="AI7" s="1378"/>
      <c r="AJ7" s="1379"/>
    </row>
    <row r="8" spans="1:36" ht="15" hidden="1">
      <c r="A8" s="3418"/>
      <c r="B8" s="173" t="s">
        <v>2656</v>
      </c>
      <c r="C8" s="2212"/>
      <c r="D8" s="857" t="s">
        <v>139</v>
      </c>
      <c r="E8" s="858" t="e">
        <f>ROUND(C11/E7,4)</f>
        <v>#DIV/0!</v>
      </c>
      <c r="F8" s="2213" t="s">
        <v>2657</v>
      </c>
      <c r="G8" s="2214"/>
      <c r="H8" s="2214"/>
      <c r="I8" s="2214"/>
      <c r="J8" s="2215"/>
      <c r="K8" s="1278"/>
      <c r="L8" s="2188" t="s">
        <v>2658</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410" t="s">
        <v>2659</v>
      </c>
      <c r="X8" s="3411"/>
      <c r="Y8" s="1380" t="s">
        <v>2660</v>
      </c>
      <c r="Z8" s="1380" t="s">
        <v>2661</v>
      </c>
      <c r="AA8" s="1380" t="s">
        <v>2662</v>
      </c>
      <c r="AB8" s="1380" t="s">
        <v>2663</v>
      </c>
      <c r="AC8" s="1380" t="s">
        <v>2664</v>
      </c>
      <c r="AD8" s="1380" t="s">
        <v>2665</v>
      </c>
      <c r="AE8" s="1380" t="s">
        <v>2666</v>
      </c>
      <c r="AF8" s="1380" t="s">
        <v>2667</v>
      </c>
      <c r="AG8" s="1380" t="s">
        <v>2668</v>
      </c>
      <c r="AH8" s="1380" t="s">
        <v>2669</v>
      </c>
      <c r="AI8" s="1380" t="s">
        <v>2670</v>
      </c>
      <c r="AJ8" s="1380" t="s">
        <v>2671</v>
      </c>
    </row>
    <row r="9" spans="1:36" ht="15" hidden="1">
      <c r="A9" s="3418"/>
      <c r="B9" s="173" t="s">
        <v>2672</v>
      </c>
      <c r="C9" s="859">
        <f>SUMIF(修正!C59:C119,C8,修正!E59:E119)</f>
        <v>0</v>
      </c>
      <c r="D9" s="174" t="s">
        <v>140</v>
      </c>
      <c r="E9" s="174" t="e">
        <f>ROUND(C11/E7,4)</f>
        <v>#DIV/0!</v>
      </c>
      <c r="F9" s="2213" t="s">
        <v>2673</v>
      </c>
      <c r="G9" s="2214"/>
      <c r="H9" s="2214"/>
      <c r="I9" s="2214"/>
      <c r="J9" s="2215"/>
      <c r="K9" s="1278"/>
      <c r="L9" s="2188" t="s">
        <v>2674</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412" t="s">
        <v>2675</v>
      </c>
      <c r="X9" s="1381" t="s">
        <v>2676</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hidden="1">
      <c r="A10" s="3418"/>
      <c r="B10" s="173" t="s">
        <v>2677</v>
      </c>
      <c r="C10" s="174">
        <f>SUMIF(修正!C59:C119,C8,修正!F59:F119)</f>
        <v>0</v>
      </c>
      <c r="D10" s="174" t="s">
        <v>141</v>
      </c>
      <c r="E10" s="174" t="e">
        <f>ROUND(C11/E7,4)</f>
        <v>#DIV/0!</v>
      </c>
      <c r="F10" s="2213" t="s">
        <v>2678</v>
      </c>
      <c r="G10" s="2214"/>
      <c r="H10" s="2214"/>
      <c r="I10" s="2214"/>
      <c r="J10" s="2215"/>
      <c r="K10" s="1278"/>
      <c r="L10" s="2188" t="s">
        <v>2679</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412"/>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hidden="1" thickBot="1">
      <c r="A11" s="3418"/>
      <c r="B11" s="2216" t="s">
        <v>2680</v>
      </c>
      <c r="C11" s="860">
        <f>C10/4</f>
        <v>0</v>
      </c>
      <c r="D11" s="860" t="s">
        <v>142</v>
      </c>
      <c r="E11" s="860" t="e">
        <f>ROUND(C11/E7,4)</f>
        <v>#DIV/0!</v>
      </c>
      <c r="F11" s="2217" t="s">
        <v>2681</v>
      </c>
      <c r="G11" s="2218"/>
      <c r="H11" s="2218"/>
      <c r="I11" s="2218"/>
      <c r="J11" s="2219"/>
      <c r="K11" s="1278"/>
      <c r="L11" s="2188" t="s">
        <v>2682</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412" t="s">
        <v>2683</v>
      </c>
      <c r="X11" s="1384" t="s">
        <v>2684</v>
      </c>
      <c r="Y11" s="1385">
        <f>$G$3</f>
        <v>3.13</v>
      </c>
      <c r="Z11" s="1385">
        <f t="shared" ref="Z11:AJ11" si="3">$G$3</f>
        <v>3.13</v>
      </c>
      <c r="AA11" s="1385">
        <f t="shared" si="3"/>
        <v>3.13</v>
      </c>
      <c r="AB11" s="1385">
        <f t="shared" si="3"/>
        <v>3.13</v>
      </c>
      <c r="AC11" s="1385">
        <f t="shared" si="3"/>
        <v>3.13</v>
      </c>
      <c r="AD11" s="1385">
        <f t="shared" si="3"/>
        <v>3.13</v>
      </c>
      <c r="AE11" s="1385">
        <f t="shared" si="3"/>
        <v>3.13</v>
      </c>
      <c r="AF11" s="1385">
        <f t="shared" si="3"/>
        <v>3.13</v>
      </c>
      <c r="AG11" s="1385">
        <f t="shared" si="3"/>
        <v>3.13</v>
      </c>
      <c r="AH11" s="1385">
        <f t="shared" si="3"/>
        <v>3.13</v>
      </c>
      <c r="AI11" s="1385">
        <f t="shared" si="3"/>
        <v>3.13</v>
      </c>
      <c r="AJ11" s="1385">
        <f t="shared" si="3"/>
        <v>3.13</v>
      </c>
    </row>
    <row r="12" spans="1:36" ht="25.5" hidden="1" thickBot="1">
      <c r="A12" s="3417" t="s">
        <v>2685</v>
      </c>
      <c r="B12" s="2220" t="s">
        <v>2686</v>
      </c>
      <c r="C12" s="856">
        <f>ROUND(C15*D15*E15*F15*G15*H15*I15*J15,4)</f>
        <v>1</v>
      </c>
      <c r="D12" s="2221" t="s">
        <v>2687</v>
      </c>
      <c r="E12" s="2222"/>
      <c r="F12" s="2222"/>
      <c r="G12" s="2223"/>
      <c r="H12" s="2223"/>
      <c r="I12" s="2223"/>
      <c r="J12" s="2224"/>
      <c r="K12" s="1278"/>
      <c r="L12" s="2225" t="s">
        <v>2688</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412"/>
      <c r="X12" s="1386" t="s">
        <v>2689</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hidden="1">
      <c r="A13" s="3419"/>
      <c r="B13" s="2226" t="s">
        <v>2690</v>
      </c>
      <c r="C13" s="2227" t="s">
        <v>2691</v>
      </c>
      <c r="D13" s="1532" t="s">
        <v>2692</v>
      </c>
      <c r="E13" s="1532" t="s">
        <v>2693</v>
      </c>
      <c r="F13" s="30" t="s">
        <v>2694</v>
      </c>
      <c r="G13" s="2228" t="s">
        <v>2695</v>
      </c>
      <c r="H13" s="2228" t="s">
        <v>2695</v>
      </c>
      <c r="I13" s="2228" t="s">
        <v>2695</v>
      </c>
      <c r="J13" s="2229" t="s">
        <v>2695</v>
      </c>
      <c r="K13" s="1278"/>
      <c r="L13" s="1278"/>
      <c r="M13" s="1278"/>
      <c r="N13" s="1278"/>
      <c r="O13" s="1278"/>
      <c r="P13" s="1278"/>
      <c r="Q13" s="1278"/>
      <c r="R13" s="1372">
        <v>12</v>
      </c>
      <c r="S13" s="1373"/>
      <c r="T13" s="1372" t="e">
        <f t="shared" si="0"/>
        <v>#DIV/0!</v>
      </c>
      <c r="U13" s="1373"/>
      <c r="V13" s="1372" t="e">
        <f t="shared" si="1"/>
        <v>#DIV/0!</v>
      </c>
      <c r="W13" s="3412"/>
      <c r="X13" s="1386"/>
      <c r="Y13" s="1383">
        <f>(-0.163*(Y12^2)-0.59*Y12+7617)*(10^(-4))/Y11</f>
        <v>0.24335463258785944</v>
      </c>
      <c r="Z13" s="1383">
        <f t="shared" ref="Z13:AJ13" si="5">(-0.163*(Z12^2)-0.59*Z12+7617)*(10^(-4))/Z11</f>
        <v>0.24335463258785944</v>
      </c>
      <c r="AA13" s="1383">
        <f t="shared" si="5"/>
        <v>0.24335463258785944</v>
      </c>
      <c r="AB13" s="1383">
        <f t="shared" si="5"/>
        <v>0.24335463258785944</v>
      </c>
      <c r="AC13" s="1383">
        <f t="shared" si="5"/>
        <v>0.24335463258785944</v>
      </c>
      <c r="AD13" s="1383">
        <f t="shared" si="5"/>
        <v>0.24335463258785944</v>
      </c>
      <c r="AE13" s="1383">
        <f t="shared" si="5"/>
        <v>0.24335463258785944</v>
      </c>
      <c r="AF13" s="1383">
        <f t="shared" si="5"/>
        <v>0.24335463258785944</v>
      </c>
      <c r="AG13" s="1383">
        <f t="shared" si="5"/>
        <v>0.24335463258785944</v>
      </c>
      <c r="AH13" s="1383">
        <f t="shared" si="5"/>
        <v>0.24335463258785944</v>
      </c>
      <c r="AI13" s="1383">
        <f t="shared" si="5"/>
        <v>0.24335463258785944</v>
      </c>
      <c r="AJ13" s="1383">
        <f t="shared" si="5"/>
        <v>0.24335463258785944</v>
      </c>
    </row>
    <row r="14" spans="1:36" ht="15" hidden="1">
      <c r="A14" s="3419"/>
      <c r="B14" s="2230"/>
      <c r="C14" s="2231"/>
      <c r="D14" s="2232"/>
      <c r="E14" s="2232"/>
      <c r="F14" s="2233"/>
      <c r="G14" s="2234" t="s">
        <v>2696</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7"/>
      <c r="AE14" s="3017"/>
      <c r="AF14" s="3017"/>
      <c r="AG14" s="3017"/>
      <c r="AH14" s="3017"/>
      <c r="AI14" s="3017"/>
      <c r="AJ14" s="3018"/>
    </row>
    <row r="15" spans="1:36" ht="15.75" hidden="1" thickBot="1">
      <c r="A15" s="3420"/>
      <c r="B15" s="2238" t="s">
        <v>2697</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7"/>
      <c r="AE15" s="3017"/>
      <c r="AF15" s="3017"/>
      <c r="AG15" s="3017"/>
      <c r="AH15" s="3017"/>
      <c r="AI15" s="3017"/>
      <c r="AJ15" s="3018"/>
    </row>
    <row r="16" spans="1:36" ht="24.6" customHeight="1">
      <c r="A16" s="3417" t="s">
        <v>2702</v>
      </c>
      <c r="B16" s="2207" t="s">
        <v>2703</v>
      </c>
      <c r="C16" s="2369">
        <f>ROUND(IF(F17="与级别开发程度一致",0,(G17-E17)/C17),0)</f>
        <v>0</v>
      </c>
      <c r="D16" s="3433" t="s">
        <v>2707</v>
      </c>
      <c r="E16" s="3434"/>
      <c r="F16" s="3433" t="s">
        <v>2704</v>
      </c>
      <c r="G16" s="3434"/>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7"/>
      <c r="AE16" s="3017"/>
      <c r="AF16" s="3017"/>
      <c r="AG16" s="3017"/>
      <c r="AH16" s="3017"/>
      <c r="AI16" s="3017"/>
      <c r="AJ16" s="3018"/>
    </row>
    <row r="17" spans="1:37" ht="26.25" thickBot="1">
      <c r="A17" s="3421"/>
      <c r="B17" s="2380" t="s">
        <v>2706</v>
      </c>
      <c r="C17" s="2381">
        <f>SUMPRODUCT((修正!A2:A5=E2)*(修正!B1:M1=G2)*(修正!B2:M5))</f>
        <v>0</v>
      </c>
      <c r="D17" s="191" t="str">
        <f>IF(OR(G2="八级",G2="九级",G2="十级",G2="十一级",G2="十二级"),"五通一平","七通一平")</f>
        <v>七通一平</v>
      </c>
      <c r="E17" s="2370">
        <f>SUMPRODUCT((修正!B1:M1=G2)*(修正!B15:M15))</f>
        <v>0</v>
      </c>
      <c r="F17" s="2371" t="s">
        <v>3099</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2709</v>
      </c>
      <c r="C18" s="2376">
        <f>SUMIF(修正!C18:C39,E3,修正!E18:E39)</f>
        <v>1</v>
      </c>
      <c r="D18" s="2377"/>
      <c r="E18" s="2378"/>
      <c r="F18" s="2378"/>
      <c r="G18" s="2378"/>
      <c r="H18" s="2378"/>
      <c r="I18" s="2378"/>
      <c r="J18" s="2379"/>
      <c r="K18" s="1285"/>
      <c r="L18" s="3016"/>
      <c r="M18" s="3016"/>
      <c r="N18" s="3016"/>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6"/>
    </row>
    <row r="19" spans="1:37" s="2200" customFormat="1" ht="27.75" thickBot="1">
      <c r="A19" s="2244" t="s">
        <v>809</v>
      </c>
      <c r="B19" s="2245" t="s">
        <v>2710</v>
      </c>
      <c r="C19" s="861">
        <f>ROUND(IF(H19="按公示增长率计算",SUMPRODUCT((地价!A3:A34=YEAR(G19)&amp;"-"&amp;ROUNDUP(MONTH(G19)/3,0))*(地价!X2:AB2=E2)*(地价!X3:AB34)),IF(H19="地价指数",M20/M19,(1+I19)^O19)),4)</f>
        <v>1.4260999999999999</v>
      </c>
      <c r="D19" s="2249" t="s">
        <v>2711</v>
      </c>
      <c r="E19" s="862">
        <v>41640</v>
      </c>
      <c r="F19" s="2249" t="s">
        <v>2712</v>
      </c>
      <c r="G19" s="863">
        <f>'数据-取费表'!B2</f>
        <v>44311</v>
      </c>
      <c r="H19" s="2250" t="s">
        <v>3100</v>
      </c>
      <c r="I19" s="864" t="str">
        <f>IF(H19="季度增幅（自定义）",SUMIF(N21:N24,E2,O21:O24),"")</f>
        <v/>
      </c>
      <c r="J19" s="2247"/>
      <c r="K19" s="1285"/>
      <c r="L19" s="2251" t="s">
        <v>2713</v>
      </c>
      <c r="M19" s="1494">
        <f>ROUND(SUMIF(地价!B2:F2,E2,地价!B34:F34),0)</f>
        <v>230</v>
      </c>
      <c r="N19" s="2252" t="s">
        <v>2714</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9"/>
      <c r="AH19" s="2338"/>
      <c r="AI19" s="3020"/>
      <c r="AJ19" s="3020"/>
      <c r="AK19" s="2253"/>
    </row>
    <row r="20" spans="1:37" s="2200" customFormat="1" ht="27.75" thickBot="1">
      <c r="A20" s="2254" t="s">
        <v>810</v>
      </c>
      <c r="B20" s="2255" t="s">
        <v>2715</v>
      </c>
      <c r="C20" s="866" t="e">
        <f>ROUND(POWER(1+G20,J20-I20)*(POWER(1+G20,I20)-1)/(POWER(1+G20,J20)-1),4)</f>
        <v>#DIV/0!</v>
      </c>
      <c r="D20" s="2256" t="s">
        <v>2716</v>
      </c>
      <c r="E20" s="1503">
        <f>存贷款利率!E18/100</f>
        <v>4.3499999999999997E-2</v>
      </c>
      <c r="F20" s="2256" t="s">
        <v>2708</v>
      </c>
      <c r="G20" s="871">
        <f>SUMIF(M26:P26,E2,M28:P28)</f>
        <v>4.8000000000000001E-2</v>
      </c>
      <c r="H20" s="2256" t="s">
        <v>2717</v>
      </c>
      <c r="I20" s="872" t="e">
        <f>SUMIF('数据-取费表'!C6:C15,E2,'数据-取费表'!F6:F15)/COUNTIF('数据-取费表'!C6:C15,E2)</f>
        <v>#DIV/0!</v>
      </c>
      <c r="J20" s="873">
        <f>IF(E2="住宅",70,IF(E2="商业",40,50))</f>
        <v>50</v>
      </c>
      <c r="K20" s="1285"/>
      <c r="L20" s="2257" t="s">
        <v>2718</v>
      </c>
      <c r="M20" s="1495">
        <f>ROUND(SUMPRODUCT((地价!A4:A34=YEAR(G19)&amp;"-"&amp;ROUNDUP(MONTH(G19)/3,0))*(地价!B2:F2=E2)*(地价!B4:F34)),0)</f>
        <v>328</v>
      </c>
      <c r="N20" s="2258" t="s">
        <v>2719</v>
      </c>
      <c r="O20" s="2259" t="s">
        <v>2720</v>
      </c>
      <c r="P20" s="2260" t="s">
        <v>2721</v>
      </c>
      <c r="Q20" s="3016"/>
      <c r="R20" s="1284"/>
      <c r="S20" s="1284"/>
      <c r="T20" s="1279"/>
      <c r="U20" s="1279"/>
      <c r="V20" s="1279"/>
      <c r="W20" s="1278"/>
      <c r="X20" s="1278"/>
      <c r="Y20" s="1278"/>
      <c r="Z20" s="1285"/>
      <c r="AA20" s="1285"/>
      <c r="AB20" s="1285"/>
      <c r="AC20" s="1285"/>
      <c r="AD20" s="1285"/>
      <c r="AE20" s="1285"/>
      <c r="AF20" s="1285"/>
      <c r="AG20" s="3016"/>
      <c r="AH20" s="3016"/>
      <c r="AI20" s="3016"/>
      <c r="AJ20" s="3016"/>
    </row>
    <row r="21" spans="1:37" s="2200" customFormat="1" ht="15">
      <c r="A21" s="2261" t="s">
        <v>811</v>
      </c>
      <c r="B21" s="2262" t="s">
        <v>3101</v>
      </c>
      <c r="C21" s="874">
        <f>IF(B21="容积率修正",IF(G3&lt;=10,D22,J22),C23)</f>
        <v>0</v>
      </c>
      <c r="D21" s="2263"/>
      <c r="E21" s="2263"/>
      <c r="F21" s="2263"/>
      <c r="G21" s="2263"/>
      <c r="H21" s="2263"/>
      <c r="I21" s="2263"/>
      <c r="J21" s="2264"/>
      <c r="K21" s="1285"/>
      <c r="L21" s="3016"/>
      <c r="M21" s="3016"/>
      <c r="N21" s="2265" t="s">
        <v>2722</v>
      </c>
      <c r="O21" s="1333"/>
      <c r="P21" s="1334">
        <f>SUMPRODUCT((地价!A3:A34=YEAR(G19)&amp;"-"&amp;ROUNDUP(MONTH(G19)/3,0))*(地价!AD2:AH2=N21)*(地价!AD3:AH34))</f>
        <v>1.0800000000000001E-2</v>
      </c>
      <c r="Q21" s="3016"/>
      <c r="R21" s="1284"/>
      <c r="S21" s="1284"/>
      <c r="T21" s="1279"/>
      <c r="U21" s="1279"/>
      <c r="V21" s="1279"/>
      <c r="W21" s="1278"/>
      <c r="X21" s="1278"/>
      <c r="Y21" s="1278"/>
      <c r="Z21" s="1285"/>
      <c r="AA21" s="1285"/>
      <c r="AB21" s="1285"/>
      <c r="AC21" s="1285"/>
      <c r="AD21" s="1285"/>
      <c r="AE21" s="1285"/>
      <c r="AF21" s="1285"/>
      <c r="AG21" s="3016"/>
      <c r="AH21" s="3016"/>
      <c r="AI21" s="3016"/>
      <c r="AJ21" s="3016"/>
    </row>
    <row r="22" spans="1:37" s="2200" customFormat="1" ht="14.25">
      <c r="A22" s="2139" t="s">
        <v>2723</v>
      </c>
      <c r="B22" s="2266" t="s">
        <v>2724</v>
      </c>
      <c r="C22" s="1534" t="s">
        <v>2725</v>
      </c>
      <c r="D22" s="1534">
        <f>IF(E22=G22,F22,IF(G3&lt;=10,ROUND(F22+(H22-F22)*(G3-E22)/(G22-E22),4),"——"))</f>
        <v>0</v>
      </c>
      <c r="E22" s="853">
        <f>ROUNDDOWN(G3,1)</f>
        <v>3.1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3">
        <f>ROUNDUP(G3,1)</f>
        <v>3.2</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5" t="str">
        <f>IF(G3&gt;10,D113,"——")</f>
        <v>——</v>
      </c>
      <c r="K22" s="1285"/>
      <c r="L22" s="3016"/>
      <c r="M22" s="3016"/>
      <c r="N22" s="2265" t="s">
        <v>2726</v>
      </c>
      <c r="O22" s="1333"/>
      <c r="P22" s="1334">
        <f>SUMPRODUCT((地价!A3:A34=YEAR(G19)&amp;"-"&amp;ROUNDUP(MONTH(G19)/3,0))*(地价!AD2:AH2=N22)*(地价!AD3:AH34))</f>
        <v>1.0800000000000001E-2</v>
      </c>
      <c r="Q22" s="3016"/>
      <c r="R22" s="1284"/>
      <c r="S22" s="1284"/>
      <c r="T22" s="1279"/>
      <c r="U22" s="1279"/>
      <c r="V22" s="1279"/>
      <c r="W22" s="1278"/>
      <c r="X22" s="1278"/>
      <c r="Y22" s="1278"/>
      <c r="Z22" s="1285"/>
      <c r="AA22" s="1285"/>
      <c r="AB22" s="1285"/>
      <c r="AC22" s="1285"/>
      <c r="AD22" s="1285"/>
      <c r="AE22" s="1285"/>
      <c r="AF22" s="1285"/>
      <c r="AG22" s="3016"/>
      <c r="AH22" s="3016"/>
      <c r="AI22" s="3016"/>
      <c r="AJ22" s="3016"/>
    </row>
    <row r="23" spans="1:37" ht="27.75" thickBot="1">
      <c r="A23" s="2139" t="s">
        <v>2727</v>
      </c>
      <c r="B23" s="2267" t="s">
        <v>2728</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2729</v>
      </c>
      <c r="O23" s="1333"/>
      <c r="P23" s="1334">
        <f>SUMPRODUCT((地价!A3:A34=YEAR(G19)&amp;"-"&amp;ROUNDUP(MONTH(G19)/3,0))*(地价!AD2:AH2=N23)*(地价!AD3:AH34))</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2730</v>
      </c>
      <c r="C24" s="861">
        <f>SUMIF(A45:A88,E2,B45:B88)</f>
        <v>0.99890000000000001</v>
      </c>
      <c r="D24" s="2246"/>
      <c r="E24" s="2273"/>
      <c r="F24" s="2273"/>
      <c r="G24" s="2273"/>
      <c r="H24" s="2273"/>
      <c r="I24" s="2273"/>
      <c r="J24" s="2274"/>
      <c r="K24" s="1285"/>
      <c r="L24" s="3016"/>
      <c r="M24" s="3016"/>
      <c r="N24" s="2275" t="s">
        <v>2731</v>
      </c>
      <c r="O24" s="1335"/>
      <c r="P24" s="1336">
        <f>SUMPRODUCT((地价!A3:A34=YEAR(G19)&amp;"-"&amp;ROUNDUP(MONTH(G19)/3,0))*(地价!AD2:AH2=N24)*(地价!AD3:AH34))</f>
        <v>1.24E-2</v>
      </c>
      <c r="Q24" s="3016"/>
      <c r="R24" s="1284"/>
      <c r="S24" s="1284"/>
      <c r="T24" s="1279"/>
      <c r="U24" s="1279"/>
      <c r="V24" s="1279"/>
      <c r="W24" s="1278"/>
      <c r="X24" s="1278"/>
      <c r="Y24" s="1278"/>
      <c r="Z24" s="1285"/>
      <c r="AA24" s="1285"/>
      <c r="AB24" s="1285"/>
      <c r="AC24" s="1285"/>
      <c r="AD24" s="1285"/>
      <c r="AE24" s="1285"/>
      <c r="AF24" s="1285"/>
      <c r="AG24" s="3016"/>
      <c r="AH24" s="3016"/>
      <c r="AI24" s="3016"/>
      <c r="AJ24" s="3016"/>
    </row>
    <row r="25" spans="1:37" ht="15.75" thickBot="1">
      <c r="A25" s="2254" t="s">
        <v>813</v>
      </c>
      <c r="B25" s="2276" t="s">
        <v>2732</v>
      </c>
      <c r="C25" s="867"/>
      <c r="D25" s="2210"/>
      <c r="E25" s="2210"/>
      <c r="F25" s="2277"/>
      <c r="G25" s="2210"/>
      <c r="H25" s="2210"/>
      <c r="I25" s="2210"/>
      <c r="J25" s="2211"/>
      <c r="K25" s="1278"/>
      <c r="L25" s="2181"/>
      <c r="M25" s="2181"/>
      <c r="N25" s="3011" t="s">
        <v>2733</v>
      </c>
      <c r="O25" s="3012"/>
      <c r="P25" s="3013">
        <f>SUMPRODUCT((地价!A3:A34=YEAR(G19)&amp;"-"&amp;ROUNDUP(MONTH(G19)/3,0))*(地价!AD2:AH2=N25)*(地价!AD3:AH34))</f>
        <v>1.6899999999999998E-2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78"/>
      <c r="L26" s="3014" t="s">
        <v>2633</v>
      </c>
      <c r="M26" s="2208" t="s">
        <v>2698</v>
      </c>
      <c r="N26" s="2208" t="s">
        <v>2699</v>
      </c>
      <c r="O26" s="2208" t="s">
        <v>2700</v>
      </c>
      <c r="P26" s="3015" t="s">
        <v>2701</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2735</v>
      </c>
      <c r="C27" s="868" t="e">
        <f>E30+SUM(I33:I39)</f>
        <v>#DIV/0!</v>
      </c>
      <c r="D27" s="2283"/>
      <c r="E27" s="2284"/>
      <c r="F27" s="2285"/>
      <c r="G27" s="2284"/>
      <c r="H27" s="2284"/>
      <c r="I27" s="2284"/>
      <c r="J27" s="2286"/>
      <c r="K27" s="1278"/>
      <c r="L27" s="2241"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78"/>
      <c r="L28" s="2242" t="s">
        <v>2708</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2740</v>
      </c>
      <c r="C29" s="178" t="e">
        <f>ROUND(C5*C18*C19*C20*C21*C24,0)</f>
        <v>#DIV/0!</v>
      </c>
      <c r="D29" s="2294">
        <f>'数据-汇总表'!F19</f>
        <v>125054.78</v>
      </c>
      <c r="E29" s="877" t="e">
        <f>ROUND(C29*D29/10000,0)</f>
        <v>#DIV/0!</v>
      </c>
      <c r="F29" s="2295" t="s">
        <v>2741</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2742</v>
      </c>
      <c r="C30" s="191" t="e">
        <f>ROUND(IF(E2="工业",C29*M39,C29*M38),0)</f>
        <v>#DIV/0!</v>
      </c>
      <c r="D30" s="2300"/>
      <c r="E30" s="877" t="e">
        <f>ROUND(C30*D30/10000,0)</f>
        <v>#DIV/0!</v>
      </c>
      <c r="F30" s="2301" t="s">
        <v>2743</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2744</v>
      </c>
      <c r="C31" s="2306" t="s">
        <v>2745</v>
      </c>
      <c r="D31" s="2223"/>
      <c r="E31" s="2306"/>
      <c r="F31" s="2306"/>
      <c r="G31" s="2221" t="s">
        <v>2746</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2737</v>
      </c>
      <c r="D32" s="453" t="s">
        <v>2738</v>
      </c>
      <c r="E32" s="453" t="s">
        <v>2739</v>
      </c>
      <c r="F32" s="346" t="s">
        <v>2747</v>
      </c>
      <c r="G32" s="2309" t="s">
        <v>2737</v>
      </c>
      <c r="H32" s="2309" t="s">
        <v>2738</v>
      </c>
      <c r="I32" s="2309" t="s">
        <v>2739</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430"/>
      <c r="B33" s="2310" t="s">
        <v>2748</v>
      </c>
      <c r="C33" s="178" t="e">
        <f>ROUND(D5*C19*C20*C24*F33,0)</f>
        <v>#DIV/0!</v>
      </c>
      <c r="D33" s="2294"/>
      <c r="E33" s="174" t="e">
        <f>ROUND(C33*D33/10000,0)</f>
        <v>#DIV/0!</v>
      </c>
      <c r="F33" s="174">
        <f>SUMIF(修正!A45:A56,G2,修正!B45:B56)</f>
        <v>0</v>
      </c>
      <c r="G33" s="174" t="e">
        <f t="shared" ref="G33" si="6">ROUND(IF(E2="工业",C33*$M$39,C33*$M$38),0)</f>
        <v>#DIV/0!</v>
      </c>
      <c r="H33" s="174">
        <f>D33</f>
        <v>0</v>
      </c>
      <c r="I33" s="174" t="e">
        <f>ROUND(G33*H33/10000,0)</f>
        <v>#DIV/0!</v>
      </c>
      <c r="J33" s="3435" t="s">
        <v>3054</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431"/>
      <c r="B34" s="2227" t="s">
        <v>2749</v>
      </c>
      <c r="C34" s="178" t="e">
        <f>ROUND(D5*C19*C20*C24*F34,0)</f>
        <v>#DIV/0!</v>
      </c>
      <c r="D34" s="2294"/>
      <c r="E34" s="174" t="e">
        <f t="shared" ref="E34:E39" si="7">ROUND(C34*D34/10000,0)</f>
        <v>#DIV/0!</v>
      </c>
      <c r="F34" s="174">
        <f>SUMIF(修正!A45:A56,G2,修正!C45:C56)</f>
        <v>0</v>
      </c>
      <c r="G34" s="174" t="e">
        <f>ROUND(IF(E2="工业",C34*$M$39,C34*$M$38),0)</f>
        <v>#DIV/0!</v>
      </c>
      <c r="H34" s="174">
        <f t="shared" ref="H34:H39" si="8">D34</f>
        <v>0</v>
      </c>
      <c r="I34" s="174" t="e">
        <f t="shared" ref="I34:I39" si="9">ROUND(G34*H34/10000,0)</f>
        <v>#DIV/0!</v>
      </c>
      <c r="J34" s="3431"/>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431"/>
      <c r="B35" s="2227" t="s">
        <v>2750</v>
      </c>
      <c r="C35" s="178" t="e">
        <f>ROUND(D5*C19*C20*C24*F35,0)</f>
        <v>#DIV/0!</v>
      </c>
      <c r="D35" s="2294"/>
      <c r="E35" s="174" t="e">
        <f t="shared" si="7"/>
        <v>#DIV/0!</v>
      </c>
      <c r="F35" s="174">
        <f>SUMIF(修正!A45:A56,G2,修正!D45:D56)</f>
        <v>0</v>
      </c>
      <c r="G35" s="174" t="e">
        <f>ROUND(IF(E2="工业",C35*$M$39,C35*$M$38),0)</f>
        <v>#DIV/0!</v>
      </c>
      <c r="H35" s="174">
        <f t="shared" si="8"/>
        <v>0</v>
      </c>
      <c r="I35" s="174" t="e">
        <f t="shared" si="9"/>
        <v>#DIV/0!</v>
      </c>
      <c r="J35" s="3431"/>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432"/>
      <c r="B36" s="2227" t="s">
        <v>2751</v>
      </c>
      <c r="C36" s="178" t="e">
        <f>ROUND(D5*C19*C20*C24*F36,0)</f>
        <v>#DIV/0!</v>
      </c>
      <c r="D36" s="2294"/>
      <c r="E36" s="174" t="e">
        <f t="shared" si="7"/>
        <v>#DIV/0!</v>
      </c>
      <c r="F36" s="174">
        <f>SUMIF(修正!A45:A56,G2,修正!E45:E56)</f>
        <v>0</v>
      </c>
      <c r="G36" s="174" t="e">
        <f>ROUND(IF(E2="工业",C36*$M$39,C36*$M$38),0)</f>
        <v>#DIV/0!</v>
      </c>
      <c r="H36" s="174">
        <f t="shared" si="8"/>
        <v>0</v>
      </c>
      <c r="I36" s="174" t="e">
        <f t="shared" si="9"/>
        <v>#DIV/0!</v>
      </c>
      <c r="J36" s="3432"/>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2752</v>
      </c>
      <c r="C37" s="174" t="e">
        <f>ROUND(D5*C19*C20*C24*F37,0)</f>
        <v>#DIV/0!</v>
      </c>
      <c r="D37" s="2294"/>
      <c r="E37" s="174" t="e">
        <f t="shared" si="7"/>
        <v>#DIV/0!</v>
      </c>
      <c r="F37" s="178">
        <f>SUMIF(修正!A45:A56,G2,修正!F45:F56)</f>
        <v>0</v>
      </c>
      <c r="G37" s="174" t="e">
        <f>ROUND(IF(E2="工业",C37*$M$39,C37*$M$38),0)</f>
        <v>#DIV/0!</v>
      </c>
      <c r="H37" s="174">
        <f t="shared" si="8"/>
        <v>0</v>
      </c>
      <c r="I37" s="174" t="e">
        <f t="shared" si="9"/>
        <v>#DIV/0!</v>
      </c>
      <c r="J37" s="2311"/>
      <c r="K37" s="1278"/>
      <c r="L37" s="2313" t="s">
        <v>2753</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2754</v>
      </c>
      <c r="C38" s="174">
        <f>ROUND(D5*C19*C41*C24*F38,0)</f>
        <v>0</v>
      </c>
      <c r="D38" s="2294"/>
      <c r="E38" s="174">
        <f t="shared" si="7"/>
        <v>0</v>
      </c>
      <c r="F38" s="178">
        <f>SUMIF(修正!A45:A56,G2,修正!G45:G56)</f>
        <v>0</v>
      </c>
      <c r="G38" s="174">
        <f>ROUND(IF(E2="工业",C38*$M$39,C38*$M$38),0)</f>
        <v>0</v>
      </c>
      <c r="H38" s="174">
        <f t="shared" si="8"/>
        <v>0</v>
      </c>
      <c r="I38" s="174">
        <f t="shared" si="9"/>
        <v>0</v>
      </c>
      <c r="J38" s="2311"/>
      <c r="K38" s="1278"/>
      <c r="L38" s="1603" t="s">
        <v>2755</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2756</v>
      </c>
      <c r="C39" s="191">
        <f>ROUND(D5*C19*C41*C24*F39,0)</f>
        <v>0</v>
      </c>
      <c r="D39" s="2300"/>
      <c r="E39" s="191">
        <f t="shared" si="7"/>
        <v>0</v>
      </c>
      <c r="F39" s="869">
        <f>SUMIF(修正!A45:A56,G2,修正!H45:H56)</f>
        <v>0</v>
      </c>
      <c r="G39" s="191">
        <f>ROUND(IF(E2="工业",C39*$M$39,C39*$M$38),0)</f>
        <v>0</v>
      </c>
      <c r="H39" s="191">
        <f t="shared" si="8"/>
        <v>0</v>
      </c>
      <c r="I39" s="191">
        <f t="shared" si="9"/>
        <v>0</v>
      </c>
      <c r="J39" s="2317"/>
      <c r="K39" s="1278"/>
      <c r="L39" s="2318" t="s">
        <v>2701</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2861</v>
      </c>
      <c r="C41" s="346">
        <f>ROUND(POWER(1+E41,H41-G41)*(POWER(1+E41,G41)-1)/(POWER(1+E41,H41)-1),4)</f>
        <v>0</v>
      </c>
      <c r="D41" s="174" t="s">
        <v>2708</v>
      </c>
      <c r="E41" s="2367">
        <f>G20</f>
        <v>4.8000000000000001E-2</v>
      </c>
      <c r="F41" s="174" t="s">
        <v>2717</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2757</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c r="A46" s="2323" t="s">
        <v>2758</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c r="A47" s="2327" t="s">
        <v>2759</v>
      </c>
      <c r="B47" s="1533" t="s">
        <v>2760</v>
      </c>
      <c r="C47" s="1533" t="s">
        <v>2761</v>
      </c>
      <c r="D47" s="1533" t="s">
        <v>2762</v>
      </c>
      <c r="E47" s="756" t="s">
        <v>2763</v>
      </c>
      <c r="F47" s="2328" t="s">
        <v>2764</v>
      </c>
      <c r="G47" s="1533" t="s">
        <v>754</v>
      </c>
      <c r="H47" s="2329" t="s">
        <v>2765</v>
      </c>
      <c r="I47" s="1533" t="s">
        <v>2766</v>
      </c>
      <c r="J47" s="558" t="s">
        <v>2416</v>
      </c>
      <c r="K47" s="558" t="s">
        <v>2417</v>
      </c>
      <c r="L47" s="558" t="s">
        <v>2418</v>
      </c>
      <c r="M47" s="558" t="s">
        <v>2419</v>
      </c>
      <c r="N47" s="558" t="s">
        <v>2420</v>
      </c>
      <c r="AA47" s="1279"/>
      <c r="AB47" s="1279"/>
      <c r="AC47" s="1279"/>
      <c r="AD47" s="1279"/>
      <c r="AE47" s="1279"/>
      <c r="AF47" s="1279"/>
      <c r="AG47" s="1279"/>
      <c r="AH47" s="1279"/>
      <c r="AI47" s="1279"/>
      <c r="AJ47" s="1279"/>
      <c r="AK47" s="1279"/>
    </row>
    <row r="48" spans="1:37" s="1278" customFormat="1" ht="38.25">
      <c r="A48" s="2327" t="s">
        <v>2767</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7" t="s">
        <v>2768</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2769</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2770</v>
      </c>
      <c r="B51" s="2332" t="s">
        <v>2771</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2772</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2773</v>
      </c>
      <c r="B53" s="2333" t="s">
        <v>2774</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2775</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2776</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5" t="s">
        <v>2777</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2778</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2759</v>
      </c>
      <c r="B58" s="1533"/>
      <c r="C58" s="1533" t="s">
        <v>2761</v>
      </c>
      <c r="D58" s="1533" t="s">
        <v>2762</v>
      </c>
      <c r="E58" s="756" t="s">
        <v>2763</v>
      </c>
      <c r="F58" s="2328" t="s">
        <v>2779</v>
      </c>
      <c r="G58" s="1533" t="s">
        <v>754</v>
      </c>
      <c r="H58" s="2329" t="s">
        <v>2765</v>
      </c>
      <c r="I58" s="1533" t="s">
        <v>2766</v>
      </c>
      <c r="J58" s="558" t="s">
        <v>2416</v>
      </c>
      <c r="K58" s="558" t="s">
        <v>2417</v>
      </c>
      <c r="L58" s="558" t="s">
        <v>2418</v>
      </c>
      <c r="M58" s="558" t="s">
        <v>2419</v>
      </c>
      <c r="N58" s="558" t="s">
        <v>2420</v>
      </c>
      <c r="AA58" s="1279"/>
      <c r="AB58" s="1279"/>
      <c r="AC58" s="1279"/>
      <c r="AD58" s="1279"/>
      <c r="AE58" s="1279"/>
      <c r="AF58" s="1279"/>
      <c r="AG58" s="1279"/>
      <c r="AH58" s="1279"/>
      <c r="AI58" s="1279"/>
      <c r="AJ58" s="1279"/>
      <c r="AK58" s="1279"/>
    </row>
    <row r="59" spans="1:37" s="1278" customFormat="1" ht="38.25">
      <c r="A59" s="2327" t="s">
        <v>2780</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7" t="s">
        <v>2768</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2769</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2770</v>
      </c>
      <c r="B62" s="2332" t="s">
        <v>2771</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2772</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2773</v>
      </c>
      <c r="B64" s="2333" t="s">
        <v>2774</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2775</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2776</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5" t="s">
        <v>2777</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2781</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2759</v>
      </c>
      <c r="B69" s="1533"/>
      <c r="C69" s="1533" t="s">
        <v>2761</v>
      </c>
      <c r="D69" s="1533" t="s">
        <v>2762</v>
      </c>
      <c r="E69" s="756" t="s">
        <v>2763</v>
      </c>
      <c r="F69" s="2328" t="s">
        <v>2779</v>
      </c>
      <c r="G69" s="1533" t="s">
        <v>754</v>
      </c>
      <c r="H69" s="2329" t="s">
        <v>2765</v>
      </c>
      <c r="I69" s="1533" t="s">
        <v>2766</v>
      </c>
      <c r="J69" s="558" t="s">
        <v>2416</v>
      </c>
      <c r="K69" s="558" t="s">
        <v>2417</v>
      </c>
      <c r="L69" s="558" t="s">
        <v>2418</v>
      </c>
      <c r="M69" s="558" t="s">
        <v>2419</v>
      </c>
      <c r="N69" s="558" t="s">
        <v>2420</v>
      </c>
      <c r="AA69" s="1279"/>
      <c r="AB69" s="1279"/>
      <c r="AC69" s="1279"/>
      <c r="AD69" s="1279"/>
      <c r="AE69" s="1279"/>
      <c r="AF69" s="1279"/>
      <c r="AG69" s="1279"/>
      <c r="AH69" s="1279"/>
      <c r="AI69" s="1279"/>
      <c r="AJ69" s="1279"/>
      <c r="AK69" s="1279"/>
    </row>
    <row r="70" spans="1:37" s="1278" customFormat="1" ht="51">
      <c r="A70" s="2327" t="s">
        <v>2782</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7" t="s">
        <v>2768</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2769</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2783</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2775</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2776</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2773</v>
      </c>
      <c r="B76" s="2333" t="s">
        <v>2774</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c r="A77" s="2327" t="s">
        <v>2777</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2784</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2785</v>
      </c>
      <c r="B79" s="2324">
        <f>1+E81</f>
        <v>0.99890000000000001</v>
      </c>
      <c r="C79" s="751"/>
      <c r="D79" s="751"/>
      <c r="E79" s="752"/>
      <c r="F79" s="2326"/>
      <c r="G79" s="6"/>
      <c r="H79" s="6"/>
      <c r="I79" s="6"/>
      <c r="J79" s="7"/>
      <c r="K79" s="7"/>
      <c r="L79" s="7"/>
      <c r="M79" s="7"/>
      <c r="N79" s="7"/>
      <c r="Z79" s="2182"/>
      <c r="AA79" s="2248"/>
      <c r="AG79" s="1280"/>
      <c r="AK79" s="2248"/>
    </row>
    <row r="80" spans="1:37" ht="24.75">
      <c r="A80" s="2327" t="s">
        <v>2759</v>
      </c>
      <c r="B80" s="1533"/>
      <c r="C80" s="1533" t="s">
        <v>2761</v>
      </c>
      <c r="D80" s="1533" t="s">
        <v>2762</v>
      </c>
      <c r="E80" s="756" t="s">
        <v>2763</v>
      </c>
      <c r="F80" s="2328" t="s">
        <v>2779</v>
      </c>
      <c r="G80" s="1533" t="s">
        <v>754</v>
      </c>
      <c r="H80" s="2329" t="s">
        <v>2765</v>
      </c>
      <c r="I80" s="1533" t="s">
        <v>2766</v>
      </c>
      <c r="J80" s="558" t="s">
        <v>2416</v>
      </c>
      <c r="K80" s="558" t="s">
        <v>2417</v>
      </c>
      <c r="L80" s="558" t="s">
        <v>2418</v>
      </c>
      <c r="M80" s="558" t="s">
        <v>2419</v>
      </c>
      <c r="N80" s="558" t="s">
        <v>2420</v>
      </c>
      <c r="Z80" s="2182"/>
      <c r="AA80" s="2248"/>
      <c r="AG80" s="1280"/>
      <c r="AK80" s="2248"/>
    </row>
    <row r="81" spans="1:37" ht="38.25">
      <c r="A81" s="2327" t="s">
        <v>2786</v>
      </c>
      <c r="B81" s="2331" t="str">
        <f>估价对象房地状况!G15</f>
        <v>估价对象位于XX开发区，园区建设成熟度XX，产业集聚程度XX</v>
      </c>
      <c r="C81" s="2232" t="s">
        <v>3105</v>
      </c>
      <c r="D81" s="1194">
        <f t="shared" ref="D81:D88" si="25">SUMIF($J$80:$N$80,C81,J81:N81)</f>
        <v>0</v>
      </c>
      <c r="E81" s="758">
        <f>ROUND(SUM(D81:D88),4)</f>
        <v>-1.1000000000000001E-3</v>
      </c>
      <c r="F81" s="1998">
        <f>IF(E2="工业",SUMIF(L1:L12,G2,N1:N12),"——")</f>
        <v>0</v>
      </c>
      <c r="G81" s="1192">
        <v>6.4999999999999997E-3</v>
      </c>
      <c r="H81" s="1196">
        <f t="shared" ref="H81:H88" si="26">IFERROR(ROUNDDOWN($F$81*I81/2,4),"——")</f>
        <v>0</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2768</v>
      </c>
      <c r="B82" s="2331" t="str">
        <f>估价对象房地状况!G16</f>
        <v>估价对象周边道路状况、公共交通通达情况、停车便捷程度，综合评价交通便捷度较好</v>
      </c>
      <c r="C82" s="2232" t="s">
        <v>3105</v>
      </c>
      <c r="D82" s="1194">
        <f t="shared" si="25"/>
        <v>0</v>
      </c>
      <c r="E82" s="763"/>
      <c r="F82" s="1998"/>
      <c r="G82" s="1192">
        <v>8.2000000000000007E-3</v>
      </c>
      <c r="H82" s="1196">
        <f t="shared" si="26"/>
        <v>0</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2769</v>
      </c>
      <c r="B83" s="2331">
        <f>估价对象房地状况!G17</f>
        <v>0</v>
      </c>
      <c r="C83" s="2232" t="s">
        <v>3106</v>
      </c>
      <c r="D83" s="1194">
        <f t="shared" si="25"/>
        <v>1.1999999999999999E-3</v>
      </c>
      <c r="E83" s="763"/>
      <c r="F83" s="1998"/>
      <c r="G83" s="1192">
        <v>1.1999999999999999E-3</v>
      </c>
      <c r="H83" s="1196">
        <f t="shared" si="26"/>
        <v>0</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2783</v>
      </c>
      <c r="B84" s="2331">
        <f>估价对象房地状况!G22</f>
        <v>0</v>
      </c>
      <c r="C84" s="2232" t="s">
        <v>3107</v>
      </c>
      <c r="D84" s="1194">
        <f t="shared" si="25"/>
        <v>-2E-3</v>
      </c>
      <c r="E84" s="763"/>
      <c r="F84" s="1998"/>
      <c r="G84" s="1192">
        <v>1E-3</v>
      </c>
      <c r="H84" s="1196">
        <f t="shared" si="26"/>
        <v>0</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2775</v>
      </c>
      <c r="B85" s="1492" t="str">
        <f>估价对象房地状况!G19</f>
        <v>估价对象所在区域公共配套设施齐备情况</v>
      </c>
      <c r="C85" s="2232" t="s">
        <v>3104</v>
      </c>
      <c r="D85" s="1194">
        <f t="shared" si="25"/>
        <v>-1.5E-3</v>
      </c>
      <c r="E85" s="763"/>
      <c r="F85" s="1998"/>
      <c r="G85" s="1192">
        <v>1.5E-3</v>
      </c>
      <c r="H85" s="1196">
        <f t="shared" si="26"/>
        <v>0</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2776</v>
      </c>
      <c r="B86" s="1492" t="str">
        <f>估价对象房地状况!G20</f>
        <v>估价对象所在区域基础设施水平</v>
      </c>
      <c r="C86" s="2232" t="s">
        <v>3105</v>
      </c>
      <c r="D86" s="1194">
        <f t="shared" si="25"/>
        <v>0</v>
      </c>
      <c r="E86" s="763"/>
      <c r="F86" s="1998"/>
      <c r="G86" s="1192">
        <v>3.7000000000000002E-3</v>
      </c>
      <c r="H86" s="1196">
        <f t="shared" si="26"/>
        <v>0</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2773</v>
      </c>
      <c r="B87" s="2333" t="s">
        <v>2787</v>
      </c>
      <c r="C87" s="2232" t="s">
        <v>3106</v>
      </c>
      <c r="D87" s="1194">
        <f t="shared" si="25"/>
        <v>1.1999999999999999E-3</v>
      </c>
      <c r="E87" s="763"/>
      <c r="F87" s="1998"/>
      <c r="G87" s="1192">
        <v>1.1999999999999999E-3</v>
      </c>
      <c r="H87" s="1196">
        <f t="shared" si="26"/>
        <v>0</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2788</v>
      </c>
      <c r="B88" s="2340" t="str">
        <f>估价对象房地状况!G18</f>
        <v>该园区内是否有污染型企业，绿化情况，卫生条件，整体环境状况判断</v>
      </c>
      <c r="C88" s="2232" t="s">
        <v>3105</v>
      </c>
      <c r="D88" s="1194">
        <f t="shared" si="25"/>
        <v>0</v>
      </c>
      <c r="E88" s="764"/>
      <c r="F88" s="1998"/>
      <c r="G88" s="1192">
        <v>1.5E-3</v>
      </c>
      <c r="H88" s="1196">
        <f t="shared" si="26"/>
        <v>0</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422" t="s">
        <v>2789</v>
      </c>
      <c r="B90" s="3422"/>
      <c r="C90" s="3422"/>
      <c r="D90" s="3422"/>
      <c r="E90" s="3422"/>
      <c r="F90" s="3422"/>
      <c r="G90" s="3422"/>
      <c r="H90" s="3422"/>
      <c r="I90" s="3422"/>
      <c r="J90" s="3422"/>
      <c r="K90" s="2341"/>
      <c r="L90" s="2341"/>
      <c r="M90" s="2341"/>
      <c r="N90" s="2341"/>
    </row>
    <row r="91" spans="1:37">
      <c r="A91" s="3424" t="s">
        <v>2790</v>
      </c>
      <c r="B91" s="3424" t="s">
        <v>2791</v>
      </c>
      <c r="C91" s="2295" t="s">
        <v>2792</v>
      </c>
      <c r="D91" s="2296"/>
      <c r="E91" s="2296"/>
      <c r="F91" s="2296"/>
      <c r="G91" s="2296"/>
      <c r="H91" s="2296"/>
      <c r="I91" s="2296"/>
      <c r="J91" s="2342"/>
      <c r="K91" s="2343"/>
      <c r="L91" s="2343"/>
      <c r="M91" s="2343"/>
      <c r="N91" s="2343"/>
    </row>
    <row r="92" spans="1:37">
      <c r="A92" s="3424"/>
      <c r="B92" s="3424"/>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425"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42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42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42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42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42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426"/>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42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425" t="s">
        <v>2794</v>
      </c>
      <c r="B101" s="2348" t="s">
        <v>2795</v>
      </c>
      <c r="C101" s="2349">
        <f>$G$3</f>
        <v>3.13</v>
      </c>
      <c r="D101" s="2349">
        <f t="shared" ref="D101:N101" si="31">$G$3</f>
        <v>3.13</v>
      </c>
      <c r="E101" s="2349">
        <f t="shared" si="31"/>
        <v>3.13</v>
      </c>
      <c r="F101" s="2349">
        <f t="shared" si="31"/>
        <v>3.13</v>
      </c>
      <c r="G101" s="2349">
        <f t="shared" si="31"/>
        <v>3.13</v>
      </c>
      <c r="H101" s="2349">
        <f t="shared" si="31"/>
        <v>3.13</v>
      </c>
      <c r="I101" s="2349">
        <f t="shared" si="31"/>
        <v>3.13</v>
      </c>
      <c r="J101" s="2349">
        <f t="shared" si="31"/>
        <v>3.13</v>
      </c>
      <c r="K101" s="2349">
        <f t="shared" si="31"/>
        <v>3.13</v>
      </c>
      <c r="L101" s="2349">
        <f t="shared" si="31"/>
        <v>3.13</v>
      </c>
      <c r="M101" s="2349">
        <f t="shared" si="31"/>
        <v>3.13</v>
      </c>
      <c r="N101" s="2349">
        <f t="shared" si="31"/>
        <v>3.13</v>
      </c>
    </row>
    <row r="102" spans="1:14">
      <c r="A102" s="3426"/>
      <c r="B102" s="2344">
        <v>1</v>
      </c>
      <c r="C102" s="2345">
        <f>1.9362/C101</f>
        <v>0.61859424920127792</v>
      </c>
      <c r="D102" s="2345">
        <f>1.9362/D101</f>
        <v>0.61859424920127792</v>
      </c>
      <c r="E102" s="2345">
        <f>1.8629/E101</f>
        <v>0.59517571884984033</v>
      </c>
      <c r="F102" s="2345">
        <f>1.8629/F101</f>
        <v>0.59517571884984033</v>
      </c>
      <c r="G102" s="2345">
        <f>1.8629/G101</f>
        <v>0.59517571884984033</v>
      </c>
      <c r="H102" s="2345">
        <f>1.8629/H101</f>
        <v>0.59517571884984033</v>
      </c>
      <c r="I102" s="2345">
        <f>1.8629/I101</f>
        <v>0.59517571884984033</v>
      </c>
      <c r="J102" s="2345">
        <f>1.942/J101</f>
        <v>0.62044728434504792</v>
      </c>
      <c r="K102" s="2345">
        <f>1.942/K101</f>
        <v>0.62044728434504792</v>
      </c>
      <c r="L102" s="2345">
        <f>1.942/L101</f>
        <v>0.62044728434504792</v>
      </c>
      <c r="M102" s="2345">
        <f>1.942/M101</f>
        <v>0.62044728434504792</v>
      </c>
      <c r="N102" s="2345">
        <f>1.942/N101</f>
        <v>0.62044728434504792</v>
      </c>
    </row>
    <row r="103" spans="1:14">
      <c r="A103" s="3426"/>
      <c r="B103" s="2344">
        <v>2</v>
      </c>
      <c r="C103" s="2345">
        <f>1.4198/C101</f>
        <v>0.45361022364217252</v>
      </c>
      <c r="D103" s="2345">
        <f>1.4198/D101</f>
        <v>0.45361022364217252</v>
      </c>
      <c r="E103" s="2345">
        <f>1.3372/E101</f>
        <v>0.42722044728434505</v>
      </c>
      <c r="F103" s="2345">
        <f>1.3372/F101</f>
        <v>0.42722044728434505</v>
      </c>
      <c r="G103" s="2345">
        <f>1.3372/G101</f>
        <v>0.42722044728434505</v>
      </c>
      <c r="H103" s="2345">
        <f>1.3372/H101</f>
        <v>0.42722044728434505</v>
      </c>
      <c r="I103" s="2345">
        <f>1.3372/I101</f>
        <v>0.42722044728434505</v>
      </c>
      <c r="J103" s="2345">
        <f>1.2799/J101</f>
        <v>0.40891373801916936</v>
      </c>
      <c r="K103" s="2345">
        <f>1.2799/K101</f>
        <v>0.40891373801916936</v>
      </c>
      <c r="L103" s="2345">
        <f>1.2799/L101</f>
        <v>0.40891373801916936</v>
      </c>
      <c r="M103" s="2345">
        <f>1.2799/M101</f>
        <v>0.40891373801916936</v>
      </c>
      <c r="N103" s="2345">
        <f>1.2799/N101</f>
        <v>0.40891373801916936</v>
      </c>
    </row>
    <row r="104" spans="1:14">
      <c r="A104" s="3426"/>
      <c r="B104" s="2344">
        <v>3</v>
      </c>
      <c r="C104" s="2345">
        <f>1.1594/C101</f>
        <v>0.37041533546325878</v>
      </c>
      <c r="D104" s="2345">
        <f>1.1594/D101</f>
        <v>0.37041533546325878</v>
      </c>
      <c r="E104" s="2345">
        <f>1.0788/E101</f>
        <v>0.34466453674121406</v>
      </c>
      <c r="F104" s="2345">
        <f>1.0788/F101</f>
        <v>0.34466453674121406</v>
      </c>
      <c r="G104" s="2345">
        <f>1.0788/G101</f>
        <v>0.34466453674121406</v>
      </c>
      <c r="H104" s="2345">
        <f>1.0788/H101</f>
        <v>0.34466453674121406</v>
      </c>
      <c r="I104" s="2345">
        <f>1.0788/I101</f>
        <v>0.34466453674121406</v>
      </c>
      <c r="J104" s="2345">
        <f>1.0072/J101</f>
        <v>0.32178913738019171</v>
      </c>
      <c r="K104" s="2345">
        <f>1.0072/K101</f>
        <v>0.32178913738019171</v>
      </c>
      <c r="L104" s="2345">
        <f>1.0072/L101</f>
        <v>0.32178913738019171</v>
      </c>
      <c r="M104" s="2345">
        <f>1.0072/M101</f>
        <v>0.32178913738019171</v>
      </c>
      <c r="N104" s="2345">
        <f>1.0072/N101</f>
        <v>0.32178913738019171</v>
      </c>
    </row>
    <row r="105" spans="1:14">
      <c r="A105" s="3426"/>
      <c r="B105" s="2344">
        <v>4</v>
      </c>
      <c r="C105" s="2345">
        <f>0.9622/C101</f>
        <v>0.30741214057507987</v>
      </c>
      <c r="D105" s="2345">
        <f>0.9622/D101</f>
        <v>0.30741214057507987</v>
      </c>
      <c r="E105" s="2345">
        <f>0.8656/E101</f>
        <v>0.27654952076677319</v>
      </c>
      <c r="F105" s="2345">
        <f>0.8656/F101</f>
        <v>0.27654952076677319</v>
      </c>
      <c r="G105" s="2345">
        <f>0.8656/G101</f>
        <v>0.27654952076677319</v>
      </c>
      <c r="H105" s="2345">
        <f>0.8656/H101</f>
        <v>0.27654952076677319</v>
      </c>
      <c r="I105" s="2345">
        <f>0.8656/I101</f>
        <v>0.27654952076677319</v>
      </c>
      <c r="J105" s="2345">
        <f>0.7525/J101</f>
        <v>0.24041533546325877</v>
      </c>
      <c r="K105" s="2345">
        <f>0.7525/K101</f>
        <v>0.24041533546325877</v>
      </c>
      <c r="L105" s="2345">
        <f>0.7525/L101</f>
        <v>0.24041533546325877</v>
      </c>
      <c r="M105" s="2345">
        <f>0.7525/M101</f>
        <v>0.24041533546325877</v>
      </c>
      <c r="N105" s="2345">
        <f>0.7525/N101</f>
        <v>0.24041533546325877</v>
      </c>
    </row>
    <row r="106" spans="1:14">
      <c r="A106" s="3426"/>
      <c r="B106" s="2344">
        <v>5</v>
      </c>
      <c r="C106" s="2345">
        <f>0.8417/C101</f>
        <v>0.26891373801916935</v>
      </c>
      <c r="D106" s="2345">
        <f>0.8417/D101</f>
        <v>0.26891373801916935</v>
      </c>
      <c r="E106" s="2345">
        <f>0.7371/E101</f>
        <v>0.23549520766773163</v>
      </c>
      <c r="F106" s="2345">
        <f>0.7371/F101</f>
        <v>0.23549520766773163</v>
      </c>
      <c r="G106" s="2345">
        <f>0.7371/G101</f>
        <v>0.23549520766773163</v>
      </c>
      <c r="H106" s="2345">
        <f>0.7371/H101</f>
        <v>0.23549520766773163</v>
      </c>
      <c r="I106" s="2345">
        <f>0.7371/I101</f>
        <v>0.23549520766773163</v>
      </c>
      <c r="J106" s="2345">
        <f>0.5659/J101</f>
        <v>0.18079872204472844</v>
      </c>
      <c r="K106" s="2345">
        <f>0.5659/K101</f>
        <v>0.18079872204472844</v>
      </c>
      <c r="L106" s="2345">
        <f>0.5659/L101</f>
        <v>0.18079872204472844</v>
      </c>
      <c r="M106" s="2345">
        <f>0.5659/M101</f>
        <v>0.18079872204472844</v>
      </c>
      <c r="N106" s="2345">
        <f>0.5659/N101</f>
        <v>0.18079872204472844</v>
      </c>
    </row>
    <row r="107" spans="1:14">
      <c r="A107" s="3426"/>
      <c r="B107" s="2344">
        <v>6</v>
      </c>
      <c r="C107" s="2345">
        <f>0.7608/C101</f>
        <v>0.24306709265175722</v>
      </c>
      <c r="D107" s="2345">
        <f>0.7608/D101</f>
        <v>0.24306709265175722</v>
      </c>
      <c r="E107" s="2345">
        <f>0.6482/E101</f>
        <v>0.2070926517571885</v>
      </c>
      <c r="F107" s="2345">
        <f>0.6482/F101</f>
        <v>0.2070926517571885</v>
      </c>
      <c r="G107" s="2345">
        <f>0.6482/G101</f>
        <v>0.2070926517571885</v>
      </c>
      <c r="H107" s="2345">
        <f>0.6482/H101</f>
        <v>0.2070926517571885</v>
      </c>
      <c r="I107" s="2345">
        <f>0.6482/I101</f>
        <v>0.2070926517571885</v>
      </c>
      <c r="J107" s="2345">
        <f>0.4525/J101</f>
        <v>0.14456869009584666</v>
      </c>
      <c r="K107" s="2345">
        <f>0.4525/K101</f>
        <v>0.14456869009584666</v>
      </c>
      <c r="L107" s="2345">
        <f>0.4525/L101</f>
        <v>0.14456869009584666</v>
      </c>
      <c r="M107" s="2345">
        <f>0.4525/M101</f>
        <v>0.14456869009584666</v>
      </c>
      <c r="N107" s="2345">
        <f>0.4525/N101</f>
        <v>0.14456869009584666</v>
      </c>
    </row>
    <row r="108" spans="1:14">
      <c r="A108" s="3426"/>
      <c r="B108" s="3428"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427"/>
      <c r="B109" s="3429"/>
      <c r="C109" s="2347">
        <f>(-0.163*(C108^2)-0.59*C108+7617)*(10^(-4))/C101</f>
        <v>0.24335463258785944</v>
      </c>
      <c r="D109" s="2347">
        <f>(-0.163*(D108^2)-0.59*D108+7617)*(10^(-4))/D101</f>
        <v>0.24335463258785944</v>
      </c>
      <c r="E109" s="2347">
        <f>(-0.161*(E108^2)-7.509*E108+6533)*(10^(-4))/E101</f>
        <v>0.2087220447284345</v>
      </c>
      <c r="F109" s="2347">
        <f>(-0.161*(F108^2)-7.509*F108+6533)*(10^(-4))/F101</f>
        <v>0.2087220447284345</v>
      </c>
      <c r="G109" s="2347">
        <f>(-0.161*(G108^2)-7.509*G108+6533)*(10^(-4))/G101</f>
        <v>0.2087220447284345</v>
      </c>
      <c r="H109" s="2347">
        <f>(-0.161*(H108^2)-7.509*H108+6533)*(10^(-4))/H101</f>
        <v>0.2087220447284345</v>
      </c>
      <c r="I109" s="2347">
        <f>(-0.161*(I108^2)-7.509*I108+6533)*(10^(-4))/I101</f>
        <v>0.2087220447284345</v>
      </c>
      <c r="J109" s="2347">
        <f>(-0.214*(J108^2)-21.991*J108+4665)*(10^(-4))/J101</f>
        <v>0.14904153354632591</v>
      </c>
      <c r="K109" s="2347">
        <f>(-0.214*(K108^2)-21.991*K108+4665)*(10^(-4))/K101</f>
        <v>0.14904153354632591</v>
      </c>
      <c r="L109" s="2347">
        <f>(-0.214*(L108^2)-21.991*L108+4665)*(10^(-4))/L101</f>
        <v>0.14904153354632591</v>
      </c>
      <c r="M109" s="2347">
        <f>(-0.214*(M108^2)-21.991*M108+4665)*(10^(-4))/M101</f>
        <v>0.14904153354632591</v>
      </c>
      <c r="N109" s="2347">
        <f>(-0.214*(N108^2)-21.991*N108+4665)*(10^(-4))/N101</f>
        <v>0.14904153354632591</v>
      </c>
    </row>
    <row r="110" spans="1:14">
      <c r="A110" s="3423" t="s">
        <v>2797</v>
      </c>
      <c r="B110" s="3423"/>
      <c r="C110" s="3423"/>
      <c r="D110" s="3423"/>
      <c r="E110" s="3423"/>
      <c r="F110" s="3423"/>
      <c r="G110" s="3423"/>
      <c r="H110" s="3423"/>
      <c r="I110" s="3423"/>
      <c r="J110" s="3423"/>
      <c r="K110" s="2350"/>
      <c r="L110" s="2350"/>
      <c r="M110" s="2350"/>
      <c r="N110" s="2350"/>
    </row>
    <row r="112" spans="1:14" ht="13.5" thickBot="1"/>
    <row r="113" spans="1:13" ht="25.5" thickBot="1">
      <c r="A113" s="840" t="s">
        <v>2798</v>
      </c>
      <c r="B113" s="1195">
        <f>G3</f>
        <v>3.13</v>
      </c>
      <c r="C113" s="841" t="s">
        <v>2799</v>
      </c>
      <c r="D113" s="842">
        <f>SUMPRODUCT((A115:A118=F113)*(B114:M114=H113)*B115:M118)</f>
        <v>0</v>
      </c>
      <c r="E113" s="2186" t="s">
        <v>2633</v>
      </c>
      <c r="F113" s="2352" t="str">
        <f>E2</f>
        <v>工业</v>
      </c>
      <c r="G113" s="2186" t="s">
        <v>2634</v>
      </c>
      <c r="H113" s="2352">
        <f>G2</f>
        <v>0</v>
      </c>
      <c r="I113" s="2186"/>
      <c r="J113" s="2353"/>
      <c r="K113" s="2353"/>
      <c r="L113" s="2353"/>
      <c r="M113" s="2353"/>
    </row>
    <row r="114" spans="1:13">
      <c r="A114" s="845"/>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6" t="s">
        <v>2698</v>
      </c>
      <c r="B115" s="847">
        <f>ROUND(0.9335-0.0094*B113,4)</f>
        <v>0.90410000000000001</v>
      </c>
      <c r="C115" s="847">
        <f>B115</f>
        <v>0.90410000000000001</v>
      </c>
      <c r="D115" s="847">
        <f>ROUND(0.8331-0.0109*B113,4)</f>
        <v>0.79900000000000004</v>
      </c>
      <c r="E115" s="847">
        <f>D115</f>
        <v>0.79900000000000004</v>
      </c>
      <c r="F115" s="847">
        <f>E115</f>
        <v>0.79900000000000004</v>
      </c>
      <c r="G115" s="847">
        <f>F115</f>
        <v>0.79900000000000004</v>
      </c>
      <c r="H115" s="847">
        <f>G115</f>
        <v>0.79900000000000004</v>
      </c>
      <c r="I115" s="847">
        <f>ROUND(0.689-0.0155*B113,4)</f>
        <v>0.64049999999999996</v>
      </c>
      <c r="J115" s="847">
        <f t="shared" ref="J115:M118" si="33">I115</f>
        <v>0.64049999999999996</v>
      </c>
      <c r="K115" s="847">
        <f t="shared" si="33"/>
        <v>0.64049999999999996</v>
      </c>
      <c r="L115" s="847">
        <f t="shared" si="33"/>
        <v>0.64049999999999996</v>
      </c>
      <c r="M115" s="848">
        <f t="shared" si="33"/>
        <v>0.64049999999999996</v>
      </c>
    </row>
    <row r="116" spans="1:13">
      <c r="A116" s="846" t="s">
        <v>2699</v>
      </c>
      <c r="B116" s="847">
        <f>ROUND(0.949-0.012*B113,4)</f>
        <v>0.91139999999999999</v>
      </c>
      <c r="C116" s="847">
        <f>B116</f>
        <v>0.91139999999999999</v>
      </c>
      <c r="D116" s="847">
        <f>ROUND(0.8567-0.013*B113,4)</f>
        <v>0.81599999999999995</v>
      </c>
      <c r="E116" s="847">
        <f t="shared" ref="E116:H117" si="34">D116</f>
        <v>0.81599999999999995</v>
      </c>
      <c r="F116" s="847">
        <f t="shared" si="34"/>
        <v>0.81599999999999995</v>
      </c>
      <c r="G116" s="847">
        <f t="shared" si="34"/>
        <v>0.81599999999999995</v>
      </c>
      <c r="H116" s="847">
        <f t="shared" si="34"/>
        <v>0.81599999999999995</v>
      </c>
      <c r="I116" s="847">
        <f>ROUND(0.7694-0.014*B113,4)</f>
        <v>0.72560000000000002</v>
      </c>
      <c r="J116" s="847">
        <f t="shared" si="33"/>
        <v>0.72560000000000002</v>
      </c>
      <c r="K116" s="847">
        <f t="shared" si="33"/>
        <v>0.72560000000000002</v>
      </c>
      <c r="L116" s="847">
        <f t="shared" si="33"/>
        <v>0.72560000000000002</v>
      </c>
      <c r="M116" s="848">
        <f t="shared" si="33"/>
        <v>0.72560000000000002</v>
      </c>
    </row>
    <row r="117" spans="1:13">
      <c r="A117" s="846" t="s">
        <v>2700</v>
      </c>
      <c r="B117" s="847">
        <f>ROUND(0.8808-0.006*B113,4)</f>
        <v>0.86199999999999999</v>
      </c>
      <c r="C117" s="847">
        <f>B117</f>
        <v>0.86199999999999999</v>
      </c>
      <c r="D117" s="847">
        <f>ROUND(0.8748-0.008*B113,4)</f>
        <v>0.8498</v>
      </c>
      <c r="E117" s="847">
        <f t="shared" si="34"/>
        <v>0.8498</v>
      </c>
      <c r="F117" s="847">
        <f t="shared" si="34"/>
        <v>0.8498</v>
      </c>
      <c r="G117" s="847">
        <f t="shared" si="34"/>
        <v>0.8498</v>
      </c>
      <c r="H117" s="847">
        <f t="shared" si="34"/>
        <v>0.8498</v>
      </c>
      <c r="I117" s="847">
        <f>ROUND(0.7412-0.0095*B113,4)</f>
        <v>0.71150000000000002</v>
      </c>
      <c r="J117" s="847">
        <f t="shared" si="33"/>
        <v>0.71150000000000002</v>
      </c>
      <c r="K117" s="847">
        <f t="shared" si="33"/>
        <v>0.71150000000000002</v>
      </c>
      <c r="L117" s="847">
        <f t="shared" si="33"/>
        <v>0.71150000000000002</v>
      </c>
      <c r="M117" s="848">
        <f t="shared" si="33"/>
        <v>0.71150000000000002</v>
      </c>
    </row>
    <row r="118" spans="1:13" ht="13.5" thickBot="1">
      <c r="A118" s="668" t="s">
        <v>2701</v>
      </c>
      <c r="B118" s="849">
        <f>ROUND(0.7275-0.01*B113,4)</f>
        <v>0.69620000000000004</v>
      </c>
      <c r="C118" s="849">
        <f>B118</f>
        <v>0.69620000000000004</v>
      </c>
      <c r="D118" s="849">
        <f>ROUND(0.7043-0.012*B113,4)</f>
        <v>0.66669999999999996</v>
      </c>
      <c r="E118" s="849">
        <f>D118</f>
        <v>0.66669999999999996</v>
      </c>
      <c r="F118" s="849">
        <f>E118</f>
        <v>0.66669999999999996</v>
      </c>
      <c r="G118" s="849">
        <f>ROUND(0.6299-0.0122*B113,4)</f>
        <v>0.5917</v>
      </c>
      <c r="H118" s="849">
        <f>G118</f>
        <v>0.5917</v>
      </c>
      <c r="I118" s="849">
        <f>ROUND(0.5667-0.0136*B113,4)</f>
        <v>0.52410000000000001</v>
      </c>
      <c r="J118" s="849">
        <f t="shared" si="33"/>
        <v>0.52410000000000001</v>
      </c>
      <c r="K118" s="849">
        <f t="shared" si="33"/>
        <v>0.52410000000000001</v>
      </c>
      <c r="L118" s="849">
        <f t="shared" si="33"/>
        <v>0.52410000000000001</v>
      </c>
      <c r="M118" s="850">
        <f t="shared" si="33"/>
        <v>0.52410000000000001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36" t="s">
        <v>183</v>
      </c>
      <c r="B18" s="819" t="s">
        <v>560</v>
      </c>
      <c r="C18" s="820" t="s">
        <v>561</v>
      </c>
      <c r="D18" s="821"/>
      <c r="E18" s="819">
        <v>1</v>
      </c>
      <c r="F18" s="822" t="s">
        <v>562</v>
      </c>
      <c r="G18" s="823"/>
      <c r="H18" s="815"/>
      <c r="I18" s="815"/>
    </row>
    <row r="19" spans="1:9" s="824" customFormat="1" ht="19.5" customHeight="1">
      <c r="A19" s="3436"/>
      <c r="B19" s="3436" t="s">
        <v>563</v>
      </c>
      <c r="C19" s="820" t="s">
        <v>564</v>
      </c>
      <c r="D19" s="821"/>
      <c r="E19" s="819">
        <v>0.9</v>
      </c>
      <c r="F19" s="822" t="s">
        <v>565</v>
      </c>
      <c r="G19" s="823"/>
      <c r="H19" s="815"/>
      <c r="I19" s="815"/>
    </row>
    <row r="20" spans="1:9" s="824" customFormat="1" ht="19.5" customHeight="1">
      <c r="A20" s="3436"/>
      <c r="B20" s="3436"/>
      <c r="C20" s="820" t="s">
        <v>566</v>
      </c>
      <c r="D20" s="821"/>
      <c r="E20" s="819">
        <v>1.1000000000000001</v>
      </c>
      <c r="F20" s="822" t="s">
        <v>567</v>
      </c>
      <c r="G20" s="823"/>
      <c r="H20" s="815"/>
      <c r="I20" s="815"/>
    </row>
    <row r="21" spans="1:9" s="824" customFormat="1" ht="19.5" customHeight="1">
      <c r="A21" s="3436"/>
      <c r="B21" s="3436"/>
      <c r="C21" s="820" t="s">
        <v>568</v>
      </c>
      <c r="D21" s="821"/>
      <c r="E21" s="819">
        <v>0.8</v>
      </c>
      <c r="F21" s="822" t="s">
        <v>569</v>
      </c>
      <c r="G21" s="823"/>
      <c r="H21" s="815"/>
      <c r="I21" s="815"/>
    </row>
    <row r="22" spans="1:9" s="824" customFormat="1" ht="19.5" customHeight="1">
      <c r="A22" s="3436"/>
      <c r="B22" s="3436"/>
      <c r="C22" s="820" t="s">
        <v>570</v>
      </c>
      <c r="D22" s="821"/>
      <c r="E22" s="819">
        <v>0.5</v>
      </c>
      <c r="F22" s="822"/>
      <c r="G22" s="823"/>
      <c r="H22" s="815"/>
      <c r="I22" s="815"/>
    </row>
    <row r="23" spans="1:9" s="824" customFormat="1" ht="19.5" customHeight="1">
      <c r="A23" s="3436" t="s">
        <v>184</v>
      </c>
      <c r="B23" s="819" t="s">
        <v>560</v>
      </c>
      <c r="C23" s="820" t="s">
        <v>571</v>
      </c>
      <c r="D23" s="821"/>
      <c r="E23" s="819">
        <v>1</v>
      </c>
      <c r="F23" s="822" t="s">
        <v>572</v>
      </c>
      <c r="G23" s="823"/>
      <c r="H23" s="815"/>
      <c r="I23" s="815"/>
    </row>
    <row r="24" spans="1:9" s="824" customFormat="1" ht="19.5" customHeight="1">
      <c r="A24" s="3436"/>
      <c r="B24" s="3436" t="s">
        <v>563</v>
      </c>
      <c r="C24" s="820" t="s">
        <v>573</v>
      </c>
      <c r="D24" s="821"/>
      <c r="E24" s="819">
        <v>0.5</v>
      </c>
      <c r="F24" s="822"/>
      <c r="G24" s="823"/>
      <c r="H24" s="815"/>
      <c r="I24" s="815"/>
    </row>
    <row r="25" spans="1:9" s="824" customFormat="1" ht="19.5" customHeight="1">
      <c r="A25" s="3436"/>
      <c r="B25" s="3436"/>
      <c r="C25" s="820" t="s">
        <v>574</v>
      </c>
      <c r="D25" s="821"/>
      <c r="E25" s="819">
        <v>1.1000000000000001</v>
      </c>
      <c r="F25" s="822"/>
      <c r="G25" s="823"/>
      <c r="H25" s="815"/>
      <c r="I25" s="815"/>
    </row>
    <row r="26" spans="1:9" s="824" customFormat="1" ht="19.5" customHeight="1">
      <c r="A26" s="3436"/>
      <c r="B26" s="3436"/>
      <c r="C26" s="820" t="s">
        <v>575</v>
      </c>
      <c r="D26" s="821"/>
      <c r="E26" s="819">
        <v>1.1000000000000001</v>
      </c>
      <c r="F26" s="822"/>
      <c r="G26" s="823"/>
      <c r="H26" s="815"/>
      <c r="I26" s="815"/>
    </row>
    <row r="27" spans="1:9" s="824" customFormat="1" ht="19.5" customHeight="1">
      <c r="A27" s="3436"/>
      <c r="B27" s="3436"/>
      <c r="C27" s="820" t="s">
        <v>576</v>
      </c>
      <c r="D27" s="821"/>
      <c r="E27" s="819">
        <v>0.9</v>
      </c>
      <c r="F27" s="822" t="s">
        <v>577</v>
      </c>
      <c r="G27" s="823"/>
      <c r="H27" s="815"/>
      <c r="I27" s="815"/>
    </row>
    <row r="28" spans="1:9" s="824" customFormat="1" ht="19.5" customHeight="1">
      <c r="A28" s="3436"/>
      <c r="B28" s="3436"/>
      <c r="C28" s="820" t="s">
        <v>578</v>
      </c>
      <c r="D28" s="821"/>
      <c r="E28" s="819">
        <v>0.9</v>
      </c>
      <c r="F28" s="822" t="s">
        <v>579</v>
      </c>
      <c r="G28" s="823"/>
      <c r="H28" s="815"/>
      <c r="I28" s="815"/>
    </row>
    <row r="29" spans="1:9" s="824" customFormat="1" ht="19.5" customHeight="1">
      <c r="A29" s="3436"/>
      <c r="B29" s="3436"/>
      <c r="C29" s="820" t="s">
        <v>580</v>
      </c>
      <c r="D29" s="821"/>
      <c r="E29" s="819">
        <v>0.9</v>
      </c>
      <c r="F29" s="822" t="s">
        <v>581</v>
      </c>
      <c r="G29" s="823"/>
      <c r="H29" s="815"/>
      <c r="I29" s="815"/>
    </row>
    <row r="30" spans="1:9" s="824" customFormat="1" ht="19.5" customHeight="1">
      <c r="A30" s="3436"/>
      <c r="B30" s="3436"/>
      <c r="C30" s="820" t="s">
        <v>582</v>
      </c>
      <c r="D30" s="821"/>
      <c r="E30" s="819">
        <v>0.9</v>
      </c>
      <c r="F30" s="822" t="s">
        <v>583</v>
      </c>
      <c r="G30" s="823"/>
      <c r="H30" s="815"/>
      <c r="I30" s="815"/>
    </row>
    <row r="31" spans="1:9" s="824" customFormat="1" ht="19.5" customHeight="1">
      <c r="A31" s="3436"/>
      <c r="B31" s="3436"/>
      <c r="C31" s="820" t="s">
        <v>584</v>
      </c>
      <c r="D31" s="821"/>
      <c r="E31" s="819">
        <v>0.8</v>
      </c>
      <c r="F31" s="822" t="s">
        <v>585</v>
      </c>
      <c r="G31" s="823"/>
      <c r="H31" s="815"/>
      <c r="I31" s="815"/>
    </row>
    <row r="32" spans="1:9" s="824" customFormat="1" ht="19.5" customHeight="1">
      <c r="A32" s="3436"/>
      <c r="B32" s="3436"/>
      <c r="C32" s="820" t="s">
        <v>586</v>
      </c>
      <c r="D32" s="821"/>
      <c r="E32" s="819">
        <v>0.8</v>
      </c>
      <c r="F32" s="822" t="s">
        <v>587</v>
      </c>
      <c r="G32" s="823"/>
      <c r="H32" s="815"/>
      <c r="I32" s="815"/>
    </row>
    <row r="33" spans="1:9" s="824" customFormat="1" ht="19.5" customHeight="1">
      <c r="A33" s="3436" t="s">
        <v>185</v>
      </c>
      <c r="B33" s="819" t="s">
        <v>560</v>
      </c>
      <c r="C33" s="820" t="s">
        <v>588</v>
      </c>
      <c r="D33" s="821"/>
      <c r="E33" s="819">
        <v>1</v>
      </c>
      <c r="F33" s="822" t="s">
        <v>589</v>
      </c>
      <c r="G33" s="823"/>
      <c r="H33" s="815"/>
      <c r="I33" s="815"/>
    </row>
    <row r="34" spans="1:9" s="824" customFormat="1" ht="19.5" customHeight="1">
      <c r="A34" s="3436"/>
      <c r="B34" s="819" t="s">
        <v>563</v>
      </c>
      <c r="C34" s="820" t="s">
        <v>590</v>
      </c>
      <c r="D34" s="821"/>
      <c r="E34" s="819">
        <v>1.5</v>
      </c>
      <c r="F34" s="822" t="s">
        <v>591</v>
      </c>
      <c r="G34" s="823"/>
      <c r="H34" s="815"/>
      <c r="I34" s="815"/>
    </row>
    <row r="35" spans="1:9" s="824" customFormat="1" ht="19.5" customHeight="1">
      <c r="A35" s="3436" t="s">
        <v>186</v>
      </c>
      <c r="B35" s="819" t="s">
        <v>560</v>
      </c>
      <c r="C35" s="820" t="s">
        <v>592</v>
      </c>
      <c r="D35" s="821"/>
      <c r="E35" s="819">
        <v>1</v>
      </c>
      <c r="F35" s="822" t="s">
        <v>593</v>
      </c>
      <c r="G35" s="823"/>
      <c r="H35" s="815"/>
      <c r="I35" s="815"/>
    </row>
    <row r="36" spans="1:9" s="824" customFormat="1" ht="19.5" customHeight="1">
      <c r="A36" s="3436"/>
      <c r="B36" s="3436" t="s">
        <v>563</v>
      </c>
      <c r="C36" s="820" t="s">
        <v>594</v>
      </c>
      <c r="D36" s="821"/>
      <c r="E36" s="819">
        <v>1</v>
      </c>
      <c r="F36" s="822" t="s">
        <v>595</v>
      </c>
      <c r="G36" s="823"/>
      <c r="H36" s="815"/>
      <c r="I36" s="815"/>
    </row>
    <row r="37" spans="1:9" s="824" customFormat="1" ht="19.5" customHeight="1">
      <c r="A37" s="3436"/>
      <c r="B37" s="3436"/>
      <c r="C37" s="820" t="s">
        <v>596</v>
      </c>
      <c r="D37" s="821"/>
      <c r="E37" s="819">
        <v>1.5</v>
      </c>
      <c r="F37" s="822" t="s">
        <v>597</v>
      </c>
      <c r="G37" s="823"/>
      <c r="H37" s="815"/>
      <c r="I37" s="815"/>
    </row>
    <row r="38" spans="1:9" s="824" customFormat="1" ht="19.5" customHeight="1">
      <c r="A38" s="3436"/>
      <c r="B38" s="3436"/>
      <c r="C38" s="820" t="s">
        <v>598</v>
      </c>
      <c r="D38" s="821"/>
      <c r="E38" s="819">
        <v>1</v>
      </c>
      <c r="F38" s="822" t="s">
        <v>599</v>
      </c>
      <c r="G38" s="823"/>
      <c r="H38" s="815"/>
      <c r="I38" s="815"/>
    </row>
    <row r="39" spans="1:9" s="824" customFormat="1" ht="19.5" customHeight="1">
      <c r="A39" s="3436"/>
      <c r="B39" s="3436"/>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36" t="s">
        <v>614</v>
      </c>
      <c r="C61" s="755" t="s">
        <v>615</v>
      </c>
      <c r="D61" s="755" t="s">
        <v>616</v>
      </c>
      <c r="E61" s="832">
        <v>0.5</v>
      </c>
      <c r="F61" s="819">
        <v>80</v>
      </c>
    </row>
    <row r="62" spans="1:8" s="815" customFormat="1" ht="24">
      <c r="A62" s="819">
        <v>2</v>
      </c>
      <c r="B62" s="3436"/>
      <c r="C62" s="755" t="s">
        <v>617</v>
      </c>
      <c r="D62" s="755" t="s">
        <v>618</v>
      </c>
      <c r="E62" s="832">
        <v>0.5</v>
      </c>
      <c r="F62" s="819">
        <v>80</v>
      </c>
    </row>
    <row r="63" spans="1:8" s="815" customFormat="1" ht="36">
      <c r="A63" s="819">
        <v>3</v>
      </c>
      <c r="B63" s="3436"/>
      <c r="C63" s="755" t="s">
        <v>619</v>
      </c>
      <c r="D63" s="755" t="s">
        <v>620</v>
      </c>
      <c r="E63" s="832">
        <v>0.5</v>
      </c>
      <c r="F63" s="819">
        <v>80</v>
      </c>
    </row>
    <row r="64" spans="1:8" s="815" customFormat="1" ht="36">
      <c r="A64" s="819">
        <v>4</v>
      </c>
      <c r="B64" s="3436"/>
      <c r="C64" s="755" t="s">
        <v>621</v>
      </c>
      <c r="D64" s="755" t="s">
        <v>622</v>
      </c>
      <c r="E64" s="832">
        <v>0.4</v>
      </c>
      <c r="F64" s="819">
        <v>60</v>
      </c>
    </row>
    <row r="65" spans="1:6" s="815" customFormat="1" ht="36">
      <c r="A65" s="819">
        <v>5</v>
      </c>
      <c r="B65" s="3436"/>
      <c r="C65" s="755" t="s">
        <v>623</v>
      </c>
      <c r="D65" s="755" t="s">
        <v>624</v>
      </c>
      <c r="E65" s="832">
        <v>0.2</v>
      </c>
      <c r="F65" s="819">
        <v>30</v>
      </c>
    </row>
    <row r="66" spans="1:6" s="815" customFormat="1" ht="36">
      <c r="A66" s="819">
        <v>6</v>
      </c>
      <c r="B66" s="3436"/>
      <c r="C66" s="755" t="s">
        <v>625</v>
      </c>
      <c r="D66" s="755" t="s">
        <v>626</v>
      </c>
      <c r="E66" s="832">
        <v>0.3</v>
      </c>
      <c r="F66" s="819">
        <v>50</v>
      </c>
    </row>
    <row r="67" spans="1:6" s="815" customFormat="1" ht="36">
      <c r="A67" s="819">
        <v>7</v>
      </c>
      <c r="B67" s="3436"/>
      <c r="C67" s="755" t="s">
        <v>627</v>
      </c>
      <c r="D67" s="755" t="s">
        <v>628</v>
      </c>
      <c r="E67" s="832">
        <v>0.2</v>
      </c>
      <c r="F67" s="819">
        <v>30</v>
      </c>
    </row>
    <row r="68" spans="1:6" s="815" customFormat="1" ht="36">
      <c r="A68" s="819">
        <v>8</v>
      </c>
      <c r="B68" s="3436"/>
      <c r="C68" s="755" t="s">
        <v>629</v>
      </c>
      <c r="D68" s="755" t="s">
        <v>630</v>
      </c>
      <c r="E68" s="832">
        <v>0.2</v>
      </c>
      <c r="F68" s="819">
        <v>30</v>
      </c>
    </row>
    <row r="69" spans="1:6" s="815" customFormat="1" ht="36">
      <c r="A69" s="819">
        <v>9</v>
      </c>
      <c r="B69" s="3436"/>
      <c r="C69" s="755" t="s">
        <v>631</v>
      </c>
      <c r="D69" s="755" t="s">
        <v>632</v>
      </c>
      <c r="E69" s="832">
        <v>0.2</v>
      </c>
      <c r="F69" s="819">
        <v>30</v>
      </c>
    </row>
    <row r="70" spans="1:6" s="815" customFormat="1" ht="48">
      <c r="A70" s="819">
        <v>10</v>
      </c>
      <c r="B70" s="3436"/>
      <c r="C70" s="755" t="s">
        <v>633</v>
      </c>
      <c r="D70" s="755" t="s">
        <v>634</v>
      </c>
      <c r="E70" s="832">
        <v>0.2</v>
      </c>
      <c r="F70" s="819">
        <v>30</v>
      </c>
    </row>
    <row r="71" spans="1:6" s="815" customFormat="1" ht="48">
      <c r="A71" s="819">
        <v>11</v>
      </c>
      <c r="B71" s="3436"/>
      <c r="C71" s="755" t="s">
        <v>635</v>
      </c>
      <c r="D71" s="755" t="s">
        <v>636</v>
      </c>
      <c r="E71" s="832">
        <v>0.2</v>
      </c>
      <c r="F71" s="819">
        <v>30</v>
      </c>
    </row>
    <row r="72" spans="1:6" s="815" customFormat="1" ht="36">
      <c r="A72" s="819">
        <v>12</v>
      </c>
      <c r="B72" s="3436"/>
      <c r="C72" s="755" t="s">
        <v>637</v>
      </c>
      <c r="D72" s="755" t="s">
        <v>638</v>
      </c>
      <c r="E72" s="832">
        <v>0.5</v>
      </c>
      <c r="F72" s="819">
        <v>80</v>
      </c>
    </row>
    <row r="73" spans="1:6" s="815" customFormat="1" ht="24">
      <c r="A73" s="819">
        <v>13</v>
      </c>
      <c r="B73" s="3436"/>
      <c r="C73" s="755" t="s">
        <v>639</v>
      </c>
      <c r="D73" s="755" t="s">
        <v>640</v>
      </c>
      <c r="E73" s="832">
        <v>0.4</v>
      </c>
      <c r="F73" s="819">
        <v>60</v>
      </c>
    </row>
    <row r="74" spans="1:6" s="815" customFormat="1" ht="24">
      <c r="A74" s="819">
        <v>14</v>
      </c>
      <c r="B74" s="3436"/>
      <c r="C74" s="755" t="s">
        <v>641</v>
      </c>
      <c r="D74" s="755" t="s">
        <v>642</v>
      </c>
      <c r="E74" s="832">
        <v>0.2</v>
      </c>
      <c r="F74" s="819">
        <v>30</v>
      </c>
    </row>
    <row r="75" spans="1:6" s="815" customFormat="1" ht="24">
      <c r="A75" s="819">
        <v>15</v>
      </c>
      <c r="B75" s="3436"/>
      <c r="C75" s="755" t="s">
        <v>643</v>
      </c>
      <c r="D75" s="755" t="s">
        <v>644</v>
      </c>
      <c r="E75" s="832">
        <v>0.2</v>
      </c>
      <c r="F75" s="819">
        <v>30</v>
      </c>
    </row>
    <row r="76" spans="1:6" s="815" customFormat="1" ht="24">
      <c r="A76" s="819">
        <v>16</v>
      </c>
      <c r="B76" s="3436" t="s">
        <v>645</v>
      </c>
      <c r="C76" s="755" t="s">
        <v>646</v>
      </c>
      <c r="D76" s="755" t="s">
        <v>647</v>
      </c>
      <c r="E76" s="832">
        <v>0.5</v>
      </c>
      <c r="F76" s="819">
        <v>80</v>
      </c>
    </row>
    <row r="77" spans="1:6" s="815" customFormat="1" ht="24">
      <c r="A77" s="819">
        <v>17</v>
      </c>
      <c r="B77" s="3436"/>
      <c r="C77" s="755" t="s">
        <v>648</v>
      </c>
      <c r="D77" s="755" t="s">
        <v>649</v>
      </c>
      <c r="E77" s="832">
        <v>0.5</v>
      </c>
      <c r="F77" s="819">
        <v>80</v>
      </c>
    </row>
    <row r="78" spans="1:6" s="815" customFormat="1" ht="24">
      <c r="A78" s="819">
        <v>18</v>
      </c>
      <c r="B78" s="3436"/>
      <c r="C78" s="755" t="s">
        <v>650</v>
      </c>
      <c r="D78" s="755" t="s">
        <v>651</v>
      </c>
      <c r="E78" s="832">
        <v>0.2</v>
      </c>
      <c r="F78" s="819">
        <v>30</v>
      </c>
    </row>
    <row r="79" spans="1:6" s="815" customFormat="1" ht="24">
      <c r="A79" s="819">
        <v>19</v>
      </c>
      <c r="B79" s="3436"/>
      <c r="C79" s="755" t="s">
        <v>652</v>
      </c>
      <c r="D79" s="755" t="s">
        <v>653</v>
      </c>
      <c r="E79" s="832">
        <v>0.5</v>
      </c>
      <c r="F79" s="819">
        <v>80</v>
      </c>
    </row>
    <row r="80" spans="1:6" s="815" customFormat="1" ht="36">
      <c r="A80" s="819">
        <v>20</v>
      </c>
      <c r="B80" s="3436"/>
      <c r="C80" s="755" t="s">
        <v>654</v>
      </c>
      <c r="D80" s="755" t="s">
        <v>655</v>
      </c>
      <c r="E80" s="832">
        <v>0.2</v>
      </c>
      <c r="F80" s="819">
        <v>30</v>
      </c>
    </row>
    <row r="81" spans="1:6" s="815" customFormat="1" ht="36">
      <c r="A81" s="819">
        <v>21</v>
      </c>
      <c r="B81" s="3436"/>
      <c r="C81" s="755" t="s">
        <v>656</v>
      </c>
      <c r="D81" s="755" t="s">
        <v>657</v>
      </c>
      <c r="E81" s="832">
        <v>0.2</v>
      </c>
      <c r="F81" s="819">
        <v>30</v>
      </c>
    </row>
    <row r="82" spans="1:6" s="815" customFormat="1" ht="48">
      <c r="A82" s="819">
        <v>22</v>
      </c>
      <c r="B82" s="3436"/>
      <c r="C82" s="755" t="s">
        <v>658</v>
      </c>
      <c r="D82" s="755" t="s">
        <v>659</v>
      </c>
      <c r="E82" s="832">
        <v>0.2</v>
      </c>
      <c r="F82" s="819">
        <v>30</v>
      </c>
    </row>
    <row r="83" spans="1:6" s="815" customFormat="1" ht="48">
      <c r="A83" s="819">
        <v>23</v>
      </c>
      <c r="B83" s="3436"/>
      <c r="C83" s="755" t="s">
        <v>660</v>
      </c>
      <c r="D83" s="755" t="s">
        <v>661</v>
      </c>
      <c r="E83" s="832">
        <v>0.2</v>
      </c>
      <c r="F83" s="819">
        <v>30</v>
      </c>
    </row>
    <row r="84" spans="1:6" s="815" customFormat="1" ht="36">
      <c r="A84" s="819">
        <v>24</v>
      </c>
      <c r="B84" s="3436"/>
      <c r="C84" s="755" t="s">
        <v>662</v>
      </c>
      <c r="D84" s="755" t="s">
        <v>663</v>
      </c>
      <c r="E84" s="832">
        <v>0.2</v>
      </c>
      <c r="F84" s="819">
        <v>30</v>
      </c>
    </row>
    <row r="85" spans="1:6" s="815" customFormat="1" ht="36">
      <c r="A85" s="819">
        <v>25</v>
      </c>
      <c r="B85" s="3436"/>
      <c r="C85" s="755" t="s">
        <v>664</v>
      </c>
      <c r="D85" s="755" t="s">
        <v>665</v>
      </c>
      <c r="E85" s="832">
        <v>0.5</v>
      </c>
      <c r="F85" s="819">
        <v>80</v>
      </c>
    </row>
    <row r="86" spans="1:6" s="815" customFormat="1" ht="36">
      <c r="A86" s="819">
        <v>26</v>
      </c>
      <c r="B86" s="3436"/>
      <c r="C86" s="755" t="s">
        <v>666</v>
      </c>
      <c r="D86" s="755" t="s">
        <v>667</v>
      </c>
      <c r="E86" s="832">
        <v>0.2</v>
      </c>
      <c r="F86" s="819">
        <v>30</v>
      </c>
    </row>
    <row r="87" spans="1:6" s="815" customFormat="1" ht="36">
      <c r="A87" s="819">
        <v>27</v>
      </c>
      <c r="B87" s="3436"/>
      <c r="C87" s="755" t="s">
        <v>668</v>
      </c>
      <c r="D87" s="755" t="s">
        <v>669</v>
      </c>
      <c r="E87" s="832">
        <v>0.2</v>
      </c>
      <c r="F87" s="819">
        <v>30</v>
      </c>
    </row>
    <row r="88" spans="1:6" s="815" customFormat="1" ht="36">
      <c r="A88" s="819">
        <v>28</v>
      </c>
      <c r="B88" s="3436"/>
      <c r="C88" s="755" t="s">
        <v>670</v>
      </c>
      <c r="D88" s="755" t="s">
        <v>671</v>
      </c>
      <c r="E88" s="832">
        <v>0.2</v>
      </c>
      <c r="F88" s="819">
        <v>30</v>
      </c>
    </row>
    <row r="89" spans="1:6" s="815" customFormat="1" ht="24">
      <c r="A89" s="819">
        <v>29</v>
      </c>
      <c r="B89" s="3436"/>
      <c r="C89" s="755" t="s">
        <v>672</v>
      </c>
      <c r="D89" s="755" t="s">
        <v>673</v>
      </c>
      <c r="E89" s="832">
        <v>0.2</v>
      </c>
      <c r="F89" s="819">
        <v>30</v>
      </c>
    </row>
    <row r="90" spans="1:6" s="815" customFormat="1" ht="24">
      <c r="A90" s="819">
        <v>30</v>
      </c>
      <c r="B90" s="3436"/>
      <c r="C90" s="755" t="s">
        <v>674</v>
      </c>
      <c r="D90" s="755" t="s">
        <v>675</v>
      </c>
      <c r="E90" s="832">
        <v>0.2</v>
      </c>
      <c r="F90" s="819">
        <v>30</v>
      </c>
    </row>
    <row r="91" spans="1:6" s="815" customFormat="1" ht="36">
      <c r="A91" s="819">
        <v>31</v>
      </c>
      <c r="B91" s="3436"/>
      <c r="C91" s="755" t="s">
        <v>676</v>
      </c>
      <c r="D91" s="755" t="s">
        <v>677</v>
      </c>
      <c r="E91" s="832">
        <v>0.2</v>
      </c>
      <c r="F91" s="819">
        <v>30</v>
      </c>
    </row>
    <row r="92" spans="1:6" s="815" customFormat="1" ht="24">
      <c r="A92" s="819">
        <v>32</v>
      </c>
      <c r="B92" s="3436" t="s">
        <v>678</v>
      </c>
      <c r="C92" s="819" t="s">
        <v>679</v>
      </c>
      <c r="D92" s="755" t="s">
        <v>680</v>
      </c>
      <c r="E92" s="832">
        <v>0.2</v>
      </c>
      <c r="F92" s="819">
        <v>30</v>
      </c>
    </row>
    <row r="93" spans="1:6" s="815" customFormat="1" ht="36">
      <c r="A93" s="819">
        <v>33</v>
      </c>
      <c r="B93" s="3436"/>
      <c r="C93" s="819" t="s">
        <v>681</v>
      </c>
      <c r="D93" s="755" t="s">
        <v>682</v>
      </c>
      <c r="E93" s="832">
        <v>0.2</v>
      </c>
      <c r="F93" s="819">
        <v>30</v>
      </c>
    </row>
    <row r="94" spans="1:6" s="815" customFormat="1" ht="48">
      <c r="A94" s="819">
        <v>34</v>
      </c>
      <c r="B94" s="3436"/>
      <c r="C94" s="819" t="s">
        <v>683</v>
      </c>
      <c r="D94" s="755" t="s">
        <v>684</v>
      </c>
      <c r="E94" s="832">
        <v>0.2</v>
      </c>
      <c r="F94" s="819">
        <v>30</v>
      </c>
    </row>
    <row r="95" spans="1:6" s="815" customFormat="1" ht="36">
      <c r="A95" s="819">
        <v>35</v>
      </c>
      <c r="B95" s="3436"/>
      <c r="C95" s="819" t="s">
        <v>685</v>
      </c>
      <c r="D95" s="755" t="s">
        <v>686</v>
      </c>
      <c r="E95" s="832">
        <v>0.2</v>
      </c>
      <c r="F95" s="819">
        <v>30</v>
      </c>
    </row>
    <row r="96" spans="1:6" s="815" customFormat="1" ht="48">
      <c r="A96" s="819">
        <v>36</v>
      </c>
      <c r="B96" s="3436"/>
      <c r="C96" s="755" t="s">
        <v>687</v>
      </c>
      <c r="D96" s="755" t="s">
        <v>688</v>
      </c>
      <c r="E96" s="832">
        <v>0.2</v>
      </c>
      <c r="F96" s="819">
        <v>30</v>
      </c>
    </row>
    <row r="97" spans="1:6" s="815" customFormat="1" ht="36">
      <c r="A97" s="819">
        <v>37</v>
      </c>
      <c r="B97" s="3436"/>
      <c r="C97" s="819" t="s">
        <v>689</v>
      </c>
      <c r="D97" s="755" t="s">
        <v>690</v>
      </c>
      <c r="E97" s="832">
        <v>0.2</v>
      </c>
      <c r="F97" s="819">
        <v>30</v>
      </c>
    </row>
    <row r="98" spans="1:6" s="815" customFormat="1" ht="36">
      <c r="A98" s="819">
        <v>38</v>
      </c>
      <c r="B98" s="3436"/>
      <c r="C98" s="819" t="s">
        <v>691</v>
      </c>
      <c r="D98" s="755" t="s">
        <v>692</v>
      </c>
      <c r="E98" s="832">
        <v>0.2</v>
      </c>
      <c r="F98" s="819">
        <v>30</v>
      </c>
    </row>
    <row r="99" spans="1:6" s="815" customFormat="1" ht="36">
      <c r="A99" s="819">
        <v>39</v>
      </c>
      <c r="B99" s="3436" t="s">
        <v>693</v>
      </c>
      <c r="C99" s="819" t="s">
        <v>694</v>
      </c>
      <c r="D99" s="755" t="s">
        <v>695</v>
      </c>
      <c r="E99" s="832">
        <v>0.3</v>
      </c>
      <c r="F99" s="819">
        <v>50</v>
      </c>
    </row>
    <row r="100" spans="1:6" s="815" customFormat="1" ht="24">
      <c r="A100" s="819">
        <v>40</v>
      </c>
      <c r="B100" s="3436"/>
      <c r="C100" s="819" t="s">
        <v>696</v>
      </c>
      <c r="D100" s="755" t="s">
        <v>697</v>
      </c>
      <c r="E100" s="832">
        <v>0.2</v>
      </c>
      <c r="F100" s="819">
        <v>30</v>
      </c>
    </row>
    <row r="101" spans="1:6" s="815" customFormat="1" ht="36">
      <c r="A101" s="819">
        <v>41</v>
      </c>
      <c r="B101" s="3436"/>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36" t="s">
        <v>708</v>
      </c>
      <c r="C105" s="819" t="s">
        <v>709</v>
      </c>
      <c r="D105" s="755" t="s">
        <v>710</v>
      </c>
      <c r="E105" s="832">
        <v>0.2</v>
      </c>
      <c r="F105" s="819">
        <v>30</v>
      </c>
    </row>
    <row r="106" spans="1:6" s="815" customFormat="1" ht="36">
      <c r="A106" s="819">
        <v>46</v>
      </c>
      <c r="B106" s="3436"/>
      <c r="C106" s="819" t="s">
        <v>711</v>
      </c>
      <c r="D106" s="755" t="s">
        <v>712</v>
      </c>
      <c r="E106" s="832">
        <v>0.2</v>
      </c>
      <c r="F106" s="819">
        <v>30</v>
      </c>
    </row>
    <row r="107" spans="1:6" s="815" customFormat="1" ht="36">
      <c r="A107" s="819">
        <v>47</v>
      </c>
      <c r="B107" s="3436" t="s">
        <v>713</v>
      </c>
      <c r="C107" s="819" t="s">
        <v>714</v>
      </c>
      <c r="D107" s="755" t="s">
        <v>715</v>
      </c>
      <c r="E107" s="832">
        <v>0.3</v>
      </c>
      <c r="F107" s="819">
        <v>50</v>
      </c>
    </row>
    <row r="108" spans="1:6" s="815" customFormat="1" ht="36">
      <c r="A108" s="819">
        <v>48</v>
      </c>
      <c r="B108" s="3436"/>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36" t="s">
        <v>724</v>
      </c>
      <c r="C111" s="819" t="s">
        <v>725</v>
      </c>
      <c r="D111" s="755" t="s">
        <v>726</v>
      </c>
      <c r="E111" s="832">
        <v>0.2</v>
      </c>
      <c r="F111" s="819">
        <v>30</v>
      </c>
    </row>
    <row r="112" spans="1:6" s="815" customFormat="1" ht="24">
      <c r="A112" s="819">
        <v>52</v>
      </c>
      <c r="B112" s="3436"/>
      <c r="C112" s="819" t="s">
        <v>727</v>
      </c>
      <c r="D112" s="755" t="s">
        <v>728</v>
      </c>
      <c r="E112" s="832">
        <v>0.2</v>
      </c>
      <c r="F112" s="819">
        <v>30</v>
      </c>
    </row>
    <row r="113" spans="1:6" s="815" customFormat="1" ht="24">
      <c r="A113" s="819">
        <v>53</v>
      </c>
      <c r="B113" s="3436"/>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36" t="s">
        <v>737</v>
      </c>
      <c r="C116" s="819" t="s">
        <v>738</v>
      </c>
      <c r="D116" s="755" t="s">
        <v>739</v>
      </c>
      <c r="E116" s="832">
        <v>0.2</v>
      </c>
      <c r="F116" s="819">
        <v>30</v>
      </c>
    </row>
    <row r="117" spans="1:6" ht="36">
      <c r="A117" s="819">
        <v>57</v>
      </c>
      <c r="B117" s="3436"/>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2820</v>
      </c>
      <c r="B1" s="2361"/>
      <c r="C1" s="2361"/>
      <c r="D1" s="2361"/>
      <c r="E1" s="2361"/>
      <c r="F1" s="3021"/>
      <c r="G1" s="3021"/>
      <c r="H1" s="3021"/>
      <c r="I1" s="3021"/>
      <c r="J1" s="3021"/>
      <c r="K1" s="3021"/>
      <c r="L1" s="3021"/>
      <c r="M1" s="3021"/>
      <c r="N1" s="3021"/>
      <c r="O1" s="3021"/>
      <c r="P1" s="3021"/>
    </row>
    <row r="2" spans="1:16" ht="15.75">
      <c r="A2" s="2359" t="s">
        <v>2812</v>
      </c>
      <c r="B2" s="2825" t="e">
        <f ca="1">SUMIF(B6:B13,"&lt;&gt;#ref!",B6:B13)</f>
        <v>#DIV/0!</v>
      </c>
      <c r="C2" s="2359" t="s">
        <v>2813</v>
      </c>
      <c r="D2" s="2359" t="s">
        <v>2814</v>
      </c>
      <c r="E2" s="2835">
        <f ca="1">SUMIF(E6:E13,"&lt;&gt;#ref!",E6:E13)</f>
        <v>125054.78</v>
      </c>
      <c r="F2" s="3021"/>
      <c r="G2" s="3021"/>
      <c r="H2" s="3021"/>
      <c r="I2" s="3021"/>
      <c r="J2" s="3021"/>
      <c r="K2" s="3021"/>
      <c r="L2" s="3021"/>
      <c r="M2" s="3021"/>
      <c r="N2" s="3021"/>
      <c r="O2" s="3021"/>
      <c r="P2" s="3021"/>
    </row>
    <row r="3" spans="1:16" ht="15.75">
      <c r="A3" s="2359" t="s">
        <v>2815</v>
      </c>
      <c r="B3" s="2825" t="e">
        <f ca="1">ROUND(B2*10000/E2,0)</f>
        <v>#DIV/0!</v>
      </c>
      <c r="C3" s="2359" t="s">
        <v>2821</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2816</v>
      </c>
      <c r="B5" s="2833" t="s">
        <v>2817</v>
      </c>
      <c r="C5" s="2360"/>
      <c r="D5" s="3021"/>
      <c r="E5" s="2834" t="s">
        <v>2818</v>
      </c>
      <c r="F5" s="3021"/>
      <c r="G5" s="3021"/>
      <c r="H5" s="3021"/>
      <c r="I5" s="3021"/>
      <c r="J5" s="3021"/>
      <c r="K5" s="3021"/>
      <c r="L5" s="3021"/>
      <c r="M5" s="3021"/>
      <c r="N5" s="3021"/>
      <c r="O5" s="3021"/>
      <c r="P5" s="3021"/>
    </row>
    <row r="6" spans="1:16" ht="15.75">
      <c r="A6" s="2832" t="s">
        <v>2819</v>
      </c>
      <c r="B6" s="2825" t="e">
        <f ca="1">SUMIF(INDIRECT("'"&amp;A6&amp;"'"&amp;"!A:A"),"总价",INDIRECT("'"&amp;A6&amp;"'"&amp;"!B:B"))</f>
        <v>#DIV/0!</v>
      </c>
      <c r="C6" s="2359" t="s">
        <v>2813</v>
      </c>
      <c r="D6" s="3021"/>
      <c r="E6" s="2835">
        <f ca="1">SUMIF(INDIRECT("'"&amp;A6&amp;"'"&amp;"!C:C"),"建筑面积",INDIRECT("'"&amp;A6&amp;"'"&amp;"!D:D"))</f>
        <v>125054.78</v>
      </c>
      <c r="F6" s="3021"/>
      <c r="G6" s="3021"/>
      <c r="H6" s="3021"/>
      <c r="I6" s="3021"/>
      <c r="J6" s="3021"/>
      <c r="K6" s="3021"/>
      <c r="L6" s="3021"/>
      <c r="M6" s="3021"/>
      <c r="N6" s="3021"/>
      <c r="O6" s="3021"/>
      <c r="P6" s="3021"/>
    </row>
    <row r="7" spans="1:16" ht="15.75">
      <c r="A7" s="2832"/>
      <c r="B7" s="2825" t="e">
        <f ca="1">SUMIF(INDIRECT("'"&amp;A7&amp;"'"&amp;"!A:A"),"总价",INDIRECT("'"&amp;A7&amp;"'"&amp;"!B:B"))</f>
        <v>#REF!</v>
      </c>
      <c r="C7" s="2359" t="s">
        <v>2813</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9" t="s">
        <v>2813</v>
      </c>
      <c r="D8" s="3021"/>
      <c r="E8" s="2835" t="e">
        <f t="shared" ca="1" si="0"/>
        <v>#REF!</v>
      </c>
      <c r="F8" s="3021"/>
      <c r="G8" s="3021"/>
      <c r="H8" s="3021"/>
      <c r="I8" s="3021"/>
      <c r="J8" s="3021"/>
      <c r="K8" s="3021"/>
      <c r="L8" s="3021"/>
      <c r="M8" s="3021"/>
      <c r="N8" s="3021"/>
      <c r="O8" s="3021"/>
      <c r="P8" s="3021"/>
    </row>
    <row r="9" spans="1:16" ht="15.75">
      <c r="A9" s="2832"/>
      <c r="B9" s="2825" t="e">
        <f t="shared" ca="1" si="1"/>
        <v>#REF!</v>
      </c>
      <c r="C9" s="2359" t="s">
        <v>2813</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9" t="s">
        <v>2813</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9" t="s">
        <v>2813</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9" t="s">
        <v>2813</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9" t="s">
        <v>2813</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7"/>
  <sheetViews>
    <sheetView zoomScale="80" zoomScaleNormal="80" workbookViewId="0">
      <selection activeCell="I13" sqref="I1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42" t="s">
        <v>1117</v>
      </c>
      <c r="C1" s="3442"/>
      <c r="D1" s="3442"/>
      <c r="E1" s="3442"/>
      <c r="F1" s="3442"/>
      <c r="G1" s="3441" t="s">
        <v>1118</v>
      </c>
      <c r="H1" s="3441"/>
      <c r="I1" s="3441"/>
      <c r="J1" s="3441"/>
      <c r="K1" s="3441"/>
      <c r="L1" s="3441"/>
      <c r="N1" s="3441" t="s">
        <v>1119</v>
      </c>
      <c r="O1" s="3441"/>
      <c r="P1" s="3441"/>
      <c r="Q1" s="3441"/>
      <c r="S1" s="3441" t="s">
        <v>1120</v>
      </c>
      <c r="T1" s="3441"/>
      <c r="U1" s="3441"/>
      <c r="V1" s="3441"/>
      <c r="X1" s="3440" t="s">
        <v>1121</v>
      </c>
      <c r="Y1" s="3441"/>
      <c r="Z1" s="3441"/>
      <c r="AA1" s="3441"/>
      <c r="AB1" s="3441"/>
      <c r="AD1" s="3440" t="s">
        <v>1122</v>
      </c>
      <c r="AE1" s="3441"/>
      <c r="AF1" s="3441"/>
      <c r="AG1" s="3441"/>
      <c r="AH1" s="3441"/>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3060</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3059</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0">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7">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38">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38"/>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38"/>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47"/>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43">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38"/>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38"/>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47"/>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43">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38"/>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38"/>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39"/>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37">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38"/>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38"/>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39"/>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37">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38"/>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38"/>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39"/>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44">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45"/>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45"/>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46"/>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37">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38"/>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38"/>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39"/>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37">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38">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38">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39">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37">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38">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38">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39">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37">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38">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38">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39">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37">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38">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38">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39">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37">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38">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38">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39">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37">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38">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38">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39">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37">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38">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38">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39">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37">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38">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38">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39">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37">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38">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38">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39">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37">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38">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38">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39">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2822</v>
      </c>
      <c r="C1" s="3451" t="s">
        <v>2823</v>
      </c>
      <c r="D1" s="3452"/>
      <c r="E1" s="3452"/>
      <c r="F1" s="3452"/>
      <c r="G1" s="3452"/>
      <c r="H1" s="3452"/>
      <c r="I1" s="3452"/>
      <c r="J1" s="3452"/>
      <c r="K1" s="3452"/>
      <c r="L1" s="3452"/>
      <c r="M1" s="3452"/>
      <c r="N1" s="3452"/>
      <c r="O1" s="3452"/>
      <c r="P1" s="3452"/>
      <c r="Q1" s="3452"/>
      <c r="R1" s="3452"/>
      <c r="S1" s="3453"/>
      <c r="T1" s="1112" t="s">
        <v>2824</v>
      </c>
    </row>
    <row r="2" spans="1:45" s="661" customFormat="1">
      <c r="A2" s="1113"/>
      <c r="B2" s="657" t="s">
        <v>2825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2826</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2827</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5" t="s">
        <v>2828</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4" t="s">
        <v>2829</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4" t="s">
        <v>2830</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4" t="s">
        <v>2831</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2832</v>
      </c>
      <c r="B17" s="2363" t="s">
        <v>2833</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2834</v>
      </c>
      <c r="E19" s="1522"/>
      <c r="F19" s="1522"/>
      <c r="G19" s="1522"/>
      <c r="H19" s="1188"/>
      <c r="I19" s="162"/>
      <c r="J19" s="162"/>
      <c r="K19" s="162"/>
      <c r="L19" s="162"/>
      <c r="M19" s="162"/>
      <c r="N19" s="162"/>
      <c r="O19" s="162"/>
      <c r="P19" s="162"/>
      <c r="Q19" s="162"/>
      <c r="R19" s="725"/>
      <c r="S19" s="132"/>
    </row>
    <row r="20" spans="1:45" ht="16.5" thickBot="1">
      <c r="A20" s="669" t="s">
        <v>2835</v>
      </c>
      <c r="B20" s="298" t="e">
        <f ca="1">IF(D20="——",S22,S22-F20)</f>
        <v>#REF!</v>
      </c>
      <c r="C20" s="162"/>
      <c r="D20" s="2365"/>
      <c r="E20" s="1523"/>
      <c r="F20" s="1112" t="e">
        <f ca="1">SUMIF(INDIRECT("'"&amp;H20&amp;"'"&amp;"!A:A"),"承租人权益价值",INDIRECT("'"&amp;H20&amp;"'"&amp;"!c:c"))</f>
        <v>#REF!</v>
      </c>
      <c r="G20" s="1112" t="s">
        <v>2836</v>
      </c>
      <c r="H20" s="2366"/>
      <c r="I20" s="162"/>
      <c r="J20" s="162"/>
      <c r="K20" s="162"/>
      <c r="L20" s="162"/>
      <c r="M20" s="162"/>
      <c r="N20" s="162"/>
      <c r="O20" s="162"/>
      <c r="P20" s="162"/>
      <c r="Q20" s="162"/>
      <c r="R20" s="725"/>
      <c r="S20" s="132"/>
    </row>
    <row r="21" spans="1:45" ht="15.75">
      <c r="A21" s="669" t="s">
        <v>2837</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2838</v>
      </c>
      <c r="B22" s="24">
        <f>SUM(B24:B10000)</f>
        <v>100</v>
      </c>
      <c r="C22" s="3448" t="s">
        <v>33</v>
      </c>
      <c r="D22" s="3449"/>
      <c r="E22" s="3449"/>
      <c r="F22" s="3449"/>
      <c r="G22" s="3449"/>
      <c r="H22" s="3449"/>
      <c r="I22" s="3449"/>
      <c r="J22" s="3449"/>
      <c r="K22" s="3449"/>
      <c r="L22" s="3449"/>
      <c r="M22" s="3449"/>
      <c r="N22" s="3449"/>
      <c r="O22" s="3449"/>
      <c r="P22" s="3449"/>
      <c r="Q22" s="3450"/>
      <c r="R22" s="670">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1" t="s">
        <v>2842</v>
      </c>
      <c r="S23" s="11" t="s">
        <v>2843</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2844</v>
      </c>
      <c r="B24" s="672">
        <v>100</v>
      </c>
      <c r="C24" s="3038">
        <v>1</v>
      </c>
      <c r="D24" s="3039"/>
      <c r="E24" s="3038">
        <v>1</v>
      </c>
      <c r="F24" s="3039"/>
      <c r="G24" s="3038">
        <v>1</v>
      </c>
      <c r="H24" s="3039"/>
      <c r="I24" s="3038">
        <v>1</v>
      </c>
      <c r="J24" s="3039"/>
      <c r="K24" s="3038">
        <v>1</v>
      </c>
      <c r="L24" s="3039"/>
      <c r="M24" s="3038">
        <v>1</v>
      </c>
      <c r="N24" s="3039"/>
      <c r="O24" s="3038">
        <v>1</v>
      </c>
      <c r="P24" s="3039"/>
      <c r="Q24" s="3038">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8">
      <c r="A3" s="3123" t="str">
        <f>IF(项目基本情况!B9="房地产市场价值","估价结果一览表（市场价值不需“结果表-1”）","估价结果一览表")</f>
        <v>估价结果一览表</v>
      </c>
      <c r="B3" s="3123"/>
      <c r="C3" s="3123"/>
      <c r="D3" s="3123"/>
      <c r="E3" s="3123"/>
    </row>
    <row r="4" spans="1:5" ht="19.5" thickBot="1">
      <c r="A4" s="1676"/>
      <c r="B4" s="3121" t="s">
        <v>1595</v>
      </c>
      <c r="C4" s="3121"/>
      <c r="D4" s="3121"/>
      <c r="E4" s="1676"/>
    </row>
    <row r="5" spans="1:5" ht="16.5" thickTop="1">
      <c r="A5" s="1674"/>
      <c r="B5" s="3119" t="s">
        <v>1587</v>
      </c>
      <c r="C5" s="1677" t="s">
        <v>1588</v>
      </c>
      <c r="D5" s="957">
        <f ca="1">结果表!H101</f>
        <v>70449</v>
      </c>
      <c r="E5" s="1674"/>
    </row>
    <row r="6" spans="1:5" ht="15.75">
      <c r="A6" s="1674"/>
      <c r="B6" s="3119"/>
      <c r="C6" s="1677" t="s">
        <v>1589</v>
      </c>
      <c r="D6" s="957" t="str">
        <f ca="1">NUMBERSTRING(INT(D5*10000),2)&amp;"元整"</f>
        <v>柒亿零肆佰肆拾玖万元整</v>
      </c>
      <c r="E6" s="1674"/>
    </row>
    <row r="7" spans="1:5" ht="15.75">
      <c r="A7" s="1674"/>
      <c r="B7" s="3124"/>
      <c r="C7" s="1678" t="s">
        <v>1590</v>
      </c>
      <c r="D7" s="958" t="e">
        <f ca="1">结果表!H102</f>
        <v>#DIV/0!</v>
      </c>
      <c r="E7" s="1674"/>
    </row>
    <row r="8" spans="1:5" ht="15.75">
      <c r="A8" s="1674"/>
      <c r="B8" s="3125" t="str">
        <f>结果表!E103</f>
        <v>2.估价师知悉的法定优先受偿款</v>
      </c>
      <c r="C8" s="1679" t="s">
        <v>1591</v>
      </c>
      <c r="D8" s="958">
        <f>结果表!H103</f>
        <v>0</v>
      </c>
      <c r="E8" s="1674"/>
    </row>
    <row r="9" spans="1:5" ht="15.75">
      <c r="A9" s="1674"/>
      <c r="B9" s="3127"/>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118" t="str">
        <f>结果表!E107</f>
        <v>3.房地产抵押价值</v>
      </c>
      <c r="C13" s="1682" t="s">
        <v>1588</v>
      </c>
      <c r="D13" s="960">
        <f ca="1">结果表!H107</f>
        <v>70449</v>
      </c>
      <c r="E13" s="1674"/>
    </row>
    <row r="14" spans="1:5" ht="15.75">
      <c r="A14" s="1674"/>
      <c r="B14" s="3119"/>
      <c r="C14" s="1677" t="s">
        <v>1589</v>
      </c>
      <c r="D14" s="957" t="str">
        <f ca="1">NUMBERSTRING(INT(D13*10000),2)&amp;"元整"</f>
        <v>柒亿零肆佰肆拾玖万元整</v>
      </c>
      <c r="E14" s="1674"/>
    </row>
    <row r="15" spans="1:5" ht="15">
      <c r="A15" s="1674"/>
      <c r="B15" s="3124"/>
      <c r="C15" s="1678" t="s">
        <v>1599</v>
      </c>
      <c r="D15" s="966">
        <f ca="1">结果表!H108</f>
        <v>5270</v>
      </c>
      <c r="E15" s="1674"/>
    </row>
    <row r="16" spans="1:5" ht="15">
      <c r="A16" s="1674"/>
      <c r="B16" s="3125" t="str">
        <f>结果表!E109</f>
        <v>——</v>
      </c>
      <c r="C16" s="1682" t="s">
        <v>1600</v>
      </c>
      <c r="D16" s="1683" t="str">
        <f>结果表!H109</f>
        <v>——</v>
      </c>
      <c r="E16" s="1674"/>
    </row>
    <row r="17" spans="1:5" ht="15.75">
      <c r="A17" s="1674"/>
      <c r="B17" s="3126"/>
      <c r="C17" s="1677" t="s">
        <v>1601</v>
      </c>
      <c r="D17" s="957" t="e">
        <f>NUMBERSTRING(INT(D16*10000),2)&amp;"元整"</f>
        <v>#VALUE!</v>
      </c>
      <c r="E17" s="1674"/>
    </row>
    <row r="18" spans="1:5" ht="15">
      <c r="A18" s="1674"/>
      <c r="B18" s="3127"/>
      <c r="C18" s="1678" t="s">
        <v>1590</v>
      </c>
      <c r="D18" s="966" t="str">
        <f>结果表!H110</f>
        <v>——</v>
      </c>
      <c r="E18" s="1674"/>
    </row>
    <row r="19" spans="1:5" ht="15.75">
      <c r="A19" s="1674"/>
      <c r="B19" s="3118" t="str">
        <f>结果表!E111</f>
        <v>——</v>
      </c>
      <c r="C19" s="1682" t="s">
        <v>1588</v>
      </c>
      <c r="D19" s="958" t="str">
        <f>结果表!H111</f>
        <v>——</v>
      </c>
      <c r="E19" s="1674"/>
    </row>
    <row r="20" spans="1:5" ht="15.75">
      <c r="A20" s="1674"/>
      <c r="B20" s="3119"/>
      <c r="C20" s="1677" t="s">
        <v>1601</v>
      </c>
      <c r="D20" s="957" t="e">
        <f>NUMBERSTRING(INT(D19*10000),2)&amp;"元整"</f>
        <v>#VALUE!</v>
      </c>
      <c r="E20" s="1674"/>
    </row>
    <row r="21" spans="1:5" ht="15.75" thickBot="1">
      <c r="A21" s="1674"/>
      <c r="B21" s="3120"/>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54762</v>
      </c>
      <c r="C2" s="2" t="s">
        <v>133</v>
      </c>
      <c r="D2" s="203"/>
      <c r="E2" s="203"/>
      <c r="F2" s="203"/>
      <c r="G2" s="203"/>
    </row>
    <row r="3" spans="1:7" s="204" customFormat="1" ht="18" customHeight="1" thickBot="1">
      <c r="A3" s="207" t="s">
        <v>85</v>
      </c>
      <c r="B3" s="208">
        <f ca="1">ROUND(B2*10000/'数据-汇总表'!E3,0)</f>
        <v>4097</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2001</v>
      </c>
      <c r="D9" s="952">
        <f>'数据-汇总表'!E5</f>
        <v>125054.78</v>
      </c>
      <c r="E9" s="229">
        <f>'数据-取费表'!B27</f>
        <v>160</v>
      </c>
      <c r="F9" s="225"/>
      <c r="G9" s="230"/>
    </row>
    <row r="10" spans="1:7" s="218" customFormat="1" ht="13.5" customHeight="1">
      <c r="A10" s="885" t="s">
        <v>801</v>
      </c>
      <c r="B10" s="228" t="s">
        <v>94</v>
      </c>
      <c r="C10" s="229">
        <f>ROUND(D10*E10/10000,0)</f>
        <v>172</v>
      </c>
      <c r="D10" s="952">
        <f>'数据-汇总表'!E6</f>
        <v>8620.6900000000023</v>
      </c>
      <c r="E10" s="229">
        <f>'数据-取费表'!B28</f>
        <v>200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2674</v>
      </c>
      <c r="D19" s="956">
        <f>'数据-汇总表'!E3</f>
        <v>133675.47</v>
      </c>
      <c r="E19" s="215">
        <f>'数据-取费表'!B31</f>
        <v>200</v>
      </c>
      <c r="F19" s="235"/>
      <c r="G19" s="1" t="s">
        <v>1042</v>
      </c>
    </row>
    <row r="20" spans="1:7" s="218" customFormat="1" ht="13.5" customHeight="1">
      <c r="A20" s="883" t="s">
        <v>1025</v>
      </c>
      <c r="B20" s="214" t="s">
        <v>104</v>
      </c>
      <c r="C20" s="236">
        <f>ROUND((C5+C19)*F20,0)</f>
        <v>466</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1023</v>
      </c>
      <c r="D22" s="239">
        <f ca="1">C26</f>
        <v>4.0000000000000002E-4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897</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116</v>
      </c>
      <c r="D24" s="242"/>
      <c r="E24" s="242"/>
      <c r="F24" s="243"/>
      <c r="G24" s="244" t="s">
        <v>109</v>
      </c>
    </row>
    <row r="25" spans="1:7" s="218" customFormat="1" ht="24">
      <c r="A25" s="886" t="s">
        <v>793</v>
      </c>
      <c r="B25" s="219" t="s">
        <v>1026</v>
      </c>
      <c r="C25" s="1263">
        <f ca="1">ROUND(IF('数据-取费表'!B22&lt;=1,C20*F22*'数据-取费表'!B23/2,C20*(POWER((1+F22),'数据-取费表'!B23/2)-1)),0)</f>
        <v>10</v>
      </c>
      <c r="D25" s="242"/>
      <c r="E25" s="245"/>
      <c r="F25" s="243"/>
      <c r="G25" s="246" t="s">
        <v>110</v>
      </c>
    </row>
    <row r="26" spans="1:7" s="218" customFormat="1">
      <c r="A26" s="886" t="s">
        <v>795</v>
      </c>
      <c r="B26" s="219" t="s">
        <v>1028</v>
      </c>
      <c r="C26" s="242">
        <f ca="1">ROUND(IF('数据-取费表'!B22&lt;=1,F21*F22*'数据-取费表'!B23/2,F21*(POWER((1+F22),'数据-取费表'!B23/2)-1)),4)</f>
        <v>4.0000000000000002E-4</v>
      </c>
      <c r="D26" s="242"/>
      <c r="E26" s="245"/>
      <c r="F26" s="243"/>
      <c r="G26" s="247"/>
    </row>
    <row r="27" spans="1:7" s="218" customFormat="1" ht="24.75">
      <c r="A27" s="883" t="s">
        <v>787</v>
      </c>
      <c r="B27" s="248" t="s">
        <v>112</v>
      </c>
      <c r="C27" s="249">
        <f>C28</f>
        <v>1663</v>
      </c>
      <c r="D27" s="239">
        <f>C29</f>
        <v>1.4E-3</v>
      </c>
      <c r="E27" s="240" t="s">
        <v>126</v>
      </c>
      <c r="F27" s="250">
        <f>'数据-取费表'!Q16</f>
        <v>0.14000000000000001</v>
      </c>
      <c r="G27" s="251" t="s">
        <v>1037</v>
      </c>
    </row>
    <row r="28" spans="1:7" s="218" customFormat="1" ht="13.5" customHeight="1">
      <c r="A28" s="886" t="s">
        <v>794</v>
      </c>
      <c r="B28" s="252" t="s">
        <v>1030</v>
      </c>
      <c r="C28" s="253">
        <f>ROUND((C5+C19+C20)*F27*'数据-取费表'!B21/'数据-取费表'!B20,0)</f>
        <v>1663</v>
      </c>
      <c r="D28" s="239"/>
      <c r="E28" s="240"/>
      <c r="F28" s="250"/>
      <c r="G28" s="251"/>
    </row>
    <row r="29" spans="1:7" s="218" customFormat="1" ht="13.5" customHeight="1">
      <c r="A29" s="886" t="s">
        <v>792</v>
      </c>
      <c r="B29" s="252" t="s">
        <v>1031</v>
      </c>
      <c r="C29" s="242">
        <f>ROUND(C21*F27*'数据-取费表'!B21/'数据-取费表'!B20,4)</f>
        <v>1.4E-3</v>
      </c>
      <c r="D29" s="239"/>
      <c r="E29" s="240"/>
      <c r="F29" s="250"/>
      <c r="G29" s="251"/>
    </row>
    <row r="30" spans="1:7" s="218" customFormat="1" ht="13.5" customHeight="1">
      <c r="A30" s="883"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28554</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20449</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17345</v>
      </c>
      <c r="D34" s="221"/>
      <c r="E34" s="224"/>
      <c r="F34" s="261">
        <f>IF('数据-取费表'!B24=0,1,'数据-取费表'!N16)</f>
        <v>0.5</v>
      </c>
      <c r="G34" s="223" t="s">
        <v>116</v>
      </c>
    </row>
    <row r="35" spans="1:7" ht="13.5" customHeight="1">
      <c r="A35" s="886" t="s">
        <v>796</v>
      </c>
      <c r="B35" s="219" t="s">
        <v>60</v>
      </c>
      <c r="C35" s="224">
        <f>ROUND(C34*F35,0)</f>
        <v>694</v>
      </c>
      <c r="D35" s="224"/>
      <c r="E35" s="224"/>
      <c r="F35" s="263">
        <f>'数据-取费表'!B33</f>
        <v>0.04</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813</v>
      </c>
      <c r="D36" s="224"/>
      <c r="E36" s="224"/>
      <c r="F36" s="263">
        <f>'数据-取费表'!B34</f>
        <v>0.05</v>
      </c>
      <c r="G36" s="264" t="s">
        <v>62</v>
      </c>
    </row>
    <row r="37" spans="1:7" s="262" customFormat="1" ht="13.5" customHeight="1">
      <c r="A37" s="886" t="s">
        <v>798</v>
      </c>
      <c r="B37" s="219" t="s">
        <v>118</v>
      </c>
      <c r="C37" s="253">
        <f>ROUND(E37*D37*F34/10000,0)</f>
        <v>1337</v>
      </c>
      <c r="D37" s="221">
        <f>'数据-汇总表'!E3</f>
        <v>133675.47</v>
      </c>
      <c r="E37" s="253">
        <f>'数据-取费表'!B35</f>
        <v>200</v>
      </c>
      <c r="F37" s="263"/>
      <c r="G37" s="265" t="s">
        <v>119</v>
      </c>
    </row>
    <row r="38" spans="1:7" ht="13.5" customHeight="1">
      <c r="A38" s="886" t="s">
        <v>799</v>
      </c>
      <c r="B38" s="219" t="s">
        <v>63</v>
      </c>
      <c r="C38" s="224">
        <f>ROUND(C34*F38,0)</f>
        <v>260</v>
      </c>
      <c r="D38" s="224"/>
      <c r="E38" s="224"/>
      <c r="F38" s="263">
        <f>'数据-取费表'!B36</f>
        <v>1.4999999999999999E-2</v>
      </c>
      <c r="G38" s="223" t="s">
        <v>117</v>
      </c>
    </row>
    <row r="39" spans="1:7" s="218" customFormat="1" ht="13.5" customHeight="1">
      <c r="A39" s="883" t="s">
        <v>783</v>
      </c>
      <c r="B39" s="214" t="s">
        <v>104</v>
      </c>
      <c r="C39" s="236">
        <f>ROUND(C33*F20,0)</f>
        <v>409</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449</v>
      </c>
      <c r="D41" s="239">
        <f ca="1">C44</f>
        <v>4.0000000000000002E-4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440</v>
      </c>
      <c r="D42" s="242"/>
      <c r="E42" s="242"/>
      <c r="F42" s="243"/>
      <c r="G42" s="3306" t="s">
        <v>121</v>
      </c>
    </row>
    <row r="43" spans="1:7" ht="13.5" customHeight="1">
      <c r="A43" s="886" t="s">
        <v>792</v>
      </c>
      <c r="B43" s="219" t="s">
        <v>1032</v>
      </c>
      <c r="C43" s="242">
        <f ca="1">ROUND(IF('数据-取费表'!B22&lt;=1,C39*F22*'数据-取费表'!B21/2,C39*(POWER((1+F22),'数据-取费表'!B21/2)-1)),0)</f>
        <v>9</v>
      </c>
      <c r="D43" s="242"/>
      <c r="E43" s="242"/>
      <c r="F43" s="243"/>
      <c r="G43" s="3307"/>
    </row>
    <row r="44" spans="1:7" ht="13.5" customHeight="1">
      <c r="A44" s="886" t="s">
        <v>793</v>
      </c>
      <c r="B44" s="219" t="s">
        <v>1034</v>
      </c>
      <c r="C44" s="242">
        <f ca="1">ROUND(IF('数据-取费表'!B22&lt;=1,C40*F22*'数据-取费表'!B21/2,C40*(POWER((1+F22),'数据-取费表'!B21/2)-1)),4)</f>
        <v>4.0000000000000002E-4</v>
      </c>
      <c r="D44" s="242"/>
      <c r="E44" s="242"/>
      <c r="F44" s="243"/>
      <c r="G44" s="3308"/>
    </row>
    <row r="45" spans="1:7" s="218" customFormat="1" ht="13.5" customHeight="1">
      <c r="A45" s="883" t="s">
        <v>786</v>
      </c>
      <c r="B45" s="248" t="s">
        <v>112</v>
      </c>
      <c r="C45" s="249">
        <f>C46</f>
        <v>2920</v>
      </c>
      <c r="D45" s="239">
        <f>C47</f>
        <v>2.8E-3</v>
      </c>
      <c r="E45" s="240" t="s">
        <v>129</v>
      </c>
      <c r="F45" s="250"/>
      <c r="G45" s="251" t="s">
        <v>1040</v>
      </c>
    </row>
    <row r="46" spans="1:7" s="218" customFormat="1" ht="13.5" customHeight="1">
      <c r="A46" s="886" t="s">
        <v>794</v>
      </c>
      <c r="B46" s="252" t="s">
        <v>1033</v>
      </c>
      <c r="C46" s="253">
        <f>ROUND((C33+C39)*F27,0)</f>
        <v>2920</v>
      </c>
      <c r="D46" s="267"/>
      <c r="E46" s="240"/>
      <c r="F46" s="250"/>
      <c r="G46" s="251"/>
    </row>
    <row r="47" spans="1:7" s="218" customFormat="1" ht="13.5" customHeight="1">
      <c r="A47" s="886" t="s">
        <v>792</v>
      </c>
      <c r="B47" s="252" t="s">
        <v>1035</v>
      </c>
      <c r="C47" s="242">
        <f>ROUND(C40*F27,4)</f>
        <v>2.8E-3</v>
      </c>
      <c r="D47" s="267"/>
      <c r="E47" s="240"/>
      <c r="F47" s="250"/>
      <c r="G47" s="251"/>
    </row>
    <row r="48" spans="1:7" s="218" customFormat="1" ht="13.5" customHeight="1">
      <c r="A48" s="883" t="s">
        <v>787</v>
      </c>
      <c r="B48" s="214" t="s">
        <v>122</v>
      </c>
      <c r="C48" s="266">
        <f>F30</f>
        <v>5.5000000000000007E-2</v>
      </c>
      <c r="D48" s="240" t="s">
        <v>130</v>
      </c>
      <c r="E48" s="236"/>
      <c r="F48" s="241"/>
      <c r="G48" s="238" t="s">
        <v>123</v>
      </c>
    </row>
    <row r="49" spans="1:7" ht="16.5" customHeight="1">
      <c r="A49" s="883" t="s">
        <v>788</v>
      </c>
      <c r="B49" s="214" t="s">
        <v>131</v>
      </c>
      <c r="C49" s="236">
        <f ca="1">ROUND((C33+C39+C41+C45)/(1-C40-D41-D45-C48/(1+'数据-取费表'!B42)),0)</f>
        <v>26208</v>
      </c>
      <c r="D49" s="236"/>
      <c r="E49" s="236"/>
      <c r="F49" s="268"/>
      <c r="G49" s="238" t="s">
        <v>1041</v>
      </c>
    </row>
    <row r="50" spans="1:7" s="262" customFormat="1" ht="24">
      <c r="A50" s="883" t="s">
        <v>789</v>
      </c>
      <c r="B50" s="214" t="s">
        <v>124</v>
      </c>
      <c r="C50" s="236"/>
      <c r="D50" s="236"/>
      <c r="E50" s="236"/>
      <c r="F50" s="268">
        <f>IF('数据-取费表'!B24=0,'数据-取费表'!N16,1)</f>
        <v>1</v>
      </c>
      <c r="G50" s="251" t="s">
        <v>125</v>
      </c>
    </row>
    <row r="51" spans="1:7" ht="16.5" customHeight="1">
      <c r="A51" s="883" t="s">
        <v>790</v>
      </c>
      <c r="B51" s="214" t="s">
        <v>132</v>
      </c>
      <c r="C51" s="236">
        <f ca="1">ROUND(C49*F50,0)</f>
        <v>26208</v>
      </c>
      <c r="D51" s="236"/>
      <c r="E51" s="236"/>
      <c r="F51" s="268"/>
      <c r="G51" s="238" t="s">
        <v>64</v>
      </c>
    </row>
    <row r="52" spans="1:7" s="212" customFormat="1" ht="16.5" thickBot="1">
      <c r="A52" s="269" t="s">
        <v>65</v>
      </c>
      <c r="B52" s="270"/>
      <c r="C52" s="271">
        <f ca="1">C31+C51</f>
        <v>54762</v>
      </c>
      <c r="D52" s="270"/>
      <c r="E52" s="270"/>
      <c r="F52" s="270"/>
      <c r="G52" s="272"/>
    </row>
    <row r="55" spans="1:7" ht="15">
      <c r="B55" s="274" t="s">
        <v>66</v>
      </c>
      <c r="C55" s="275"/>
    </row>
    <row r="56" spans="1:7">
      <c r="B56" s="277" t="s">
        <v>67</v>
      </c>
      <c r="C56" s="278">
        <f ca="1">ROUND(C51/C52,3)</f>
        <v>0.47899999999999998</v>
      </c>
    </row>
    <row r="57" spans="1:7">
      <c r="B57" s="277" t="s">
        <v>68</v>
      </c>
      <c r="C57" s="279">
        <f ca="1">1-C56</f>
        <v>0.52100000000000002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54" t="s">
        <v>156</v>
      </c>
      <c r="B1" s="3454"/>
      <c r="C1" s="3454"/>
      <c r="D1" s="3454"/>
      <c r="E1" s="3454"/>
      <c r="F1" s="3454"/>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55" t="s">
        <v>169</v>
      </c>
      <c r="B2" s="3455"/>
      <c r="C2" s="3455"/>
      <c r="D2" s="3455"/>
      <c r="E2" s="3455"/>
      <c r="F2" s="3455"/>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56"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57"/>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54" t="s">
        <v>839</v>
      </c>
      <c r="B1" s="3454"/>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44311</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9">
        <v>43941</v>
      </c>
      <c r="D13" s="3050">
        <v>3.85</v>
      </c>
      <c r="E13" s="3050">
        <v>3.85</v>
      </c>
      <c r="F13" s="3050">
        <v>3.85</v>
      </c>
      <c r="G13" s="3050">
        <v>3.85</v>
      </c>
      <c r="H13" s="3050">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5"/>
      <c r="C14" s="3046">
        <v>43881</v>
      </c>
      <c r="D14" s="3045">
        <v>4.05</v>
      </c>
      <c r="E14" s="3045">
        <v>4.05</v>
      </c>
      <c r="F14" s="3045">
        <v>4.05</v>
      </c>
      <c r="G14" s="3045">
        <v>4.05</v>
      </c>
      <c r="H14" s="3045">
        <v>4.75</v>
      </c>
      <c r="I14" s="3045"/>
      <c r="J14" s="3045"/>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5"/>
      <c r="C15" s="3046">
        <v>43789</v>
      </c>
      <c r="D15" s="3045">
        <v>4.1500000000000004</v>
      </c>
      <c r="E15" s="3045">
        <v>4.1500000000000004</v>
      </c>
      <c r="F15" s="3045">
        <v>4.1500000000000004</v>
      </c>
      <c r="G15" s="3045">
        <v>4.1500000000000004</v>
      </c>
      <c r="H15" s="3045">
        <v>4.8</v>
      </c>
      <c r="I15" s="3045"/>
      <c r="J15" s="3045"/>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5"/>
      <c r="C16" s="3046">
        <v>43728</v>
      </c>
      <c r="D16" s="3045">
        <v>4.2</v>
      </c>
      <c r="E16" s="3045">
        <v>4.2</v>
      </c>
      <c r="F16" s="3045">
        <v>4.2</v>
      </c>
      <c r="G16" s="3045">
        <v>4.2</v>
      </c>
      <c r="H16" s="3045">
        <v>4.8499999999999996</v>
      </c>
      <c r="I16" s="3045"/>
      <c r="J16" s="3045"/>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4" t="s">
        <v>3058</v>
      </c>
      <c r="C17" s="3047">
        <v>43697</v>
      </c>
      <c r="D17" s="3048">
        <v>4.25</v>
      </c>
      <c r="E17" s="3048">
        <v>4.25</v>
      </c>
      <c r="F17" s="3048">
        <v>4.25</v>
      </c>
      <c r="G17" s="3048">
        <v>4.25</v>
      </c>
      <c r="H17" s="3048">
        <v>4.8499999999999996</v>
      </c>
      <c r="I17" s="3048"/>
      <c r="J17" s="3048"/>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4"/>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51"/>
  <sheetViews>
    <sheetView workbookViewId="0">
      <selection activeCell="F26" sqref="F26"/>
    </sheetView>
  </sheetViews>
  <sheetFormatPr defaultRowHeight="13.5"/>
  <cols>
    <col min="1" max="1" width="22.25" customWidth="1"/>
    <col min="8" max="8" width="19" customWidth="1"/>
    <col min="10" max="10" width="14.75" customWidth="1"/>
  </cols>
  <sheetData>
    <row r="1" spans="1:15">
      <c r="A1" s="3065" t="s">
        <v>3079</v>
      </c>
      <c r="B1" s="3065" t="s">
        <v>3080</v>
      </c>
      <c r="C1" s="3065" t="s">
        <v>3081</v>
      </c>
      <c r="D1" s="3065" t="s">
        <v>3082</v>
      </c>
      <c r="E1" s="3065" t="s">
        <v>3083</v>
      </c>
      <c r="F1" s="3065" t="s">
        <v>3084</v>
      </c>
      <c r="G1" s="3065" t="s">
        <v>3085</v>
      </c>
      <c r="H1" s="3065" t="s">
        <v>3086</v>
      </c>
      <c r="I1" s="3065" t="s">
        <v>3087</v>
      </c>
      <c r="J1" s="3065" t="s">
        <v>3088</v>
      </c>
      <c r="K1" s="3065" t="s">
        <v>3089</v>
      </c>
      <c r="L1" s="3065" t="s">
        <v>3090</v>
      </c>
      <c r="M1" s="3065" t="s">
        <v>3091</v>
      </c>
      <c r="N1" s="3065" t="s">
        <v>3092</v>
      </c>
      <c r="O1" s="3065" t="s">
        <v>3093</v>
      </c>
    </row>
    <row r="2" spans="1:15">
      <c r="A2" s="3065" t="s">
        <v>3113</v>
      </c>
      <c r="B2" s="3065" t="s">
        <v>3114</v>
      </c>
      <c r="C2" s="3065" t="s">
        <v>3115</v>
      </c>
      <c r="D2" s="3065" t="s">
        <v>3095</v>
      </c>
      <c r="E2" s="3065" t="s">
        <v>3116</v>
      </c>
      <c r="F2" s="3065">
        <v>8369</v>
      </c>
      <c r="G2" s="3065">
        <v>10042.799999999999</v>
      </c>
      <c r="H2" s="3065" t="s">
        <v>3117</v>
      </c>
      <c r="I2" s="3065" t="s">
        <v>3118</v>
      </c>
      <c r="J2" s="3065" t="s">
        <v>3119</v>
      </c>
      <c r="K2" s="3065">
        <v>1080</v>
      </c>
      <c r="L2" s="3065">
        <v>86.03</v>
      </c>
      <c r="M2" s="3065">
        <v>1075.4000000000001</v>
      </c>
      <c r="N2" s="3065">
        <v>0</v>
      </c>
      <c r="O2" s="3065" t="s">
        <v>3096</v>
      </c>
    </row>
    <row r="3" spans="1:15">
      <c r="A3" s="3065" t="s">
        <v>3120</v>
      </c>
      <c r="B3" s="3065" t="s">
        <v>3114</v>
      </c>
      <c r="C3" s="3065" t="s">
        <v>3115</v>
      </c>
      <c r="D3" s="3065" t="s">
        <v>3095</v>
      </c>
      <c r="E3" s="3065" t="s">
        <v>3116</v>
      </c>
      <c r="F3" s="3065">
        <v>40222</v>
      </c>
      <c r="G3" s="3065">
        <v>88488.4</v>
      </c>
      <c r="H3" s="3065" t="s">
        <v>3121</v>
      </c>
      <c r="I3" s="3065" t="s">
        <v>3118</v>
      </c>
      <c r="J3" s="3065" t="s">
        <v>3122</v>
      </c>
      <c r="K3" s="3065">
        <v>43510</v>
      </c>
      <c r="L3" s="3065">
        <v>721.16</v>
      </c>
      <c r="M3" s="3065">
        <v>4917.0200000000004</v>
      </c>
      <c r="N3" s="3065">
        <v>0.05</v>
      </c>
      <c r="O3" s="3065" t="s">
        <v>3096</v>
      </c>
    </row>
    <row r="4" spans="1:15" s="3064" customFormat="1">
      <c r="A4" s="3058" t="s">
        <v>3123</v>
      </c>
      <c r="B4" s="3058" t="s">
        <v>3114</v>
      </c>
      <c r="C4" s="3058" t="s">
        <v>3115</v>
      </c>
      <c r="D4" s="3058" t="s">
        <v>3095</v>
      </c>
      <c r="E4" s="3058" t="s">
        <v>3116</v>
      </c>
      <c r="F4" s="3058">
        <v>58619</v>
      </c>
      <c r="G4" s="3058">
        <v>164133.20000000001</v>
      </c>
      <c r="H4" s="3058" t="s">
        <v>3124</v>
      </c>
      <c r="I4" s="3058" t="s">
        <v>3125</v>
      </c>
      <c r="J4" s="3058" t="s">
        <v>3126</v>
      </c>
      <c r="K4" s="3058">
        <v>51000</v>
      </c>
      <c r="L4" s="3058">
        <v>580.02</v>
      </c>
      <c r="M4" s="3058">
        <v>3107.23</v>
      </c>
      <c r="N4" s="3058">
        <v>0</v>
      </c>
      <c r="O4" s="3058" t="s">
        <v>3098</v>
      </c>
    </row>
    <row r="5" spans="1:15">
      <c r="A5" s="3065" t="s">
        <v>3127</v>
      </c>
      <c r="B5" s="3065" t="s">
        <v>3114</v>
      </c>
      <c r="C5" s="3065" t="s">
        <v>3115</v>
      </c>
      <c r="D5" s="3065" t="s">
        <v>3095</v>
      </c>
      <c r="E5" s="3065" t="s">
        <v>3116</v>
      </c>
      <c r="F5" s="3065">
        <v>69333</v>
      </c>
      <c r="G5" s="3065">
        <v>152532.6</v>
      </c>
      <c r="H5" s="3065" t="s">
        <v>3121</v>
      </c>
      <c r="I5" s="3065" t="s">
        <v>3128</v>
      </c>
      <c r="J5" s="3065" t="s">
        <v>3129</v>
      </c>
      <c r="K5" s="3065">
        <v>75010</v>
      </c>
      <c r="L5" s="3065">
        <v>721.25</v>
      </c>
      <c r="M5" s="3065">
        <v>4917.6400000000003</v>
      </c>
      <c r="N5" s="3065">
        <v>6.07</v>
      </c>
      <c r="O5" s="3065" t="s">
        <v>3098</v>
      </c>
    </row>
    <row r="6" spans="1:15" s="3064" customFormat="1">
      <c r="A6" s="3058" t="s">
        <v>3130</v>
      </c>
      <c r="B6" s="3058" t="s">
        <v>3114</v>
      </c>
      <c r="C6" s="3058" t="s">
        <v>3115</v>
      </c>
      <c r="D6" s="3058" t="s">
        <v>3095</v>
      </c>
      <c r="E6" s="3058" t="s">
        <v>3116</v>
      </c>
      <c r="F6" s="3058">
        <v>7660</v>
      </c>
      <c r="G6" s="3058">
        <v>22214</v>
      </c>
      <c r="H6" s="3058" t="s">
        <v>3131</v>
      </c>
      <c r="I6" s="3058" t="s">
        <v>3132</v>
      </c>
      <c r="J6" s="3058" t="s">
        <v>3133</v>
      </c>
      <c r="K6" s="3058">
        <v>8355</v>
      </c>
      <c r="L6" s="3058">
        <v>727.15</v>
      </c>
      <c r="M6" s="3058">
        <v>3761.13</v>
      </c>
      <c r="N6" s="3058">
        <v>0</v>
      </c>
      <c r="O6" s="3058" t="s">
        <v>3098</v>
      </c>
    </row>
    <row r="7" spans="1:15">
      <c r="A7" s="3065" t="s">
        <v>3130</v>
      </c>
      <c r="B7" s="3065" t="s">
        <v>3114</v>
      </c>
      <c r="C7" s="3065" t="s">
        <v>3115</v>
      </c>
      <c r="D7" s="3065" t="s">
        <v>3095</v>
      </c>
      <c r="E7" s="3065" t="s">
        <v>3116</v>
      </c>
      <c r="F7" s="3065">
        <v>27612</v>
      </c>
      <c r="G7" s="3065">
        <v>80074.8</v>
      </c>
      <c r="H7" s="3065" t="s">
        <v>3131</v>
      </c>
      <c r="I7" s="3065" t="s">
        <v>3132</v>
      </c>
      <c r="J7" s="3065" t="s">
        <v>3133</v>
      </c>
      <c r="K7" s="3065">
        <v>30125</v>
      </c>
      <c r="L7" s="3065">
        <v>727.34</v>
      </c>
      <c r="M7" s="3065">
        <v>3762.11</v>
      </c>
      <c r="N7" s="3065">
        <v>0</v>
      </c>
      <c r="O7" s="3065" t="s">
        <v>3098</v>
      </c>
    </row>
    <row r="8" spans="1:15">
      <c r="A8" s="3065" t="s">
        <v>3134</v>
      </c>
      <c r="B8" s="3065" t="s">
        <v>3114</v>
      </c>
      <c r="C8" s="3065" t="s">
        <v>3115</v>
      </c>
      <c r="D8" s="3065" t="s">
        <v>3095</v>
      </c>
      <c r="E8" s="3065" t="s">
        <v>3116</v>
      </c>
      <c r="F8" s="3065">
        <v>68172</v>
      </c>
      <c r="G8" s="3065">
        <v>102258</v>
      </c>
      <c r="H8" s="3065" t="s">
        <v>3135</v>
      </c>
      <c r="I8" s="3065" t="s">
        <v>3136</v>
      </c>
      <c r="J8" s="3065" t="s">
        <v>3137</v>
      </c>
      <c r="K8" s="3065">
        <v>10635</v>
      </c>
      <c r="L8" s="3065">
        <v>104</v>
      </c>
      <c r="M8" s="3065">
        <v>1040.01</v>
      </c>
      <c r="N8" s="3065">
        <v>0</v>
      </c>
      <c r="O8" s="3065" t="s">
        <v>3096</v>
      </c>
    </row>
    <row r="9" spans="1:15">
      <c r="A9" s="3113" t="s">
        <v>3936</v>
      </c>
      <c r="B9" s="3065" t="s">
        <v>3114</v>
      </c>
      <c r="C9" s="3065" t="s">
        <v>3115</v>
      </c>
      <c r="D9" s="3065" t="s">
        <v>3095</v>
      </c>
      <c r="E9" s="3065" t="s">
        <v>3116</v>
      </c>
      <c r="F9" s="3065">
        <v>57198</v>
      </c>
      <c r="G9" s="3065">
        <v>183033.60000000001</v>
      </c>
      <c r="H9" s="3065" t="s">
        <v>3138</v>
      </c>
      <c r="I9" s="3065" t="s">
        <v>3136</v>
      </c>
      <c r="J9" s="3065" t="s">
        <v>3139</v>
      </c>
      <c r="K9" s="3065">
        <v>43400</v>
      </c>
      <c r="L9" s="3065">
        <v>505.85</v>
      </c>
      <c r="M9" s="3065">
        <v>2371.15</v>
      </c>
      <c r="N9" s="3065">
        <v>0.01</v>
      </c>
      <c r="O9" s="3065" t="s">
        <v>3096</v>
      </c>
    </row>
    <row r="10" spans="1:15">
      <c r="A10" s="3065" t="s">
        <v>3140</v>
      </c>
      <c r="B10" s="3065" t="s">
        <v>3114</v>
      </c>
      <c r="C10" s="3065" t="s">
        <v>3115</v>
      </c>
      <c r="D10" s="3065" t="s">
        <v>3095</v>
      </c>
      <c r="E10" s="3065" t="s">
        <v>3116</v>
      </c>
      <c r="F10" s="3065">
        <v>69294</v>
      </c>
      <c r="G10" s="3065">
        <v>103941</v>
      </c>
      <c r="H10" s="3065" t="s">
        <v>3135</v>
      </c>
      <c r="I10" s="3065" t="s">
        <v>3136</v>
      </c>
      <c r="J10" s="3065" t="s">
        <v>3137</v>
      </c>
      <c r="K10" s="3065">
        <v>10810</v>
      </c>
      <c r="L10" s="3065">
        <v>104</v>
      </c>
      <c r="M10" s="3065">
        <v>1040</v>
      </c>
      <c r="N10" s="3065">
        <v>0</v>
      </c>
      <c r="O10" s="3065" t="s">
        <v>3096</v>
      </c>
    </row>
    <row r="11" spans="1:15">
      <c r="A11" s="3065" t="s">
        <v>3141</v>
      </c>
      <c r="B11" s="3065" t="s">
        <v>3114</v>
      </c>
      <c r="C11" s="3065" t="s">
        <v>3115</v>
      </c>
      <c r="D11" s="3065" t="s">
        <v>3095</v>
      </c>
      <c r="E11" s="3065" t="s">
        <v>3116</v>
      </c>
      <c r="F11" s="3065">
        <v>16108</v>
      </c>
      <c r="G11" s="3065">
        <v>20940.400000000001</v>
      </c>
      <c r="H11" s="3065" t="s">
        <v>3142</v>
      </c>
      <c r="I11" s="3065" t="s">
        <v>3136</v>
      </c>
      <c r="J11" s="3065" t="s">
        <v>3139</v>
      </c>
      <c r="K11" s="3065">
        <v>10900</v>
      </c>
      <c r="L11" s="3065">
        <v>451.12</v>
      </c>
      <c r="M11" s="3065">
        <v>5205.25</v>
      </c>
      <c r="N11" s="3065">
        <v>0.05</v>
      </c>
      <c r="O11" s="3065" t="s">
        <v>3096</v>
      </c>
    </row>
    <row r="12" spans="1:15">
      <c r="A12" s="3065" t="s">
        <v>3143</v>
      </c>
      <c r="B12" s="3065" t="s">
        <v>3114</v>
      </c>
      <c r="C12" s="3065" t="s">
        <v>3115</v>
      </c>
      <c r="D12" s="3065" t="s">
        <v>3095</v>
      </c>
      <c r="E12" s="3065" t="s">
        <v>3116</v>
      </c>
      <c r="F12" s="3065">
        <v>54333</v>
      </c>
      <c r="G12" s="3065">
        <v>173865.60000000001</v>
      </c>
      <c r="H12" s="3065" t="s">
        <v>3138</v>
      </c>
      <c r="I12" s="3065" t="s">
        <v>3136</v>
      </c>
      <c r="J12" s="3065" t="s">
        <v>3139</v>
      </c>
      <c r="K12" s="3065">
        <v>41225</v>
      </c>
      <c r="L12" s="3065">
        <v>505.83</v>
      </c>
      <c r="M12" s="3065">
        <v>2371.0700000000002</v>
      </c>
      <c r="N12" s="3065">
        <v>0.01</v>
      </c>
      <c r="O12" s="3065" t="s">
        <v>3096</v>
      </c>
    </row>
    <row r="13" spans="1:15">
      <c r="A13" s="3065" t="s">
        <v>3144</v>
      </c>
      <c r="B13" s="3065" t="s">
        <v>3114</v>
      </c>
      <c r="C13" s="3065" t="s">
        <v>3115</v>
      </c>
      <c r="D13" s="3065" t="s">
        <v>3095</v>
      </c>
      <c r="E13" s="3065" t="s">
        <v>3116</v>
      </c>
      <c r="F13" s="3065">
        <v>13508</v>
      </c>
      <c r="G13" s="3065">
        <v>33770</v>
      </c>
      <c r="H13" s="3065" t="s">
        <v>3145</v>
      </c>
      <c r="I13" s="3065" t="s">
        <v>3136</v>
      </c>
      <c r="J13" s="3065" t="s">
        <v>3146</v>
      </c>
      <c r="K13" s="3065">
        <v>10125</v>
      </c>
      <c r="L13" s="3065">
        <v>499.7</v>
      </c>
      <c r="M13" s="3065">
        <v>2998.21</v>
      </c>
      <c r="N13" s="3065">
        <v>0</v>
      </c>
      <c r="O13" s="3065" t="s">
        <v>3096</v>
      </c>
    </row>
    <row r="14" spans="1:15">
      <c r="A14" s="3065" t="s">
        <v>3147</v>
      </c>
      <c r="B14" s="3065" t="s">
        <v>3114</v>
      </c>
      <c r="C14" s="3065" t="s">
        <v>3115</v>
      </c>
      <c r="D14" s="3065" t="s">
        <v>3095</v>
      </c>
      <c r="E14" s="3065" t="s">
        <v>3116</v>
      </c>
      <c r="F14" s="3065">
        <v>17178</v>
      </c>
      <c r="G14" s="3065">
        <v>42945</v>
      </c>
      <c r="H14" s="3065" t="s">
        <v>3145</v>
      </c>
      <c r="I14" s="3065" t="s">
        <v>3136</v>
      </c>
      <c r="J14" s="3065" t="s">
        <v>3148</v>
      </c>
      <c r="K14" s="3065">
        <v>11495</v>
      </c>
      <c r="L14" s="3065">
        <v>446.11</v>
      </c>
      <c r="M14" s="3065">
        <v>2676.67</v>
      </c>
      <c r="N14" s="3065">
        <v>0</v>
      </c>
      <c r="O14" s="3065" t="s">
        <v>3096</v>
      </c>
    </row>
    <row r="15" spans="1:15">
      <c r="A15" s="3065" t="s">
        <v>3149</v>
      </c>
      <c r="B15" s="3065" t="s">
        <v>3114</v>
      </c>
      <c r="C15" s="3065" t="s">
        <v>3115</v>
      </c>
      <c r="D15" s="3065" t="s">
        <v>3095</v>
      </c>
      <c r="E15" s="3065" t="s">
        <v>3116</v>
      </c>
      <c r="F15" s="3065">
        <v>26682</v>
      </c>
      <c r="G15" s="3065">
        <v>66705</v>
      </c>
      <c r="H15" s="3065" t="s">
        <v>3145</v>
      </c>
      <c r="I15" s="3065" t="s">
        <v>3150</v>
      </c>
      <c r="J15" s="3065" t="s">
        <v>3151</v>
      </c>
      <c r="K15" s="3065">
        <v>24790</v>
      </c>
      <c r="L15" s="3065">
        <v>619.39</v>
      </c>
      <c r="M15" s="3065">
        <v>3716.36</v>
      </c>
      <c r="N15" s="3065">
        <v>0</v>
      </c>
      <c r="O15" s="3065" t="s">
        <v>3096</v>
      </c>
    </row>
    <row r="16" spans="1:15">
      <c r="A16" s="3065" t="s">
        <v>3152</v>
      </c>
      <c r="B16" s="3065" t="s">
        <v>3114</v>
      </c>
      <c r="C16" s="3065" t="s">
        <v>3115</v>
      </c>
      <c r="D16" s="3065" t="s">
        <v>3095</v>
      </c>
      <c r="E16" s="3065" t="s">
        <v>3116</v>
      </c>
      <c r="F16" s="3065">
        <v>24000</v>
      </c>
      <c r="G16" s="3065">
        <v>43200</v>
      </c>
      <c r="H16" s="3065" t="s">
        <v>3153</v>
      </c>
      <c r="I16" s="3065" t="s">
        <v>3150</v>
      </c>
      <c r="J16" s="3065" t="s">
        <v>3154</v>
      </c>
      <c r="K16" s="3065">
        <v>17100</v>
      </c>
      <c r="L16" s="3065">
        <v>475</v>
      </c>
      <c r="M16" s="3065">
        <v>3958.32</v>
      </c>
      <c r="N16" s="3065">
        <v>0</v>
      </c>
      <c r="O16" s="3065" t="s">
        <v>3096</v>
      </c>
    </row>
    <row r="17" spans="1:15">
      <c r="A17" s="3065" t="s">
        <v>3155</v>
      </c>
      <c r="B17" s="3065" t="s">
        <v>3114</v>
      </c>
      <c r="C17" s="3065" t="s">
        <v>3115</v>
      </c>
      <c r="D17" s="3065" t="s">
        <v>3095</v>
      </c>
      <c r="E17" s="3065" t="s">
        <v>3116</v>
      </c>
      <c r="F17" s="3065">
        <v>65050</v>
      </c>
      <c r="G17" s="3065">
        <v>175635</v>
      </c>
      <c r="H17" s="3065" t="s">
        <v>3156</v>
      </c>
      <c r="I17" s="3065" t="s">
        <v>3150</v>
      </c>
      <c r="J17" s="3065" t="s">
        <v>3151</v>
      </c>
      <c r="K17" s="3065">
        <v>55935</v>
      </c>
      <c r="L17" s="3065">
        <v>573.25</v>
      </c>
      <c r="M17" s="3065">
        <v>3184.73</v>
      </c>
      <c r="N17" s="3065">
        <v>0</v>
      </c>
      <c r="O17" s="3065" t="s">
        <v>3096</v>
      </c>
    </row>
    <row r="18" spans="1:15">
      <c r="A18" s="3065" t="s">
        <v>3152</v>
      </c>
      <c r="B18" s="3065" t="s">
        <v>3114</v>
      </c>
      <c r="C18" s="3065" t="s">
        <v>3115</v>
      </c>
      <c r="D18" s="3065" t="s">
        <v>3095</v>
      </c>
      <c r="E18" s="3065" t="s">
        <v>3116</v>
      </c>
      <c r="F18" s="3065">
        <v>66851</v>
      </c>
      <c r="G18" s="3065">
        <v>120331.8</v>
      </c>
      <c r="H18" s="3065" t="s">
        <v>3153</v>
      </c>
      <c r="I18" s="3065" t="s">
        <v>3150</v>
      </c>
      <c r="J18" s="3065" t="s">
        <v>3154</v>
      </c>
      <c r="K18" s="3065">
        <v>47635</v>
      </c>
      <c r="L18" s="3065">
        <v>475.04</v>
      </c>
      <c r="M18" s="3065">
        <v>3958.63</v>
      </c>
      <c r="N18" s="3065">
        <v>0</v>
      </c>
      <c r="O18" s="3065" t="s">
        <v>3096</v>
      </c>
    </row>
    <row r="19" spans="1:15">
      <c r="A19" s="3065" t="s">
        <v>3157</v>
      </c>
      <c r="B19" s="3065" t="s">
        <v>3114</v>
      </c>
      <c r="C19" s="3065" t="s">
        <v>3115</v>
      </c>
      <c r="D19" s="3065" t="s">
        <v>3095</v>
      </c>
      <c r="E19" s="3065" t="s">
        <v>3158</v>
      </c>
      <c r="F19" s="3065">
        <v>26421</v>
      </c>
      <c r="G19" s="3065">
        <v>39631.5</v>
      </c>
      <c r="H19" s="3065" t="s">
        <v>3135</v>
      </c>
      <c r="I19" s="3065" t="s">
        <v>3159</v>
      </c>
      <c r="J19" s="3065" t="s">
        <v>3137</v>
      </c>
      <c r="K19" s="3065">
        <v>3860</v>
      </c>
      <c r="L19" s="3065">
        <v>97.4</v>
      </c>
      <c r="M19" s="3065">
        <v>973.97</v>
      </c>
      <c r="N19" s="3065">
        <v>0</v>
      </c>
      <c r="O19" s="3065" t="s">
        <v>3097</v>
      </c>
    </row>
    <row r="20" spans="1:15">
      <c r="A20" s="3065" t="s">
        <v>3160</v>
      </c>
      <c r="B20" s="3065" t="s">
        <v>3114</v>
      </c>
      <c r="C20" s="3065" t="s">
        <v>3115</v>
      </c>
      <c r="D20" s="3065" t="s">
        <v>3095</v>
      </c>
      <c r="E20" s="3065" t="s">
        <v>3158</v>
      </c>
      <c r="F20" s="3065">
        <v>63397</v>
      </c>
      <c r="G20" s="3065">
        <v>183851.3</v>
      </c>
      <c r="H20" s="3065" t="s">
        <v>3161</v>
      </c>
      <c r="I20" s="3065" t="s">
        <v>3159</v>
      </c>
      <c r="J20" s="3065" t="s">
        <v>3151</v>
      </c>
      <c r="K20" s="3065">
        <v>48215</v>
      </c>
      <c r="L20" s="3065">
        <v>507.02</v>
      </c>
      <c r="M20" s="3065">
        <v>2622.5</v>
      </c>
      <c r="N20" s="3065">
        <v>0</v>
      </c>
      <c r="O20" s="3065" t="s">
        <v>3162</v>
      </c>
    </row>
    <row r="21" spans="1:15">
      <c r="A21" s="3065" t="s">
        <v>3157</v>
      </c>
      <c r="B21" s="3065" t="s">
        <v>3114</v>
      </c>
      <c r="C21" s="3065" t="s">
        <v>3115</v>
      </c>
      <c r="D21" s="3065" t="s">
        <v>3095</v>
      </c>
      <c r="E21" s="3065" t="s">
        <v>3158</v>
      </c>
      <c r="F21" s="3065">
        <v>62493</v>
      </c>
      <c r="G21" s="3065">
        <v>93739.5</v>
      </c>
      <c r="H21" s="3065" t="s">
        <v>3135</v>
      </c>
      <c r="I21" s="3065" t="s">
        <v>3159</v>
      </c>
      <c r="J21" s="3065" t="s">
        <v>3137</v>
      </c>
      <c r="K21" s="3065">
        <v>9125</v>
      </c>
      <c r="L21" s="3065">
        <v>97.34</v>
      </c>
      <c r="M21" s="3065">
        <v>973.44</v>
      </c>
      <c r="N21" s="3065">
        <v>0</v>
      </c>
      <c r="O21" s="3065" t="s">
        <v>3097</v>
      </c>
    </row>
    <row r="22" spans="1:15">
      <c r="A22" s="3065" t="s">
        <v>3157</v>
      </c>
      <c r="B22" s="3065" t="s">
        <v>3114</v>
      </c>
      <c r="C22" s="3065" t="s">
        <v>3115</v>
      </c>
      <c r="D22" s="3065" t="s">
        <v>3095</v>
      </c>
      <c r="E22" s="3065" t="s">
        <v>3158</v>
      </c>
      <c r="F22" s="3065">
        <v>27087</v>
      </c>
      <c r="G22" s="3065">
        <v>40630.5</v>
      </c>
      <c r="H22" s="3065" t="s">
        <v>3135</v>
      </c>
      <c r="I22" s="3065" t="s">
        <v>3159</v>
      </c>
      <c r="J22" s="3065" t="s">
        <v>3137</v>
      </c>
      <c r="K22" s="3065">
        <v>3955</v>
      </c>
      <c r="L22" s="3065">
        <v>97.34</v>
      </c>
      <c r="M22" s="3065">
        <v>973.4</v>
      </c>
      <c r="N22" s="3065">
        <v>0</v>
      </c>
      <c r="O22" s="3065" t="s">
        <v>3097</v>
      </c>
    </row>
    <row r="23" spans="1:15" s="3064" customFormat="1">
      <c r="A23" s="3058" t="s">
        <v>3163</v>
      </c>
      <c r="B23" s="3058" t="s">
        <v>3114</v>
      </c>
      <c r="C23" s="3058" t="s">
        <v>3115</v>
      </c>
      <c r="D23" s="3058" t="s">
        <v>3095</v>
      </c>
      <c r="E23" s="3058" t="s">
        <v>3158</v>
      </c>
      <c r="F23" s="3058">
        <v>3517</v>
      </c>
      <c r="G23" s="3058">
        <v>7034</v>
      </c>
      <c r="H23" s="3058" t="s">
        <v>3164</v>
      </c>
      <c r="I23" s="3058" t="s">
        <v>3159</v>
      </c>
      <c r="J23" s="3058" t="s">
        <v>3165</v>
      </c>
      <c r="K23" s="3058">
        <v>2235</v>
      </c>
      <c r="L23" s="3058">
        <v>423.66</v>
      </c>
      <c r="M23" s="3058">
        <v>3177.42</v>
      </c>
      <c r="N23" s="3058">
        <v>0</v>
      </c>
      <c r="O23" s="3058" t="s">
        <v>3098</v>
      </c>
    </row>
    <row r="24" spans="1:15">
      <c r="A24" s="3065" t="s">
        <v>3166</v>
      </c>
      <c r="B24" s="3065" t="s">
        <v>3114</v>
      </c>
      <c r="C24" s="3065" t="s">
        <v>3115</v>
      </c>
      <c r="D24" s="3065" t="s">
        <v>3095</v>
      </c>
      <c r="E24" s="3065" t="s">
        <v>3158</v>
      </c>
      <c r="F24" s="3065">
        <v>12783</v>
      </c>
      <c r="G24" s="3065">
        <v>20452.8</v>
      </c>
      <c r="H24" s="3065" t="s">
        <v>3167</v>
      </c>
      <c r="I24" s="3065" t="s">
        <v>3159</v>
      </c>
      <c r="J24" s="3065" t="s">
        <v>3168</v>
      </c>
      <c r="K24" s="3065">
        <v>10140</v>
      </c>
      <c r="L24" s="3065">
        <v>528.83000000000004</v>
      </c>
      <c r="M24" s="3065">
        <v>4957.76</v>
      </c>
      <c r="N24" s="3065">
        <v>0</v>
      </c>
      <c r="O24" s="3065" t="s">
        <v>3162</v>
      </c>
    </row>
    <row r="25" spans="1:15">
      <c r="A25" s="3065" t="s">
        <v>3169</v>
      </c>
      <c r="B25" s="3065" t="s">
        <v>3114</v>
      </c>
      <c r="C25" s="3065" t="s">
        <v>3115</v>
      </c>
      <c r="D25" s="3065" t="s">
        <v>3095</v>
      </c>
      <c r="E25" s="3065" t="s">
        <v>3158</v>
      </c>
      <c r="F25" s="3065">
        <v>23923</v>
      </c>
      <c r="G25" s="3065">
        <v>74161.3</v>
      </c>
      <c r="H25" s="3065" t="s">
        <v>3170</v>
      </c>
      <c r="I25" s="3065" t="s">
        <v>3159</v>
      </c>
      <c r="J25" s="3065" t="s">
        <v>3139</v>
      </c>
      <c r="K25" s="3065">
        <v>17095</v>
      </c>
      <c r="L25" s="3065">
        <v>476.39</v>
      </c>
      <c r="M25" s="3065">
        <v>2305.11</v>
      </c>
      <c r="N25" s="3065">
        <v>0.03</v>
      </c>
      <c r="O25" s="3065" t="s">
        <v>3098</v>
      </c>
    </row>
    <row r="26" spans="1:15" s="3067" customFormat="1">
      <c r="A26" s="3112" t="s">
        <v>3935</v>
      </c>
      <c r="B26" s="3066" t="s">
        <v>3114</v>
      </c>
      <c r="C26" s="3066" t="s">
        <v>3115</v>
      </c>
      <c r="D26" s="3066" t="s">
        <v>3095</v>
      </c>
      <c r="E26" s="3066" t="s">
        <v>3171</v>
      </c>
      <c r="F26" s="3066">
        <v>49934</v>
      </c>
      <c r="G26" s="3066">
        <v>139815.20000000001</v>
      </c>
      <c r="H26" s="3066" t="s">
        <v>3124</v>
      </c>
      <c r="I26" s="3066" t="s">
        <v>3172</v>
      </c>
      <c r="J26" s="3066" t="s">
        <v>3137</v>
      </c>
      <c r="K26" s="3066">
        <v>34085</v>
      </c>
      <c r="L26" s="3066">
        <v>455.07</v>
      </c>
      <c r="M26" s="3066">
        <v>2437.86</v>
      </c>
      <c r="N26" s="3066">
        <v>0.01</v>
      </c>
      <c r="O26" s="3066" t="s">
        <v>3098</v>
      </c>
    </row>
    <row r="27" spans="1:15">
      <c r="A27" s="3065" t="s">
        <v>3130</v>
      </c>
      <c r="B27" s="3065" t="s">
        <v>3114</v>
      </c>
      <c r="C27" s="3065" t="s">
        <v>3115</v>
      </c>
      <c r="D27" s="3065" t="s">
        <v>3095</v>
      </c>
      <c r="E27" s="3065" t="s">
        <v>3171</v>
      </c>
      <c r="F27" s="3065">
        <v>6617</v>
      </c>
      <c r="G27" s="3065">
        <v>19189.3</v>
      </c>
      <c r="H27" s="3065" t="s">
        <v>3131</v>
      </c>
      <c r="I27" s="3065" t="s">
        <v>3172</v>
      </c>
      <c r="J27" s="3065" t="s">
        <v>3133</v>
      </c>
      <c r="K27" s="3065">
        <v>5020</v>
      </c>
      <c r="L27" s="3065">
        <v>505.77</v>
      </c>
      <c r="M27" s="3065">
        <v>2616.0300000000002</v>
      </c>
      <c r="N27" s="3065">
        <v>0</v>
      </c>
      <c r="O27" s="3065" t="s">
        <v>3097</v>
      </c>
    </row>
    <row r="28" spans="1:15">
      <c r="A28" s="3065" t="s">
        <v>3130</v>
      </c>
      <c r="B28" s="3065" t="s">
        <v>3114</v>
      </c>
      <c r="C28" s="3065" t="s">
        <v>3115</v>
      </c>
      <c r="D28" s="3065" t="s">
        <v>3095</v>
      </c>
      <c r="E28" s="3065" t="s">
        <v>3171</v>
      </c>
      <c r="F28" s="3065">
        <v>2782</v>
      </c>
      <c r="G28" s="3065">
        <v>8067.8</v>
      </c>
      <c r="H28" s="3065" t="s">
        <v>3131</v>
      </c>
      <c r="I28" s="3065" t="s">
        <v>3172</v>
      </c>
      <c r="J28" s="3065" t="s">
        <v>3133</v>
      </c>
      <c r="K28" s="3065">
        <v>2110</v>
      </c>
      <c r="L28" s="3065">
        <v>505.63</v>
      </c>
      <c r="M28" s="3065">
        <v>2615.34</v>
      </c>
      <c r="N28" s="3065">
        <v>0</v>
      </c>
      <c r="O28" s="3065" t="s">
        <v>3097</v>
      </c>
    </row>
    <row r="29" spans="1:15">
      <c r="A29" s="3065" t="s">
        <v>3173</v>
      </c>
      <c r="B29" s="3065" t="s">
        <v>3114</v>
      </c>
      <c r="C29" s="3065" t="s">
        <v>3115</v>
      </c>
      <c r="D29" s="3065" t="s">
        <v>3095</v>
      </c>
      <c r="E29" s="3065" t="s">
        <v>3171</v>
      </c>
      <c r="F29" s="3065">
        <v>845</v>
      </c>
      <c r="G29" s="3065">
        <v>2112.5</v>
      </c>
      <c r="H29" s="3065" t="s">
        <v>3145</v>
      </c>
      <c r="I29" s="3065" t="s">
        <v>3174</v>
      </c>
      <c r="J29" s="3065" t="s">
        <v>3175</v>
      </c>
      <c r="K29" s="3065">
        <v>290</v>
      </c>
      <c r="L29" s="3065">
        <v>228.8</v>
      </c>
      <c r="M29" s="3065">
        <v>1372.77</v>
      </c>
      <c r="N29" s="3065">
        <v>0</v>
      </c>
      <c r="O29" s="3065" t="s">
        <v>3162</v>
      </c>
    </row>
    <row r="30" spans="1:15">
      <c r="A30" s="3065" t="s">
        <v>3176</v>
      </c>
      <c r="B30" s="3065" t="s">
        <v>3114</v>
      </c>
      <c r="C30" s="3065" t="s">
        <v>3115</v>
      </c>
      <c r="D30" s="3065" t="s">
        <v>3095</v>
      </c>
      <c r="E30" s="3065" t="s">
        <v>3171</v>
      </c>
      <c r="F30" s="3065">
        <v>49500</v>
      </c>
      <c r="G30" s="3065">
        <v>123750</v>
      </c>
      <c r="H30" s="3065" t="s">
        <v>3145</v>
      </c>
      <c r="I30" s="3065" t="s">
        <v>3174</v>
      </c>
      <c r="J30" s="3065" t="s">
        <v>3175</v>
      </c>
      <c r="K30" s="3065">
        <v>17820</v>
      </c>
      <c r="L30" s="3065">
        <v>240</v>
      </c>
      <c r="M30" s="3065">
        <v>1440</v>
      </c>
      <c r="N30" s="3065">
        <v>0</v>
      </c>
      <c r="O30" s="3065" t="s">
        <v>3098</v>
      </c>
    </row>
    <row r="31" spans="1:15">
      <c r="A31" s="3065" t="s">
        <v>3177</v>
      </c>
      <c r="B31" s="3065" t="s">
        <v>3114</v>
      </c>
      <c r="C31" s="3065" t="s">
        <v>3115</v>
      </c>
      <c r="D31" s="3065" t="s">
        <v>3095</v>
      </c>
      <c r="E31" s="3065" t="s">
        <v>3171</v>
      </c>
      <c r="F31" s="3065">
        <v>80</v>
      </c>
      <c r="G31" s="3065">
        <v>184</v>
      </c>
      <c r="H31" s="3065" t="s">
        <v>3178</v>
      </c>
      <c r="I31" s="3065" t="s">
        <v>3174</v>
      </c>
      <c r="J31" s="3065" t="s">
        <v>3175</v>
      </c>
      <c r="K31" s="3065">
        <v>30</v>
      </c>
      <c r="L31" s="3065">
        <v>250</v>
      </c>
      <c r="M31" s="3065">
        <v>1630.43</v>
      </c>
      <c r="N31" s="3065">
        <v>0</v>
      </c>
      <c r="O31" s="3065" t="s">
        <v>3162</v>
      </c>
    </row>
    <row r="32" spans="1:15">
      <c r="A32" s="3065" t="s">
        <v>3179</v>
      </c>
      <c r="B32" s="3065" t="s">
        <v>3114</v>
      </c>
      <c r="C32" s="3065" t="s">
        <v>3115</v>
      </c>
      <c r="D32" s="3065" t="s">
        <v>3095</v>
      </c>
      <c r="E32" s="3065" t="s">
        <v>3171</v>
      </c>
      <c r="F32" s="3065">
        <v>29040</v>
      </c>
      <c r="G32" s="3065">
        <v>72600</v>
      </c>
      <c r="H32" s="3065" t="s">
        <v>3145</v>
      </c>
      <c r="I32" s="3065" t="s">
        <v>3174</v>
      </c>
      <c r="J32" s="3065" t="s">
        <v>3175</v>
      </c>
      <c r="K32" s="3065">
        <v>10020</v>
      </c>
      <c r="L32" s="3065">
        <v>230.03</v>
      </c>
      <c r="M32" s="3065">
        <v>1380.17</v>
      </c>
      <c r="N32" s="3065">
        <v>0</v>
      </c>
      <c r="O32" s="3065" t="s">
        <v>3162</v>
      </c>
    </row>
    <row r="33" spans="1:15">
      <c r="A33" s="3065" t="s">
        <v>3173</v>
      </c>
      <c r="B33" s="3065" t="s">
        <v>3114</v>
      </c>
      <c r="C33" s="3065" t="s">
        <v>3115</v>
      </c>
      <c r="D33" s="3065" t="s">
        <v>3095</v>
      </c>
      <c r="E33" s="3065" t="s">
        <v>3171</v>
      </c>
      <c r="F33" s="3065">
        <v>10151</v>
      </c>
      <c r="G33" s="3065">
        <v>25377.5</v>
      </c>
      <c r="H33" s="3065" t="s">
        <v>3145</v>
      </c>
      <c r="I33" s="3065" t="s">
        <v>3174</v>
      </c>
      <c r="J33" s="3065" t="s">
        <v>3175</v>
      </c>
      <c r="K33" s="3065">
        <v>3450</v>
      </c>
      <c r="L33" s="3065">
        <v>226.58</v>
      </c>
      <c r="M33" s="3065">
        <v>1359.47</v>
      </c>
      <c r="N33" s="3065">
        <v>0</v>
      </c>
      <c r="O33" s="3065" t="s">
        <v>3162</v>
      </c>
    </row>
    <row r="34" spans="1:15">
      <c r="A34" s="3065" t="s">
        <v>3173</v>
      </c>
      <c r="B34" s="3065" t="s">
        <v>3114</v>
      </c>
      <c r="C34" s="3065" t="s">
        <v>3115</v>
      </c>
      <c r="D34" s="3065" t="s">
        <v>3095</v>
      </c>
      <c r="E34" s="3065" t="s">
        <v>3171</v>
      </c>
      <c r="F34" s="3065">
        <v>1644</v>
      </c>
      <c r="G34" s="3065">
        <v>4110</v>
      </c>
      <c r="H34" s="3065" t="s">
        <v>3145</v>
      </c>
      <c r="I34" s="3065" t="s">
        <v>3174</v>
      </c>
      <c r="J34" s="3065" t="s">
        <v>3175</v>
      </c>
      <c r="K34" s="3065">
        <v>570</v>
      </c>
      <c r="L34" s="3065">
        <v>231.14</v>
      </c>
      <c r="M34" s="3065">
        <v>1386.85</v>
      </c>
      <c r="N34" s="3065">
        <v>0</v>
      </c>
      <c r="O34" s="3065" t="s">
        <v>3162</v>
      </c>
    </row>
    <row r="35" spans="1:15">
      <c r="A35" s="3065" t="s">
        <v>3177</v>
      </c>
      <c r="B35" s="3065" t="s">
        <v>3114</v>
      </c>
      <c r="C35" s="3065" t="s">
        <v>3115</v>
      </c>
      <c r="D35" s="3065" t="s">
        <v>3095</v>
      </c>
      <c r="E35" s="3065" t="s">
        <v>3171</v>
      </c>
      <c r="F35" s="3065">
        <v>8288</v>
      </c>
      <c r="G35" s="3065">
        <v>19062.400000000001</v>
      </c>
      <c r="H35" s="3065" t="s">
        <v>3178</v>
      </c>
      <c r="I35" s="3065" t="s">
        <v>3174</v>
      </c>
      <c r="J35" s="3065" t="s">
        <v>3175</v>
      </c>
      <c r="K35" s="3065">
        <v>2985</v>
      </c>
      <c r="L35" s="3065">
        <v>240.11</v>
      </c>
      <c r="M35" s="3065">
        <v>1565.91</v>
      </c>
      <c r="N35" s="3065">
        <v>0</v>
      </c>
      <c r="O35" s="3065" t="s">
        <v>3162</v>
      </c>
    </row>
    <row r="36" spans="1:15">
      <c r="A36" s="3065" t="s">
        <v>3180</v>
      </c>
      <c r="B36" s="3065" t="s">
        <v>3114</v>
      </c>
      <c r="C36" s="3065" t="s">
        <v>3115</v>
      </c>
      <c r="D36" s="3065" t="s">
        <v>3095</v>
      </c>
      <c r="E36" s="3065" t="s">
        <v>3171</v>
      </c>
      <c r="F36" s="3065">
        <v>9446</v>
      </c>
      <c r="G36" s="3065">
        <v>20214.439999999999</v>
      </c>
      <c r="H36" s="3065" t="s">
        <v>3181</v>
      </c>
      <c r="I36" s="3065" t="s">
        <v>3182</v>
      </c>
      <c r="J36" s="3065" t="s">
        <v>3183</v>
      </c>
      <c r="K36" s="3065">
        <v>4775</v>
      </c>
      <c r="L36" s="3065">
        <v>337</v>
      </c>
      <c r="M36" s="3065">
        <v>2362.17</v>
      </c>
      <c r="N36" s="3065">
        <v>0</v>
      </c>
      <c r="O36" s="3065" t="s">
        <v>3098</v>
      </c>
    </row>
    <row r="37" spans="1:15">
      <c r="A37" s="3065" t="s">
        <v>3180</v>
      </c>
      <c r="B37" s="3065" t="s">
        <v>3114</v>
      </c>
      <c r="C37" s="3065" t="s">
        <v>3115</v>
      </c>
      <c r="D37" s="3065" t="s">
        <v>3095</v>
      </c>
      <c r="E37" s="3065" t="s">
        <v>3171</v>
      </c>
      <c r="F37" s="3065">
        <v>2288</v>
      </c>
      <c r="G37" s="3065">
        <v>4896.32</v>
      </c>
      <c r="H37" s="3065" t="s">
        <v>3181</v>
      </c>
      <c r="I37" s="3065" t="s">
        <v>3182</v>
      </c>
      <c r="J37" s="3065" t="s">
        <v>3183</v>
      </c>
      <c r="K37" s="3065">
        <v>1160</v>
      </c>
      <c r="L37" s="3065">
        <v>338</v>
      </c>
      <c r="M37" s="3065">
        <v>2369.13</v>
      </c>
      <c r="N37" s="3065">
        <v>0</v>
      </c>
      <c r="O37" s="3065" t="s">
        <v>3098</v>
      </c>
    </row>
    <row r="38" spans="1:15">
      <c r="A38" s="3065" t="s">
        <v>3184</v>
      </c>
      <c r="B38" s="3065" t="s">
        <v>3114</v>
      </c>
      <c r="C38" s="3065" t="s">
        <v>3115</v>
      </c>
      <c r="D38" s="3065" t="s">
        <v>3095</v>
      </c>
      <c r="E38" s="3065" t="s">
        <v>3171</v>
      </c>
      <c r="F38" s="3065">
        <v>12984</v>
      </c>
      <c r="G38" s="3065">
        <v>41029.440000000002</v>
      </c>
      <c r="H38" s="3065" t="s">
        <v>3185</v>
      </c>
      <c r="I38" s="3065" t="s">
        <v>3182</v>
      </c>
      <c r="J38" s="3065" t="s">
        <v>3183</v>
      </c>
      <c r="K38" s="3065">
        <v>8205</v>
      </c>
      <c r="L38" s="3065">
        <v>421.29</v>
      </c>
      <c r="M38" s="3065">
        <v>1999.77</v>
      </c>
      <c r="N38" s="3065">
        <v>0</v>
      </c>
      <c r="O38" s="3065" t="s">
        <v>3098</v>
      </c>
    </row>
    <row r="39" spans="1:15">
      <c r="A39" s="3065" t="s">
        <v>3186</v>
      </c>
      <c r="B39" s="3065" t="s">
        <v>3114</v>
      </c>
      <c r="C39" s="3065" t="s">
        <v>3115</v>
      </c>
      <c r="D39" s="3065" t="s">
        <v>3095</v>
      </c>
      <c r="E39" s="3065" t="s">
        <v>3171</v>
      </c>
      <c r="F39" s="3065">
        <v>13283</v>
      </c>
      <c r="G39" s="3065">
        <v>26566</v>
      </c>
      <c r="H39" s="3065" t="s">
        <v>3164</v>
      </c>
      <c r="I39" s="3065" t="s">
        <v>3182</v>
      </c>
      <c r="J39" s="3065" t="s">
        <v>3187</v>
      </c>
      <c r="K39" s="3065">
        <v>6580</v>
      </c>
      <c r="L39" s="3065">
        <v>330.25</v>
      </c>
      <c r="M39" s="3065">
        <v>2476.84</v>
      </c>
      <c r="N39" s="3065">
        <v>0.08</v>
      </c>
      <c r="O39" s="3065" t="s">
        <v>3098</v>
      </c>
    </row>
    <row r="40" spans="1:15">
      <c r="A40" s="3065" t="s">
        <v>3188</v>
      </c>
      <c r="B40" s="3065" t="s">
        <v>3114</v>
      </c>
      <c r="C40" s="3065" t="s">
        <v>3115</v>
      </c>
      <c r="D40" s="3065" t="s">
        <v>3095</v>
      </c>
      <c r="E40" s="3065" t="s">
        <v>3171</v>
      </c>
      <c r="F40" s="3065">
        <v>43868</v>
      </c>
      <c r="G40" s="3065">
        <v>146519.12</v>
      </c>
      <c r="H40" s="3065" t="s">
        <v>3189</v>
      </c>
      <c r="I40" s="3065" t="s">
        <v>3182</v>
      </c>
      <c r="J40" s="3065" t="s">
        <v>3183</v>
      </c>
      <c r="K40" s="3065">
        <v>31670</v>
      </c>
      <c r="L40" s="3065">
        <v>481.29</v>
      </c>
      <c r="M40" s="3065">
        <v>2161.48</v>
      </c>
      <c r="N40" s="3065">
        <v>0</v>
      </c>
      <c r="O40" s="3065" t="s">
        <v>3098</v>
      </c>
    </row>
    <row r="41" spans="1:15">
      <c r="A41" s="3065" t="s">
        <v>3186</v>
      </c>
      <c r="B41" s="3065" t="s">
        <v>3114</v>
      </c>
      <c r="C41" s="3065" t="s">
        <v>3115</v>
      </c>
      <c r="D41" s="3065" t="s">
        <v>3095</v>
      </c>
      <c r="E41" s="3065" t="s">
        <v>3171</v>
      </c>
      <c r="F41" s="3065">
        <v>65390</v>
      </c>
      <c r="G41" s="3065">
        <v>130780</v>
      </c>
      <c r="H41" s="3065" t="s">
        <v>3164</v>
      </c>
      <c r="I41" s="3065" t="s">
        <v>3182</v>
      </c>
      <c r="J41" s="3065" t="s">
        <v>3187</v>
      </c>
      <c r="K41" s="3065">
        <v>32375</v>
      </c>
      <c r="L41" s="3065">
        <v>330.07</v>
      </c>
      <c r="M41" s="3065">
        <v>2475.5300000000002</v>
      </c>
      <c r="N41" s="3065">
        <v>0.02</v>
      </c>
      <c r="O41" s="3065" t="s">
        <v>3098</v>
      </c>
    </row>
    <row r="42" spans="1:15">
      <c r="A42" s="3065" t="s">
        <v>3190</v>
      </c>
      <c r="B42" s="3065" t="s">
        <v>3114</v>
      </c>
      <c r="C42" s="3065" t="s">
        <v>3115</v>
      </c>
      <c r="D42" s="3065" t="s">
        <v>3095</v>
      </c>
      <c r="E42" s="3065" t="s">
        <v>3171</v>
      </c>
      <c r="F42" s="3065">
        <v>7260</v>
      </c>
      <c r="G42" s="3065">
        <v>21054</v>
      </c>
      <c r="H42" s="3065" t="s">
        <v>3131</v>
      </c>
      <c r="I42" s="3065" t="s">
        <v>3182</v>
      </c>
      <c r="J42" s="3065" t="s">
        <v>3183</v>
      </c>
      <c r="K42" s="3065">
        <v>4190</v>
      </c>
      <c r="L42" s="3065">
        <v>384.76</v>
      </c>
      <c r="M42" s="3065">
        <v>1990.11</v>
      </c>
      <c r="N42" s="3065">
        <v>0</v>
      </c>
      <c r="O42" s="3065" t="s">
        <v>3098</v>
      </c>
    </row>
    <row r="43" spans="1:15">
      <c r="A43" s="3065" t="s">
        <v>3191</v>
      </c>
      <c r="B43" s="3065" t="s">
        <v>3114</v>
      </c>
      <c r="C43" s="3065" t="s">
        <v>3115</v>
      </c>
      <c r="D43" s="3065" t="s">
        <v>3095</v>
      </c>
      <c r="E43" s="3065" t="s">
        <v>3192</v>
      </c>
      <c r="F43" s="3065">
        <v>43868</v>
      </c>
      <c r="G43" s="3065">
        <v>146519.12</v>
      </c>
      <c r="H43" s="3065" t="s">
        <v>3189</v>
      </c>
      <c r="I43" s="3065" t="s">
        <v>3182</v>
      </c>
      <c r="J43" s="3065" t="s">
        <v>3183</v>
      </c>
      <c r="K43" s="3065">
        <v>31670</v>
      </c>
      <c r="L43" s="3065">
        <v>481.29</v>
      </c>
      <c r="M43" s="3065">
        <v>2161.48</v>
      </c>
      <c r="N43" s="3065">
        <v>88.74</v>
      </c>
      <c r="O43" s="3065" t="s">
        <v>3098</v>
      </c>
    </row>
    <row r="44" spans="1:15">
      <c r="A44" s="3065" t="s">
        <v>3193</v>
      </c>
      <c r="B44" s="3065" t="s">
        <v>3114</v>
      </c>
      <c r="C44" s="3065" t="s">
        <v>3115</v>
      </c>
      <c r="D44" s="3065" t="s">
        <v>3095</v>
      </c>
      <c r="E44" s="3065" t="s">
        <v>1344</v>
      </c>
      <c r="F44" s="3065">
        <v>59207</v>
      </c>
      <c r="G44" s="3065">
        <v>94731.199999999997</v>
      </c>
      <c r="H44" s="3065" t="s">
        <v>3194</v>
      </c>
      <c r="I44" s="3065" t="s">
        <v>3195</v>
      </c>
      <c r="J44" s="3065" t="s">
        <v>3148</v>
      </c>
      <c r="K44" s="3065">
        <v>38775</v>
      </c>
      <c r="L44" s="3065">
        <v>436.6</v>
      </c>
      <c r="M44" s="3065">
        <v>4093.15</v>
      </c>
      <c r="N44" s="3065">
        <v>21.29</v>
      </c>
      <c r="O44" s="3065" t="s">
        <v>3162</v>
      </c>
    </row>
    <row r="45" spans="1:15">
      <c r="A45" s="3114" t="s">
        <v>3937</v>
      </c>
      <c r="B45" s="3065" t="s">
        <v>3114</v>
      </c>
      <c r="C45" s="3065" t="s">
        <v>3196</v>
      </c>
      <c r="D45" s="3065" t="s">
        <v>3095</v>
      </c>
      <c r="E45" s="3065" t="s">
        <v>3197</v>
      </c>
      <c r="F45" s="3065">
        <v>43098</v>
      </c>
      <c r="G45" s="3065">
        <v>120674.4</v>
      </c>
      <c r="H45" s="3065" t="s">
        <v>3198</v>
      </c>
      <c r="I45" s="3065" t="s">
        <v>3199</v>
      </c>
      <c r="J45" s="3065" t="s">
        <v>3137</v>
      </c>
      <c r="K45" s="3065">
        <v>26635</v>
      </c>
      <c r="L45" s="3065">
        <v>412.01</v>
      </c>
      <c r="M45" s="3065">
        <v>2207.17</v>
      </c>
      <c r="N45" s="3065">
        <v>0.02</v>
      </c>
      <c r="O45" s="3065" t="s">
        <v>3098</v>
      </c>
    </row>
    <row r="46" spans="1:15">
      <c r="A46" s="3065" t="s">
        <v>3200</v>
      </c>
      <c r="B46" s="3065" t="s">
        <v>3114</v>
      </c>
      <c r="C46" s="3065" t="s">
        <v>3196</v>
      </c>
      <c r="D46" s="3065" t="s">
        <v>3095</v>
      </c>
      <c r="E46" s="3065" t="s">
        <v>3197</v>
      </c>
      <c r="F46" s="3065">
        <v>29523</v>
      </c>
      <c r="G46" s="3065">
        <v>73807.5</v>
      </c>
      <c r="H46" s="3065" t="s">
        <v>3201</v>
      </c>
      <c r="I46" s="3065" t="s">
        <v>3199</v>
      </c>
      <c r="J46" s="3065" t="s">
        <v>3146</v>
      </c>
      <c r="K46" s="3065">
        <v>16040</v>
      </c>
      <c r="L46" s="3065">
        <v>362.2</v>
      </c>
      <c r="M46" s="3065">
        <v>2173.21</v>
      </c>
      <c r="N46" s="3065">
        <v>0</v>
      </c>
      <c r="O46" s="3065" t="s">
        <v>3098</v>
      </c>
    </row>
    <row r="47" spans="1:15">
      <c r="A47" s="3065" t="s">
        <v>3200</v>
      </c>
      <c r="B47" s="3065" t="s">
        <v>3114</v>
      </c>
      <c r="C47" s="3065" t="s">
        <v>3115</v>
      </c>
      <c r="D47" s="3065" t="s">
        <v>3095</v>
      </c>
      <c r="E47" s="3065" t="s">
        <v>1344</v>
      </c>
      <c r="F47" s="3065">
        <v>9910</v>
      </c>
      <c r="G47" s="3065">
        <v>24775</v>
      </c>
      <c r="H47" s="3065" t="s">
        <v>3202</v>
      </c>
      <c r="I47" s="3065" t="s">
        <v>3199</v>
      </c>
      <c r="J47" s="3065" t="s">
        <v>3146</v>
      </c>
      <c r="K47" s="3065">
        <v>5405</v>
      </c>
      <c r="L47" s="3065">
        <v>363.61</v>
      </c>
      <c r="M47" s="3065">
        <v>2181.63</v>
      </c>
      <c r="N47" s="3065">
        <v>0</v>
      </c>
      <c r="O47" s="3065" t="s">
        <v>3098</v>
      </c>
    </row>
    <row r="48" spans="1:15">
      <c r="A48" s="3065" t="s">
        <v>3203</v>
      </c>
      <c r="B48" s="3065" t="s">
        <v>3114</v>
      </c>
      <c r="C48" s="3065" t="s">
        <v>3196</v>
      </c>
      <c r="D48" s="3065" t="s">
        <v>3095</v>
      </c>
      <c r="E48" s="3065" t="s">
        <v>3197</v>
      </c>
      <c r="F48" s="3065">
        <v>33304</v>
      </c>
      <c r="G48" s="3065">
        <v>106572.8</v>
      </c>
      <c r="H48" s="3065" t="s">
        <v>3204</v>
      </c>
      <c r="I48" s="3065" t="s">
        <v>3199</v>
      </c>
      <c r="J48" s="3065" t="s">
        <v>3139</v>
      </c>
      <c r="K48" s="3065">
        <v>20545</v>
      </c>
      <c r="L48" s="3065">
        <v>411.26</v>
      </c>
      <c r="M48" s="3065">
        <v>1927.78</v>
      </c>
      <c r="N48" s="3065">
        <v>0.02</v>
      </c>
      <c r="O48" s="3065" t="s">
        <v>3098</v>
      </c>
    </row>
    <row r="49" spans="1:15">
      <c r="A49" s="3065" t="s">
        <v>3205</v>
      </c>
      <c r="B49" s="3065" t="s">
        <v>3114</v>
      </c>
      <c r="C49" s="3065" t="s">
        <v>3196</v>
      </c>
      <c r="D49" s="3065" t="s">
        <v>3095</v>
      </c>
      <c r="E49" s="3065" t="s">
        <v>3197</v>
      </c>
      <c r="F49" s="3065">
        <v>54073</v>
      </c>
      <c r="G49" s="3065">
        <v>135182.5</v>
      </c>
      <c r="H49" s="3065" t="s">
        <v>3201</v>
      </c>
      <c r="I49" s="3065" t="s">
        <v>3199</v>
      </c>
      <c r="J49" s="3065" t="s">
        <v>3148</v>
      </c>
      <c r="K49" s="3065">
        <v>28870</v>
      </c>
      <c r="L49" s="3065">
        <v>355.94</v>
      </c>
      <c r="M49" s="3065">
        <v>2135.63</v>
      </c>
      <c r="N49" s="3065">
        <v>0</v>
      </c>
      <c r="O49" s="3065" t="s">
        <v>3098</v>
      </c>
    </row>
    <row r="50" spans="1:15">
      <c r="A50" s="3065" t="s">
        <v>3206</v>
      </c>
      <c r="B50" s="3065" t="s">
        <v>3114</v>
      </c>
      <c r="C50" s="3065" t="s">
        <v>3196</v>
      </c>
      <c r="D50" s="3065" t="s">
        <v>3095</v>
      </c>
      <c r="E50" s="3065" t="s">
        <v>3197</v>
      </c>
      <c r="F50" s="3065">
        <v>6579</v>
      </c>
      <c r="G50" s="3065">
        <v>25000.2</v>
      </c>
      <c r="H50" s="3065" t="s">
        <v>3207</v>
      </c>
      <c r="I50" s="3065" t="s">
        <v>3199</v>
      </c>
      <c r="J50" s="3065" t="s">
        <v>3208</v>
      </c>
      <c r="K50" s="3065">
        <v>4900</v>
      </c>
      <c r="L50" s="3065">
        <v>496.53</v>
      </c>
      <c r="M50" s="3065">
        <v>1959.98</v>
      </c>
      <c r="N50" s="3065">
        <v>0</v>
      </c>
      <c r="O50" s="3065" t="s">
        <v>3098</v>
      </c>
    </row>
    <row r="51" spans="1:15">
      <c r="A51" s="3065" t="s">
        <v>3209</v>
      </c>
      <c r="B51" s="3065" t="s">
        <v>3114</v>
      </c>
      <c r="C51" s="3065" t="s">
        <v>3196</v>
      </c>
      <c r="D51" s="3065" t="s">
        <v>3095</v>
      </c>
      <c r="E51" s="3065" t="s">
        <v>3197</v>
      </c>
      <c r="F51" s="3065">
        <v>35766</v>
      </c>
      <c r="G51" s="3065">
        <v>128757.6</v>
      </c>
      <c r="H51" s="3065" t="s">
        <v>3210</v>
      </c>
      <c r="I51" s="3065" t="s">
        <v>3199</v>
      </c>
      <c r="J51" s="3065" t="s">
        <v>3183</v>
      </c>
      <c r="K51" s="3065">
        <v>25385</v>
      </c>
      <c r="L51" s="3065">
        <v>473.17</v>
      </c>
      <c r="M51" s="3065">
        <v>1971.52</v>
      </c>
      <c r="N51" s="3065">
        <v>0</v>
      </c>
      <c r="O51" s="3065" t="s">
        <v>3098</v>
      </c>
    </row>
  </sheetData>
  <autoFilter ref="A1:O51" xr:uid="{B1F1CABF-1503-4CDB-8470-B76FD2434E43}"/>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44"/>
  <sheetViews>
    <sheetView workbookViewId="0">
      <selection activeCell="E9" sqref="E9"/>
    </sheetView>
  </sheetViews>
  <sheetFormatPr defaultRowHeight="13.5"/>
  <cols>
    <col min="2" max="5" width="12.5" customWidth="1"/>
    <col min="6" max="7" width="0" hidden="1" customWidth="1"/>
    <col min="9" max="9" width="15.375" customWidth="1"/>
  </cols>
  <sheetData>
    <row r="1" spans="1:11">
      <c r="A1" s="3092" t="s">
        <v>3211</v>
      </c>
      <c r="B1" s="3092" t="s">
        <v>3212</v>
      </c>
      <c r="C1" s="3092" t="s">
        <v>3213</v>
      </c>
      <c r="D1" s="3092" t="s">
        <v>3214</v>
      </c>
      <c r="E1" s="3092" t="s">
        <v>3926</v>
      </c>
      <c r="F1" s="3068" t="s">
        <v>3213</v>
      </c>
      <c r="G1" s="3068" t="s">
        <v>3214</v>
      </c>
      <c r="H1" s="3068" t="s">
        <v>3221</v>
      </c>
      <c r="I1" s="3068" t="s">
        <v>3220</v>
      </c>
    </row>
    <row r="2" spans="1:11">
      <c r="A2" s="3093">
        <v>11</v>
      </c>
      <c r="B2" s="3093">
        <v>24017.46</v>
      </c>
      <c r="C2" s="3105">
        <f>'[1]11'!$F$108</f>
        <v>22512.1</v>
      </c>
      <c r="D2" s="3094">
        <f>'[1]11'!$F$106-'[1]11'!$F$107</f>
        <v>1461.19</v>
      </c>
      <c r="E2" s="3094">
        <f>'[1]11'!$F$107</f>
        <v>44.17</v>
      </c>
      <c r="F2">
        <v>22715</v>
      </c>
      <c r="G2">
        <v>1677</v>
      </c>
      <c r="I2" s="3068" t="s">
        <v>3216</v>
      </c>
      <c r="J2">
        <f>18/28*0.55</f>
        <v>0.35357142857142865</v>
      </c>
      <c r="K2">
        <f>J2*B2</f>
        <v>8491.8876428571439</v>
      </c>
    </row>
    <row r="3" spans="1:11">
      <c r="A3" s="3093">
        <v>12</v>
      </c>
      <c r="B3" s="3093">
        <v>24051.33</v>
      </c>
      <c r="C3" s="3093">
        <f>'[1]12'!$F$110</f>
        <v>22548.36</v>
      </c>
      <c r="D3" s="3094">
        <f>'[1]12'!$F$108-'[1]12'!$F$109</f>
        <v>1472.9499999999996</v>
      </c>
      <c r="E3" s="3094">
        <f>'[1]12'!$F$109</f>
        <v>30.02</v>
      </c>
      <c r="F3">
        <v>22715</v>
      </c>
      <c r="G3">
        <v>1677</v>
      </c>
      <c r="I3" s="3068" t="s">
        <v>3217</v>
      </c>
      <c r="J3">
        <v>0.55000000000000004</v>
      </c>
      <c r="K3">
        <f t="shared" ref="K3:K7" si="0">J3*B3</f>
        <v>13228.231500000002</v>
      </c>
    </row>
    <row r="4" spans="1:11">
      <c r="A4" s="3093">
        <v>13</v>
      </c>
      <c r="B4" s="3093">
        <v>21124.75</v>
      </c>
      <c r="C4" s="3105">
        <f>'[1]13'!$F$98</f>
        <v>19788.490000000002</v>
      </c>
      <c r="D4" s="3095">
        <f>'[1]13'!$F$96-'[1]13'!$F$97</f>
        <v>1293.5999999999997</v>
      </c>
      <c r="E4" s="3095">
        <f>'[1]13'!$F$97</f>
        <v>42.66</v>
      </c>
      <c r="F4">
        <v>19685</v>
      </c>
      <c r="G4">
        <v>1478</v>
      </c>
      <c r="I4" s="3068" t="s">
        <v>3218</v>
      </c>
      <c r="J4">
        <f>23/28*0.55</f>
        <v>0.45178571428571429</v>
      </c>
      <c r="K4">
        <f t="shared" si="0"/>
        <v>9543.8602678571424</v>
      </c>
    </row>
    <row r="5" spans="1:11">
      <c r="A5" s="3093">
        <v>14</v>
      </c>
      <c r="B5" s="3093">
        <v>21113.02</v>
      </c>
      <c r="C5" s="3093">
        <f>'[1]14'!$F$97</f>
        <v>19723.400000000001</v>
      </c>
      <c r="D5" s="3095">
        <f>'[1]14'!$F$95-'[1]14'!$F$96</f>
        <v>1347.6000000000004</v>
      </c>
      <c r="E5" s="3095">
        <f>'[1]14'!$F$96</f>
        <v>42.02</v>
      </c>
      <c r="F5">
        <v>19685</v>
      </c>
      <c r="G5">
        <v>1477</v>
      </c>
      <c r="I5" s="3068" t="s">
        <v>3219</v>
      </c>
      <c r="J5">
        <f>20/28*0.55</f>
        <v>0.3928571428571429</v>
      </c>
      <c r="K5">
        <f t="shared" si="0"/>
        <v>8294.4007142857154</v>
      </c>
    </row>
    <row r="6" spans="1:11">
      <c r="A6" s="3093">
        <v>15</v>
      </c>
      <c r="B6" s="3093">
        <v>22165.49</v>
      </c>
      <c r="C6" s="3093">
        <f>'[1]15'!$F$120</f>
        <v>20740.190000000002</v>
      </c>
      <c r="D6" s="3096">
        <f>'[1]15'!$F$118</f>
        <v>1425.2999999999995</v>
      </c>
      <c r="E6" s="3096">
        <f>'[1]15'!$F$119</f>
        <v>0</v>
      </c>
      <c r="F6">
        <v>20719</v>
      </c>
      <c r="G6">
        <v>1538</v>
      </c>
      <c r="I6" s="3068" t="s">
        <v>3217</v>
      </c>
      <c r="J6">
        <f>0.55</f>
        <v>0.55000000000000004</v>
      </c>
      <c r="K6">
        <f t="shared" si="0"/>
        <v>12191.019500000002</v>
      </c>
    </row>
    <row r="7" spans="1:11">
      <c r="A7" s="3093">
        <v>16</v>
      </c>
      <c r="B7" s="3093">
        <v>21203.42</v>
      </c>
      <c r="C7" s="3093">
        <f>'[1]16'!$F$114</f>
        <v>19742.239999999998</v>
      </c>
      <c r="D7" s="3095">
        <f>'[1]16'!$F$112-'[1]16'!$F$113</f>
        <v>1369.4000000000005</v>
      </c>
      <c r="E7" s="3095">
        <f>'[1]16'!$F$113</f>
        <v>91.78</v>
      </c>
      <c r="F7">
        <v>19685</v>
      </c>
      <c r="G7">
        <v>1447</v>
      </c>
      <c r="I7" s="3068" t="s">
        <v>3217</v>
      </c>
      <c r="J7">
        <v>0.55000000000000004</v>
      </c>
      <c r="K7">
        <f t="shared" si="0"/>
        <v>11661.880999999999</v>
      </c>
    </row>
    <row r="8" spans="1:11">
      <c r="A8" s="3093"/>
      <c r="B8" s="3093">
        <f>SUM(B2:B7)</f>
        <v>133675.47000000003</v>
      </c>
      <c r="C8" s="3093">
        <f>SUM(C2:C7)</f>
        <v>125054.78</v>
      </c>
      <c r="D8" s="3094">
        <f>SUM(D2:D7)</f>
        <v>8370.0399999999991</v>
      </c>
      <c r="E8" s="3094">
        <f>SUM(E2:E7)</f>
        <v>250.65</v>
      </c>
      <c r="F8">
        <f t="shared" ref="F8:G8" si="1">SUM(F2:F7)</f>
        <v>125204</v>
      </c>
      <c r="G8">
        <f t="shared" si="1"/>
        <v>9294</v>
      </c>
      <c r="H8">
        <f>G8+F8</f>
        <v>134498</v>
      </c>
      <c r="J8">
        <f>K8/B8</f>
        <v>0.47436736616673197</v>
      </c>
      <c r="K8">
        <f>SUM(K2:K7)</f>
        <v>63411.280625000007</v>
      </c>
    </row>
    <row r="9" spans="1:11">
      <c r="D9" s="3106"/>
      <c r="E9" s="3106"/>
      <c r="H9">
        <f>H8-B8</f>
        <v>822.52999999996973</v>
      </c>
    </row>
    <row r="10" spans="1:11">
      <c r="D10" s="3107"/>
      <c r="E10" s="3107"/>
    </row>
    <row r="11" spans="1:11">
      <c r="D11" s="3106"/>
      <c r="E11" s="3106"/>
    </row>
    <row r="37" spans="1:2">
      <c r="A37" s="3068" t="s">
        <v>3909</v>
      </c>
      <c r="B37">
        <v>7500</v>
      </c>
    </row>
    <row r="38" spans="1:2">
      <c r="A38" s="3068" t="s">
        <v>3910</v>
      </c>
      <c r="B38">
        <v>8500</v>
      </c>
    </row>
    <row r="39" spans="1:2">
      <c r="A39" s="3068" t="s">
        <v>3911</v>
      </c>
      <c r="B39">
        <v>7300</v>
      </c>
    </row>
    <row r="40" spans="1:2">
      <c r="A40" s="3068" t="s">
        <v>3912</v>
      </c>
      <c r="B40">
        <v>8500</v>
      </c>
    </row>
    <row r="41" spans="1:2">
      <c r="A41" s="3068" t="s">
        <v>3913</v>
      </c>
      <c r="B41">
        <v>8000</v>
      </c>
    </row>
    <row r="42" spans="1:2">
      <c r="A42" s="3068" t="s">
        <v>3914</v>
      </c>
      <c r="B42">
        <v>8200</v>
      </c>
    </row>
    <row r="44" spans="1:2">
      <c r="A44" s="3068" t="s">
        <v>3915</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99"/>
  <sheetViews>
    <sheetView topLeftCell="A163" workbookViewId="0">
      <selection activeCell="J115" sqref="J115"/>
    </sheetView>
  </sheetViews>
  <sheetFormatPr defaultRowHeight="13.5"/>
  <sheetData>
    <row r="1" spans="1:10" ht="14.25">
      <c r="A1" s="3069" t="s">
        <v>3222</v>
      </c>
    </row>
    <row r="2" spans="1:10" ht="14.25" thickBot="1">
      <c r="A2" s="3070"/>
    </row>
    <row r="3" spans="1:10">
      <c r="A3" s="3458" t="s">
        <v>3223</v>
      </c>
      <c r="B3" s="3458" t="s">
        <v>3224</v>
      </c>
      <c r="C3" s="3071" t="s">
        <v>3225</v>
      </c>
      <c r="D3" s="3458" t="s">
        <v>3227</v>
      </c>
      <c r="E3" s="3458" t="s">
        <v>1341</v>
      </c>
      <c r="F3" s="3458" t="s">
        <v>3228</v>
      </c>
      <c r="G3" s="3460" t="s">
        <v>3229</v>
      </c>
      <c r="H3" s="3461"/>
      <c r="I3" s="3458" t="s">
        <v>3231</v>
      </c>
      <c r="J3" s="3458" t="s">
        <v>3232</v>
      </c>
    </row>
    <row r="4" spans="1:10" ht="14.25" thickBot="1">
      <c r="A4" s="3459"/>
      <c r="B4" s="3459"/>
      <c r="C4" s="3072" t="s">
        <v>3226</v>
      </c>
      <c r="D4" s="3459"/>
      <c r="E4" s="3459"/>
      <c r="F4" s="3459"/>
      <c r="G4" s="3462" t="s">
        <v>3230</v>
      </c>
      <c r="H4" s="3463"/>
      <c r="I4" s="3459"/>
      <c r="J4" s="3459"/>
    </row>
    <row r="5" spans="1:10" ht="24.75" thickBot="1">
      <c r="A5" s="3073">
        <v>1</v>
      </c>
      <c r="B5" s="3074">
        <v>11</v>
      </c>
      <c r="C5" s="3074">
        <f t="shared" ref="C5:C36" si="0">-2/28</f>
        <v>-7.1428571428571425E-2</v>
      </c>
      <c r="D5" s="3072" t="s">
        <v>3233</v>
      </c>
      <c r="E5" s="3072" t="s">
        <v>3234</v>
      </c>
      <c r="F5" s="3072" t="s">
        <v>3235</v>
      </c>
      <c r="G5" s="3464" t="s">
        <v>3236</v>
      </c>
      <c r="H5" s="3465"/>
      <c r="I5" s="3074">
        <v>2016</v>
      </c>
      <c r="J5" s="3074">
        <v>3.22</v>
      </c>
    </row>
    <row r="6" spans="1:10" ht="24.75" thickBot="1">
      <c r="A6" s="3073">
        <v>2</v>
      </c>
      <c r="B6" s="3074">
        <v>11</v>
      </c>
      <c r="C6" s="3074">
        <f t="shared" si="0"/>
        <v>-7.1428571428571425E-2</v>
      </c>
      <c r="D6" s="3072" t="s">
        <v>3237</v>
      </c>
      <c r="E6" s="3072" t="s">
        <v>3234</v>
      </c>
      <c r="F6" s="3072" t="s">
        <v>3235</v>
      </c>
      <c r="G6" s="3076"/>
      <c r="H6" s="3074">
        <v>39</v>
      </c>
      <c r="I6" s="3074">
        <v>2016</v>
      </c>
      <c r="J6" s="3074">
        <v>3.3</v>
      </c>
    </row>
    <row r="7" spans="1:10" ht="24.75" thickBot="1">
      <c r="A7" s="3073">
        <v>3</v>
      </c>
      <c r="B7" s="3074">
        <v>11</v>
      </c>
      <c r="C7" s="3074">
        <f t="shared" si="0"/>
        <v>-7.1428571428571425E-2</v>
      </c>
      <c r="D7" s="3072" t="s">
        <v>3238</v>
      </c>
      <c r="E7" s="3072" t="s">
        <v>3234</v>
      </c>
      <c r="F7" s="3072" t="s">
        <v>3235</v>
      </c>
      <c r="G7" s="3464" t="s">
        <v>3239</v>
      </c>
      <c r="H7" s="3465"/>
      <c r="I7" s="3074">
        <v>2016</v>
      </c>
      <c r="J7" s="3074">
        <v>4.74</v>
      </c>
    </row>
    <row r="8" spans="1:10" ht="24.75" thickBot="1">
      <c r="A8" s="3073">
        <v>4</v>
      </c>
      <c r="B8" s="3074">
        <v>11</v>
      </c>
      <c r="C8" s="3074">
        <f t="shared" si="0"/>
        <v>-7.1428571428571425E-2</v>
      </c>
      <c r="D8" s="3072" t="s">
        <v>3240</v>
      </c>
      <c r="E8" s="3072" t="s">
        <v>3234</v>
      </c>
      <c r="F8" s="3072" t="s">
        <v>3235</v>
      </c>
      <c r="G8" s="3464" t="s">
        <v>3241</v>
      </c>
      <c r="H8" s="3465"/>
      <c r="I8" s="3074">
        <v>2016</v>
      </c>
      <c r="J8" s="3074">
        <v>2.41</v>
      </c>
    </row>
    <row r="9" spans="1:10" ht="24.75" thickBot="1">
      <c r="A9" s="3073">
        <v>5</v>
      </c>
      <c r="B9" s="3074">
        <v>11</v>
      </c>
      <c r="C9" s="3074">
        <f t="shared" si="0"/>
        <v>-7.1428571428571425E-2</v>
      </c>
      <c r="D9" s="3072" t="s">
        <v>3242</v>
      </c>
      <c r="E9" s="3072" t="s">
        <v>3234</v>
      </c>
      <c r="F9" s="3072" t="s">
        <v>3235</v>
      </c>
      <c r="G9" s="3464" t="s">
        <v>3243</v>
      </c>
      <c r="H9" s="3465"/>
      <c r="I9" s="3074">
        <v>2016</v>
      </c>
      <c r="J9" s="3074">
        <v>2.52</v>
      </c>
    </row>
    <row r="10" spans="1:10" ht="24.75" thickBot="1">
      <c r="A10" s="3073">
        <v>6</v>
      </c>
      <c r="B10" s="3074">
        <v>11</v>
      </c>
      <c r="C10" s="3074">
        <f t="shared" si="0"/>
        <v>-7.1428571428571425E-2</v>
      </c>
      <c r="D10" s="3072" t="s">
        <v>3244</v>
      </c>
      <c r="E10" s="3072" t="s">
        <v>3234</v>
      </c>
      <c r="F10" s="3072" t="s">
        <v>3235</v>
      </c>
      <c r="G10" s="3464" t="s">
        <v>3245</v>
      </c>
      <c r="H10" s="3465"/>
      <c r="I10" s="3074">
        <v>2016</v>
      </c>
      <c r="J10" s="3074">
        <v>2.8</v>
      </c>
    </row>
    <row r="11" spans="1:10" ht="24.75" thickBot="1">
      <c r="A11" s="3073">
        <v>7</v>
      </c>
      <c r="B11" s="3074">
        <v>11</v>
      </c>
      <c r="C11" s="3074">
        <f t="shared" si="0"/>
        <v>-7.1428571428571425E-2</v>
      </c>
      <c r="D11" s="3072" t="s">
        <v>3246</v>
      </c>
      <c r="E11" s="3072" t="s">
        <v>3234</v>
      </c>
      <c r="F11" s="3072" t="s">
        <v>3235</v>
      </c>
      <c r="G11" s="3464" t="s">
        <v>3247</v>
      </c>
      <c r="H11" s="3465"/>
      <c r="I11" s="3074">
        <v>2016</v>
      </c>
      <c r="J11" s="3074">
        <v>2.62</v>
      </c>
    </row>
    <row r="12" spans="1:10" ht="24.75" thickBot="1">
      <c r="A12" s="3073">
        <v>8</v>
      </c>
      <c r="B12" s="3074">
        <v>11</v>
      </c>
      <c r="C12" s="3074">
        <f t="shared" si="0"/>
        <v>-7.1428571428571425E-2</v>
      </c>
      <c r="D12" s="3072" t="s">
        <v>3248</v>
      </c>
      <c r="E12" s="3072" t="s">
        <v>3234</v>
      </c>
      <c r="F12" s="3072" t="s">
        <v>3235</v>
      </c>
      <c r="G12" s="3464" t="s">
        <v>3247</v>
      </c>
      <c r="H12" s="3465"/>
      <c r="I12" s="3074">
        <v>2016</v>
      </c>
      <c r="J12" s="3074">
        <v>2.62</v>
      </c>
    </row>
    <row r="13" spans="1:10" ht="24.75" thickBot="1">
      <c r="A13" s="3073">
        <v>9</v>
      </c>
      <c r="B13" s="3074">
        <v>11</v>
      </c>
      <c r="C13" s="3074">
        <f t="shared" si="0"/>
        <v>-7.1428571428571425E-2</v>
      </c>
      <c r="D13" s="3072" t="s">
        <v>3249</v>
      </c>
      <c r="E13" s="3072" t="s">
        <v>3234</v>
      </c>
      <c r="F13" s="3072" t="s">
        <v>3235</v>
      </c>
      <c r="G13" s="3464" t="s">
        <v>3250</v>
      </c>
      <c r="H13" s="3465"/>
      <c r="I13" s="3074">
        <v>2016</v>
      </c>
      <c r="J13" s="3074">
        <v>2.2599999999999998</v>
      </c>
    </row>
    <row r="14" spans="1:10" ht="24.75" thickBot="1">
      <c r="A14" s="3073">
        <v>10</v>
      </c>
      <c r="B14" s="3074">
        <v>11</v>
      </c>
      <c r="C14" s="3074">
        <f t="shared" si="0"/>
        <v>-7.1428571428571425E-2</v>
      </c>
      <c r="D14" s="3072" t="s">
        <v>3251</v>
      </c>
      <c r="E14" s="3072" t="s">
        <v>3234</v>
      </c>
      <c r="F14" s="3072" t="s">
        <v>3235</v>
      </c>
      <c r="G14" s="3464" t="s">
        <v>3250</v>
      </c>
      <c r="H14" s="3465"/>
      <c r="I14" s="3074">
        <v>2016</v>
      </c>
      <c r="J14" s="3074">
        <v>2.2599999999999998</v>
      </c>
    </row>
    <row r="15" spans="1:10" ht="24.75" thickBot="1">
      <c r="A15" s="3073">
        <v>11</v>
      </c>
      <c r="B15" s="3074">
        <v>11</v>
      </c>
      <c r="C15" s="3074">
        <f t="shared" si="0"/>
        <v>-7.1428571428571425E-2</v>
      </c>
      <c r="D15" s="3072" t="s">
        <v>3252</v>
      </c>
      <c r="E15" s="3072" t="s">
        <v>3234</v>
      </c>
      <c r="F15" s="3072" t="s">
        <v>3235</v>
      </c>
      <c r="G15" s="3464" t="s">
        <v>3253</v>
      </c>
      <c r="H15" s="3465"/>
      <c r="I15" s="3074">
        <v>2016</v>
      </c>
      <c r="J15" s="3074">
        <v>6.06</v>
      </c>
    </row>
    <row r="16" spans="1:10" ht="24.75" thickBot="1">
      <c r="A16" s="3073">
        <v>12</v>
      </c>
      <c r="B16" s="3074">
        <v>11</v>
      </c>
      <c r="C16" s="3074">
        <f t="shared" si="0"/>
        <v>-7.1428571428571425E-2</v>
      </c>
      <c r="D16" s="3072" t="s">
        <v>3254</v>
      </c>
      <c r="E16" s="3072" t="s">
        <v>3234</v>
      </c>
      <c r="F16" s="3072" t="s">
        <v>3235</v>
      </c>
      <c r="G16" s="3077">
        <v>21</v>
      </c>
      <c r="H16" s="3074">
        <v>49</v>
      </c>
      <c r="I16" s="3074">
        <v>2016</v>
      </c>
      <c r="J16" s="3074">
        <v>4.33</v>
      </c>
    </row>
    <row r="17" spans="1:10" ht="24.75" thickBot="1">
      <c r="A17" s="3073">
        <v>13</v>
      </c>
      <c r="B17" s="3074">
        <v>11</v>
      </c>
      <c r="C17" s="3074">
        <f t="shared" si="0"/>
        <v>-7.1428571428571425E-2</v>
      </c>
      <c r="D17" s="3072" t="s">
        <v>3255</v>
      </c>
      <c r="E17" s="3072" t="s">
        <v>3234</v>
      </c>
      <c r="F17" s="3072" t="s">
        <v>3235</v>
      </c>
      <c r="G17" s="3464" t="s">
        <v>3256</v>
      </c>
      <c r="H17" s="3465"/>
      <c r="I17" s="3074">
        <v>2016</v>
      </c>
      <c r="J17" s="3074">
        <v>3.92</v>
      </c>
    </row>
    <row r="18" spans="1:10" ht="24.75" thickBot="1">
      <c r="A18" s="3073">
        <v>14</v>
      </c>
      <c r="B18" s="3074">
        <v>11</v>
      </c>
      <c r="C18" s="3074">
        <f t="shared" si="0"/>
        <v>-7.1428571428571425E-2</v>
      </c>
      <c r="D18" s="3072" t="s">
        <v>3257</v>
      </c>
      <c r="E18" s="3072" t="s">
        <v>3234</v>
      </c>
      <c r="F18" s="3072" t="s">
        <v>3235</v>
      </c>
      <c r="G18" s="3464" t="s">
        <v>3258</v>
      </c>
      <c r="H18" s="3465"/>
      <c r="I18" s="3074">
        <v>2016</v>
      </c>
      <c r="J18" s="3074">
        <v>2.0299999999999998</v>
      </c>
    </row>
    <row r="19" spans="1:10" ht="24.75" thickBot="1">
      <c r="A19" s="3073">
        <v>15</v>
      </c>
      <c r="B19" s="3074">
        <v>11</v>
      </c>
      <c r="C19" s="3074">
        <f t="shared" si="0"/>
        <v>-7.1428571428571425E-2</v>
      </c>
      <c r="D19" s="3072" t="s">
        <v>3259</v>
      </c>
      <c r="E19" s="3072" t="s">
        <v>3234</v>
      </c>
      <c r="F19" s="3072" t="s">
        <v>3235</v>
      </c>
      <c r="G19" s="3464" t="s">
        <v>3260</v>
      </c>
      <c r="H19" s="3465"/>
      <c r="I19" s="3074">
        <v>2016</v>
      </c>
      <c r="J19" s="3074">
        <v>2.0699999999999998</v>
      </c>
    </row>
    <row r="20" spans="1:10" ht="24.75" thickBot="1">
      <c r="A20" s="3073">
        <v>16</v>
      </c>
      <c r="B20" s="3074">
        <v>11</v>
      </c>
      <c r="C20" s="3074">
        <f t="shared" si="0"/>
        <v>-7.1428571428571425E-2</v>
      </c>
      <c r="D20" s="3072" t="s">
        <v>3261</v>
      </c>
      <c r="E20" s="3072" t="s">
        <v>3234</v>
      </c>
      <c r="F20" s="3072" t="s">
        <v>3235</v>
      </c>
      <c r="G20" s="3464" t="s">
        <v>3262</v>
      </c>
      <c r="H20" s="3465"/>
      <c r="I20" s="3074">
        <v>2016</v>
      </c>
      <c r="J20" s="3074">
        <v>3.19</v>
      </c>
    </row>
    <row r="21" spans="1:10" ht="24.75" thickBot="1">
      <c r="A21" s="3073">
        <v>17</v>
      </c>
      <c r="B21" s="3074">
        <v>11</v>
      </c>
      <c r="C21" s="3074">
        <f t="shared" si="0"/>
        <v>-7.1428571428571425E-2</v>
      </c>
      <c r="D21" s="3072" t="s">
        <v>3263</v>
      </c>
      <c r="E21" s="3072" t="s">
        <v>3234</v>
      </c>
      <c r="F21" s="3072" t="s">
        <v>3235</v>
      </c>
      <c r="G21" s="3464" t="s">
        <v>3264</v>
      </c>
      <c r="H21" s="3465"/>
      <c r="I21" s="3074">
        <v>2016</v>
      </c>
      <c r="J21" s="3074">
        <v>2.78</v>
      </c>
    </row>
    <row r="22" spans="1:10" ht="24.75" thickBot="1">
      <c r="A22" s="3073">
        <v>18</v>
      </c>
      <c r="B22" s="3074">
        <v>11</v>
      </c>
      <c r="C22" s="3074">
        <f t="shared" si="0"/>
        <v>-7.1428571428571425E-2</v>
      </c>
      <c r="D22" s="3072" t="s">
        <v>3265</v>
      </c>
      <c r="E22" s="3072" t="s">
        <v>3234</v>
      </c>
      <c r="F22" s="3072" t="s">
        <v>3235</v>
      </c>
      <c r="G22" s="3464" t="s">
        <v>3266</v>
      </c>
      <c r="H22" s="3465"/>
      <c r="I22" s="3074">
        <v>2016</v>
      </c>
      <c r="J22" s="3074">
        <v>4.5999999999999996</v>
      </c>
    </row>
    <row r="23" spans="1:10" ht="24.75" thickBot="1">
      <c r="A23" s="3073">
        <v>19</v>
      </c>
      <c r="B23" s="3074">
        <v>11</v>
      </c>
      <c r="C23" s="3074">
        <f t="shared" si="0"/>
        <v>-7.1428571428571425E-2</v>
      </c>
      <c r="D23" s="3072" t="s">
        <v>3267</v>
      </c>
      <c r="E23" s="3072" t="s">
        <v>3234</v>
      </c>
      <c r="F23" s="3072" t="s">
        <v>3235</v>
      </c>
      <c r="G23" s="3076"/>
      <c r="H23" s="3074">
        <v>22</v>
      </c>
      <c r="I23" s="3074">
        <v>2016</v>
      </c>
      <c r="J23" s="3074">
        <v>3.27</v>
      </c>
    </row>
    <row r="24" spans="1:10" ht="24.75" thickBot="1">
      <c r="A24" s="3073">
        <v>20</v>
      </c>
      <c r="B24" s="3074">
        <v>11</v>
      </c>
      <c r="C24" s="3074">
        <f t="shared" si="0"/>
        <v>-7.1428571428571425E-2</v>
      </c>
      <c r="D24" s="3072" t="s">
        <v>3268</v>
      </c>
      <c r="E24" s="3072" t="s">
        <v>3234</v>
      </c>
      <c r="F24" s="3072" t="s">
        <v>3235</v>
      </c>
      <c r="G24" s="3464" t="s">
        <v>3269</v>
      </c>
      <c r="H24" s="3465"/>
      <c r="I24" s="3074">
        <v>2016</v>
      </c>
      <c r="J24" s="3074">
        <v>2.61</v>
      </c>
    </row>
    <row r="25" spans="1:10" ht="24.75" thickBot="1">
      <c r="A25" s="3073">
        <v>21</v>
      </c>
      <c r="B25" s="3074">
        <v>11</v>
      </c>
      <c r="C25" s="3074">
        <f t="shared" si="0"/>
        <v>-7.1428571428571425E-2</v>
      </c>
      <c r="D25" s="3072" t="s">
        <v>3270</v>
      </c>
      <c r="E25" s="3072" t="s">
        <v>3234</v>
      </c>
      <c r="F25" s="3072" t="s">
        <v>3235</v>
      </c>
      <c r="G25" s="3464" t="s">
        <v>3271</v>
      </c>
      <c r="H25" s="3465"/>
      <c r="I25" s="3074">
        <v>2016</v>
      </c>
      <c r="J25" s="3074">
        <v>2.29</v>
      </c>
    </row>
    <row r="26" spans="1:10" ht="24.75" thickBot="1">
      <c r="A26" s="3073">
        <v>22</v>
      </c>
      <c r="B26" s="3074">
        <v>11</v>
      </c>
      <c r="C26" s="3074">
        <f t="shared" si="0"/>
        <v>-7.1428571428571425E-2</v>
      </c>
      <c r="D26" s="3072" t="s">
        <v>3272</v>
      </c>
      <c r="E26" s="3072" t="s">
        <v>3234</v>
      </c>
      <c r="F26" s="3072" t="s">
        <v>3235</v>
      </c>
      <c r="G26" s="3464" t="s">
        <v>3271</v>
      </c>
      <c r="H26" s="3465"/>
      <c r="I26" s="3074">
        <v>2016</v>
      </c>
      <c r="J26" s="3074">
        <v>2.29</v>
      </c>
    </row>
    <row r="27" spans="1:10" ht="24.75" thickBot="1">
      <c r="A27" s="3073">
        <v>23</v>
      </c>
      <c r="B27" s="3074">
        <v>11</v>
      </c>
      <c r="C27" s="3074">
        <f t="shared" si="0"/>
        <v>-7.1428571428571425E-2</v>
      </c>
      <c r="D27" s="3072" t="s">
        <v>3273</v>
      </c>
      <c r="E27" s="3072" t="s">
        <v>3234</v>
      </c>
      <c r="F27" s="3072" t="s">
        <v>3235</v>
      </c>
      <c r="G27" s="3464" t="s">
        <v>3271</v>
      </c>
      <c r="H27" s="3465"/>
      <c r="I27" s="3074">
        <v>2016</v>
      </c>
      <c r="J27" s="3074">
        <v>2.29</v>
      </c>
    </row>
    <row r="28" spans="1:10" ht="24.75" thickBot="1">
      <c r="A28" s="3073">
        <v>24</v>
      </c>
      <c r="B28" s="3074">
        <v>11</v>
      </c>
      <c r="C28" s="3074">
        <f t="shared" si="0"/>
        <v>-7.1428571428571425E-2</v>
      </c>
      <c r="D28" s="3072" t="s">
        <v>3274</v>
      </c>
      <c r="E28" s="3072" t="s">
        <v>3234</v>
      </c>
      <c r="F28" s="3072" t="s">
        <v>3235</v>
      </c>
      <c r="G28" s="3464" t="s">
        <v>3275</v>
      </c>
      <c r="H28" s="3465"/>
      <c r="I28" s="3074">
        <v>2016</v>
      </c>
      <c r="J28" s="3074">
        <v>2.68</v>
      </c>
    </row>
    <row r="29" spans="1:10" ht="24.75" thickBot="1">
      <c r="A29" s="3073">
        <v>25</v>
      </c>
      <c r="B29" s="3074">
        <v>11</v>
      </c>
      <c r="C29" s="3074">
        <f t="shared" si="0"/>
        <v>-7.1428571428571425E-2</v>
      </c>
      <c r="D29" s="3072" t="s">
        <v>3276</v>
      </c>
      <c r="E29" s="3072" t="s">
        <v>3234</v>
      </c>
      <c r="F29" s="3072" t="s">
        <v>3235</v>
      </c>
      <c r="G29" s="3464">
        <v>11.5</v>
      </c>
      <c r="H29" s="3465"/>
      <c r="I29" s="3074">
        <v>2016</v>
      </c>
      <c r="J29" s="3074">
        <v>2.3199999999999998</v>
      </c>
    </row>
    <row r="30" spans="1:10" ht="24.75" thickBot="1">
      <c r="A30" s="3073">
        <v>26</v>
      </c>
      <c r="B30" s="3074">
        <v>11</v>
      </c>
      <c r="C30" s="3074">
        <f t="shared" si="0"/>
        <v>-7.1428571428571425E-2</v>
      </c>
      <c r="D30" s="3072" t="s">
        <v>3277</v>
      </c>
      <c r="E30" s="3072" t="s">
        <v>3234</v>
      </c>
      <c r="F30" s="3072" t="s">
        <v>3235</v>
      </c>
      <c r="G30" s="3464">
        <v>11.5</v>
      </c>
      <c r="H30" s="3465"/>
      <c r="I30" s="3074">
        <v>2016</v>
      </c>
      <c r="J30" s="3074">
        <v>2.3199999999999998</v>
      </c>
    </row>
    <row r="31" spans="1:10" ht="24.75" thickBot="1">
      <c r="A31" s="3073">
        <v>27</v>
      </c>
      <c r="B31" s="3074">
        <v>11</v>
      </c>
      <c r="C31" s="3074">
        <f t="shared" si="0"/>
        <v>-7.1428571428571425E-2</v>
      </c>
      <c r="D31" s="3072" t="s">
        <v>3278</v>
      </c>
      <c r="E31" s="3072" t="s">
        <v>3234</v>
      </c>
      <c r="F31" s="3072" t="s">
        <v>3235</v>
      </c>
      <c r="G31" s="3464" t="s">
        <v>3279</v>
      </c>
      <c r="H31" s="3465"/>
      <c r="I31" s="3074">
        <v>2016</v>
      </c>
      <c r="J31" s="3074">
        <v>2.2400000000000002</v>
      </c>
    </row>
    <row r="32" spans="1:10" ht="24.75" thickBot="1">
      <c r="A32" s="3073">
        <v>28</v>
      </c>
      <c r="B32" s="3074">
        <v>11</v>
      </c>
      <c r="C32" s="3074">
        <f t="shared" si="0"/>
        <v>-7.1428571428571425E-2</v>
      </c>
      <c r="D32" s="3072" t="s">
        <v>3280</v>
      </c>
      <c r="E32" s="3072" t="s">
        <v>3234</v>
      </c>
      <c r="F32" s="3072" t="s">
        <v>3235</v>
      </c>
      <c r="G32" s="3464">
        <v>8.9600000000000009</v>
      </c>
      <c r="H32" s="3465"/>
      <c r="I32" s="3074">
        <v>2016</v>
      </c>
      <c r="J32" s="3074">
        <v>1.81</v>
      </c>
    </row>
    <row r="33" spans="1:10" ht="24.75" thickBot="1">
      <c r="A33" s="3073">
        <v>29</v>
      </c>
      <c r="B33" s="3074">
        <v>11</v>
      </c>
      <c r="C33" s="3074">
        <f t="shared" si="0"/>
        <v>-7.1428571428571425E-2</v>
      </c>
      <c r="D33" s="3072" t="s">
        <v>3281</v>
      </c>
      <c r="E33" s="3072" t="s">
        <v>3234</v>
      </c>
      <c r="F33" s="3072" t="s">
        <v>3235</v>
      </c>
      <c r="G33" s="3077">
        <v>11</v>
      </c>
      <c r="H33" s="3074">
        <v>32</v>
      </c>
      <c r="I33" s="3074">
        <v>2016</v>
      </c>
      <c r="J33" s="3074">
        <v>2.2799999999999998</v>
      </c>
    </row>
    <row r="34" spans="1:10" ht="24.75" thickBot="1">
      <c r="A34" s="3073">
        <v>30</v>
      </c>
      <c r="B34" s="3074">
        <v>11</v>
      </c>
      <c r="C34" s="3074">
        <f t="shared" si="0"/>
        <v>-7.1428571428571425E-2</v>
      </c>
      <c r="D34" s="3072" t="s">
        <v>3282</v>
      </c>
      <c r="E34" s="3072" t="s">
        <v>3234</v>
      </c>
      <c r="F34" s="3072" t="s">
        <v>3235</v>
      </c>
      <c r="G34" s="3464" t="s">
        <v>3283</v>
      </c>
      <c r="H34" s="3465"/>
      <c r="I34" s="3074">
        <v>2016</v>
      </c>
      <c r="J34" s="3074">
        <v>2.11</v>
      </c>
    </row>
    <row r="35" spans="1:10" ht="24.75" thickBot="1">
      <c r="A35" s="3073">
        <v>31</v>
      </c>
      <c r="B35" s="3074">
        <v>11</v>
      </c>
      <c r="C35" s="3074">
        <f t="shared" si="0"/>
        <v>-7.1428571428571425E-2</v>
      </c>
      <c r="D35" s="3072" t="s">
        <v>3284</v>
      </c>
      <c r="E35" s="3072" t="s">
        <v>3234</v>
      </c>
      <c r="F35" s="3072" t="s">
        <v>3235</v>
      </c>
      <c r="G35" s="3464">
        <v>10.7</v>
      </c>
      <c r="H35" s="3465"/>
      <c r="I35" s="3074">
        <v>2016</v>
      </c>
      <c r="J35" s="3074">
        <v>2.16</v>
      </c>
    </row>
    <row r="36" spans="1:10" ht="24.75" thickBot="1">
      <c r="A36" s="3073">
        <v>32</v>
      </c>
      <c r="B36" s="3074">
        <v>11</v>
      </c>
      <c r="C36" s="3074">
        <f t="shared" si="0"/>
        <v>-7.1428571428571425E-2</v>
      </c>
      <c r="D36" s="3072" t="s">
        <v>3285</v>
      </c>
      <c r="E36" s="3072" t="s">
        <v>3234</v>
      </c>
      <c r="F36" s="3072" t="s">
        <v>3235</v>
      </c>
      <c r="G36" s="3464">
        <v>8.9600000000000009</v>
      </c>
      <c r="H36" s="3465"/>
      <c r="I36" s="3074">
        <v>2016</v>
      </c>
      <c r="J36" s="3074">
        <v>1.81</v>
      </c>
    </row>
    <row r="37" spans="1:10" ht="24.75" thickBot="1">
      <c r="A37" s="3073">
        <v>33</v>
      </c>
      <c r="B37" s="3074">
        <v>11</v>
      </c>
      <c r="C37" s="3074">
        <f t="shared" ref="C37:C55" si="1">-2/28</f>
        <v>-7.1428571428571425E-2</v>
      </c>
      <c r="D37" s="3072" t="s">
        <v>3286</v>
      </c>
      <c r="E37" s="3072" t="s">
        <v>3234</v>
      </c>
      <c r="F37" s="3072" t="s">
        <v>3235</v>
      </c>
      <c r="G37" s="3464" t="s">
        <v>3287</v>
      </c>
      <c r="H37" s="3465"/>
      <c r="I37" s="3074">
        <v>2016</v>
      </c>
      <c r="J37" s="3074">
        <v>2.2200000000000002</v>
      </c>
    </row>
    <row r="38" spans="1:10" ht="24.75" thickBot="1">
      <c r="A38" s="3073">
        <v>34</v>
      </c>
      <c r="B38" s="3074">
        <v>11</v>
      </c>
      <c r="C38" s="3074">
        <f t="shared" si="1"/>
        <v>-7.1428571428571425E-2</v>
      </c>
      <c r="D38" s="3072" t="s">
        <v>3288</v>
      </c>
      <c r="E38" s="3072" t="s">
        <v>3234</v>
      </c>
      <c r="F38" s="3072" t="s">
        <v>3235</v>
      </c>
      <c r="G38" s="3464" t="s">
        <v>3275</v>
      </c>
      <c r="H38" s="3465"/>
      <c r="I38" s="3074">
        <v>2016</v>
      </c>
      <c r="J38" s="3074">
        <v>2.68</v>
      </c>
    </row>
    <row r="39" spans="1:10" ht="24.75" thickBot="1">
      <c r="A39" s="3073">
        <v>35</v>
      </c>
      <c r="B39" s="3074">
        <v>11</v>
      </c>
      <c r="C39" s="3074">
        <f t="shared" si="1"/>
        <v>-7.1428571428571425E-2</v>
      </c>
      <c r="D39" s="3072" t="s">
        <v>3289</v>
      </c>
      <c r="E39" s="3072" t="s">
        <v>3234</v>
      </c>
      <c r="F39" s="3072" t="s">
        <v>3235</v>
      </c>
      <c r="G39" s="3464" t="s">
        <v>3271</v>
      </c>
      <c r="H39" s="3465"/>
      <c r="I39" s="3074">
        <v>2016</v>
      </c>
      <c r="J39" s="3074">
        <v>2.29</v>
      </c>
    </row>
    <row r="40" spans="1:10" ht="24.75" thickBot="1">
      <c r="A40" s="3073">
        <v>36</v>
      </c>
      <c r="B40" s="3074">
        <v>11</v>
      </c>
      <c r="C40" s="3074">
        <f t="shared" si="1"/>
        <v>-7.1428571428571425E-2</v>
      </c>
      <c r="D40" s="3072" t="s">
        <v>3290</v>
      </c>
      <c r="E40" s="3072" t="s">
        <v>3234</v>
      </c>
      <c r="F40" s="3072" t="s">
        <v>3235</v>
      </c>
      <c r="G40" s="3464" t="s">
        <v>3271</v>
      </c>
      <c r="H40" s="3465"/>
      <c r="I40" s="3074">
        <v>2016</v>
      </c>
      <c r="J40" s="3074">
        <v>2.29</v>
      </c>
    </row>
    <row r="41" spans="1:10" ht="24.75" thickBot="1">
      <c r="A41" s="3073">
        <v>37</v>
      </c>
      <c r="B41" s="3074">
        <v>11</v>
      </c>
      <c r="C41" s="3074">
        <f t="shared" si="1"/>
        <v>-7.1428571428571425E-2</v>
      </c>
      <c r="D41" s="3072" t="s">
        <v>3291</v>
      </c>
      <c r="E41" s="3072" t="s">
        <v>3234</v>
      </c>
      <c r="F41" s="3072" t="s">
        <v>3235</v>
      </c>
      <c r="G41" s="3464" t="s">
        <v>3271</v>
      </c>
      <c r="H41" s="3465"/>
      <c r="I41" s="3074">
        <v>2016</v>
      </c>
      <c r="J41" s="3074">
        <v>2.29</v>
      </c>
    </row>
    <row r="42" spans="1:10" ht="24.75" thickBot="1">
      <c r="A42" s="3073">
        <v>38</v>
      </c>
      <c r="B42" s="3074">
        <v>11</v>
      </c>
      <c r="C42" s="3074">
        <f t="shared" si="1"/>
        <v>-7.1428571428571425E-2</v>
      </c>
      <c r="D42" s="3072" t="s">
        <v>3292</v>
      </c>
      <c r="E42" s="3072" t="s">
        <v>3234</v>
      </c>
      <c r="F42" s="3072" t="s">
        <v>3235</v>
      </c>
      <c r="G42" s="3464" t="s">
        <v>3269</v>
      </c>
      <c r="H42" s="3465"/>
      <c r="I42" s="3074">
        <v>2016</v>
      </c>
      <c r="J42" s="3074">
        <v>2.61</v>
      </c>
    </row>
    <row r="43" spans="1:10" ht="24.75" thickBot="1">
      <c r="A43" s="3073">
        <v>39</v>
      </c>
      <c r="B43" s="3074">
        <v>11</v>
      </c>
      <c r="C43" s="3074">
        <f t="shared" si="1"/>
        <v>-7.1428571428571425E-2</v>
      </c>
      <c r="D43" s="3072" t="s">
        <v>3293</v>
      </c>
      <c r="E43" s="3072" t="s">
        <v>3234</v>
      </c>
      <c r="F43" s="3072" t="s">
        <v>3235</v>
      </c>
      <c r="G43" s="3464" t="s">
        <v>3294</v>
      </c>
      <c r="H43" s="3465"/>
      <c r="I43" s="3074">
        <v>2016</v>
      </c>
      <c r="J43" s="3074">
        <v>3.27</v>
      </c>
    </row>
    <row r="44" spans="1:10" ht="24.75" thickBot="1">
      <c r="A44" s="3073">
        <v>40</v>
      </c>
      <c r="B44" s="3074">
        <v>11</v>
      </c>
      <c r="C44" s="3074">
        <f t="shared" si="1"/>
        <v>-7.1428571428571425E-2</v>
      </c>
      <c r="D44" s="3072" t="s">
        <v>3295</v>
      </c>
      <c r="E44" s="3072" t="s">
        <v>3234</v>
      </c>
      <c r="F44" s="3072" t="s">
        <v>3235</v>
      </c>
      <c r="G44" s="3464" t="s">
        <v>3266</v>
      </c>
      <c r="H44" s="3465"/>
      <c r="I44" s="3074">
        <v>2016</v>
      </c>
      <c r="J44" s="3074">
        <v>4.5999999999999996</v>
      </c>
    </row>
    <row r="45" spans="1:10" ht="24.75" thickBot="1">
      <c r="A45" s="3073">
        <v>41</v>
      </c>
      <c r="B45" s="3074">
        <v>11</v>
      </c>
      <c r="C45" s="3074">
        <f t="shared" si="1"/>
        <v>-7.1428571428571425E-2</v>
      </c>
      <c r="D45" s="3072" t="s">
        <v>3296</v>
      </c>
      <c r="E45" s="3072" t="s">
        <v>3234</v>
      </c>
      <c r="F45" s="3072" t="s">
        <v>3235</v>
      </c>
      <c r="G45" s="3464" t="s">
        <v>3264</v>
      </c>
      <c r="H45" s="3465"/>
      <c r="I45" s="3074">
        <v>2016</v>
      </c>
      <c r="J45" s="3074">
        <v>2.78</v>
      </c>
    </row>
    <row r="46" spans="1:10" ht="24.75" thickBot="1">
      <c r="A46" s="3073">
        <v>42</v>
      </c>
      <c r="B46" s="3074">
        <v>11</v>
      </c>
      <c r="C46" s="3074">
        <f t="shared" si="1"/>
        <v>-7.1428571428571425E-2</v>
      </c>
      <c r="D46" s="3072" t="s">
        <v>3297</v>
      </c>
      <c r="E46" s="3072" t="s">
        <v>3234</v>
      </c>
      <c r="F46" s="3072" t="s">
        <v>3235</v>
      </c>
      <c r="G46" s="3464" t="s">
        <v>3262</v>
      </c>
      <c r="H46" s="3465"/>
      <c r="I46" s="3074">
        <v>2016</v>
      </c>
      <c r="J46" s="3074">
        <v>3.19</v>
      </c>
    </row>
    <row r="47" spans="1:10" ht="24.75" thickBot="1">
      <c r="A47" s="3073">
        <v>43</v>
      </c>
      <c r="B47" s="3074">
        <v>11</v>
      </c>
      <c r="C47" s="3074">
        <f t="shared" si="1"/>
        <v>-7.1428571428571425E-2</v>
      </c>
      <c r="D47" s="3072" t="s">
        <v>3298</v>
      </c>
      <c r="E47" s="3072" t="s">
        <v>3234</v>
      </c>
      <c r="F47" s="3072" t="s">
        <v>3235</v>
      </c>
      <c r="G47" s="3464" t="s">
        <v>3260</v>
      </c>
      <c r="H47" s="3465"/>
      <c r="I47" s="3074">
        <v>2016</v>
      </c>
      <c r="J47" s="3074">
        <v>2.0699999999999998</v>
      </c>
    </row>
    <row r="48" spans="1:10" ht="24.75" thickBot="1">
      <c r="A48" s="3073">
        <v>44</v>
      </c>
      <c r="B48" s="3074">
        <v>11</v>
      </c>
      <c r="C48" s="3074">
        <f t="shared" si="1"/>
        <v>-7.1428571428571425E-2</v>
      </c>
      <c r="D48" s="3072" t="s">
        <v>3299</v>
      </c>
      <c r="E48" s="3072" t="s">
        <v>3234</v>
      </c>
      <c r="F48" s="3072" t="s">
        <v>3235</v>
      </c>
      <c r="G48" s="3464" t="s">
        <v>3258</v>
      </c>
      <c r="H48" s="3465"/>
      <c r="I48" s="3074">
        <v>2016</v>
      </c>
      <c r="J48" s="3074">
        <v>2.0299999999999998</v>
      </c>
    </row>
    <row r="49" spans="1:10" ht="24.75" thickBot="1">
      <c r="A49" s="3073">
        <v>45</v>
      </c>
      <c r="B49" s="3074">
        <v>11</v>
      </c>
      <c r="C49" s="3074">
        <f t="shared" si="1"/>
        <v>-7.1428571428571425E-2</v>
      </c>
      <c r="D49" s="3072" t="s">
        <v>3300</v>
      </c>
      <c r="E49" s="3072" t="s">
        <v>3234</v>
      </c>
      <c r="F49" s="3072" t="s">
        <v>3235</v>
      </c>
      <c r="G49" s="3464" t="s">
        <v>3256</v>
      </c>
      <c r="H49" s="3465"/>
      <c r="I49" s="3074">
        <v>2016</v>
      </c>
      <c r="J49" s="3074">
        <v>3.92</v>
      </c>
    </row>
    <row r="50" spans="1:10" ht="24.75" thickBot="1">
      <c r="A50" s="3073">
        <v>46</v>
      </c>
      <c r="B50" s="3074">
        <v>11</v>
      </c>
      <c r="C50" s="3074">
        <f t="shared" si="1"/>
        <v>-7.1428571428571425E-2</v>
      </c>
      <c r="D50" s="3072" t="s">
        <v>3301</v>
      </c>
      <c r="E50" s="3072" t="s">
        <v>3234</v>
      </c>
      <c r="F50" s="3072" t="s">
        <v>3235</v>
      </c>
      <c r="G50" s="3077">
        <v>21</v>
      </c>
      <c r="H50" s="3074">
        <v>49</v>
      </c>
      <c r="I50" s="3074">
        <v>2016</v>
      </c>
      <c r="J50" s="3074">
        <v>4.33</v>
      </c>
    </row>
    <row r="51" spans="1:10" ht="24.75" thickBot="1">
      <c r="A51" s="3073">
        <v>47</v>
      </c>
      <c r="B51" s="3074">
        <v>11</v>
      </c>
      <c r="C51" s="3074">
        <f t="shared" si="1"/>
        <v>-7.1428571428571425E-2</v>
      </c>
      <c r="D51" s="3072" t="s">
        <v>3302</v>
      </c>
      <c r="E51" s="3072" t="s">
        <v>3234</v>
      </c>
      <c r="F51" s="3072" t="s">
        <v>3235</v>
      </c>
      <c r="G51" s="3464" t="s">
        <v>3253</v>
      </c>
      <c r="H51" s="3465"/>
      <c r="I51" s="3074">
        <v>2016</v>
      </c>
      <c r="J51" s="3074">
        <v>6.06</v>
      </c>
    </row>
    <row r="52" spans="1:10" ht="24.75" thickBot="1">
      <c r="A52" s="3073">
        <v>48</v>
      </c>
      <c r="B52" s="3074">
        <v>11</v>
      </c>
      <c r="C52" s="3074">
        <f t="shared" si="1"/>
        <v>-7.1428571428571425E-2</v>
      </c>
      <c r="D52" s="3072" t="s">
        <v>3303</v>
      </c>
      <c r="E52" s="3072" t="s">
        <v>3234</v>
      </c>
      <c r="F52" s="3072" t="s">
        <v>3235</v>
      </c>
      <c r="G52" s="3464" t="s">
        <v>3250</v>
      </c>
      <c r="H52" s="3465"/>
      <c r="I52" s="3074">
        <v>2016</v>
      </c>
      <c r="J52" s="3074">
        <v>2.2599999999999998</v>
      </c>
    </row>
    <row r="53" spans="1:10" ht="24.75" thickBot="1">
      <c r="A53" s="3073">
        <v>49</v>
      </c>
      <c r="B53" s="3074">
        <v>11</v>
      </c>
      <c r="C53" s="3074">
        <f t="shared" si="1"/>
        <v>-7.1428571428571425E-2</v>
      </c>
      <c r="D53" s="3072" t="s">
        <v>3304</v>
      </c>
      <c r="E53" s="3072" t="s">
        <v>3234</v>
      </c>
      <c r="F53" s="3072" t="s">
        <v>3235</v>
      </c>
      <c r="G53" s="3464" t="s">
        <v>3250</v>
      </c>
      <c r="H53" s="3465"/>
      <c r="I53" s="3074">
        <v>2016</v>
      </c>
      <c r="J53" s="3074">
        <v>2.2599999999999998</v>
      </c>
    </row>
    <row r="54" spans="1:10" ht="24.75" thickBot="1">
      <c r="A54" s="3073">
        <v>50</v>
      </c>
      <c r="B54" s="3074">
        <v>11</v>
      </c>
      <c r="C54" s="3074">
        <f t="shared" si="1"/>
        <v>-7.1428571428571425E-2</v>
      </c>
      <c r="D54" s="3072" t="s">
        <v>3305</v>
      </c>
      <c r="E54" s="3072" t="s">
        <v>3234</v>
      </c>
      <c r="F54" s="3072" t="s">
        <v>3235</v>
      </c>
      <c r="G54" s="3464" t="s">
        <v>3247</v>
      </c>
      <c r="H54" s="3465"/>
      <c r="I54" s="3074">
        <v>2016</v>
      </c>
      <c r="J54" s="3074">
        <v>2.62</v>
      </c>
    </row>
    <row r="55" spans="1:10" ht="24.75" thickBot="1">
      <c r="A55" s="3073">
        <v>51</v>
      </c>
      <c r="B55" s="3074">
        <v>11</v>
      </c>
      <c r="C55" s="3074">
        <f t="shared" si="1"/>
        <v>-7.1428571428571425E-2</v>
      </c>
      <c r="D55" s="3072" t="s">
        <v>3306</v>
      </c>
      <c r="E55" s="3072" t="s">
        <v>3234</v>
      </c>
      <c r="F55" s="3072" t="s">
        <v>3235</v>
      </c>
      <c r="G55" s="3464" t="s">
        <v>3247</v>
      </c>
      <c r="H55" s="3465"/>
      <c r="I55" s="3074">
        <v>2016</v>
      </c>
      <c r="J55" s="3074">
        <v>2.62</v>
      </c>
    </row>
    <row r="56" spans="1:10">
      <c r="A56" s="3070"/>
    </row>
    <row r="58" spans="1:10" ht="14.25" thickBot="1">
      <c r="A58" s="3078"/>
    </row>
    <row r="59" spans="1:10">
      <c r="A59" s="3458" t="s">
        <v>3223</v>
      </c>
      <c r="B59" s="3458" t="s">
        <v>3224</v>
      </c>
      <c r="C59" s="3071" t="s">
        <v>3225</v>
      </c>
      <c r="D59" s="3458" t="s">
        <v>3227</v>
      </c>
      <c r="E59" s="3458" t="s">
        <v>1341</v>
      </c>
      <c r="F59" s="3458" t="s">
        <v>3228</v>
      </c>
      <c r="G59" s="3460" t="s">
        <v>3229</v>
      </c>
      <c r="H59" s="3461"/>
      <c r="I59" s="3458" t="s">
        <v>3231</v>
      </c>
      <c r="J59" s="3458" t="s">
        <v>3232</v>
      </c>
    </row>
    <row r="60" spans="1:10" ht="14.25" thickBot="1">
      <c r="A60" s="3459"/>
      <c r="B60" s="3459"/>
      <c r="C60" s="3072" t="s">
        <v>3226</v>
      </c>
      <c r="D60" s="3459"/>
      <c r="E60" s="3459"/>
      <c r="F60" s="3459"/>
      <c r="G60" s="3462" t="s">
        <v>3230</v>
      </c>
      <c r="H60" s="3463"/>
      <c r="I60" s="3459"/>
      <c r="J60" s="3459"/>
    </row>
    <row r="61" spans="1:10" ht="24.75" thickBot="1">
      <c r="A61" s="3073">
        <v>52</v>
      </c>
      <c r="B61" s="3074">
        <v>11</v>
      </c>
      <c r="C61" s="3074">
        <f t="shared" ref="C61:C66" si="2">-2/28</f>
        <v>-7.1428571428571425E-2</v>
      </c>
      <c r="D61" s="3072" t="s">
        <v>3307</v>
      </c>
      <c r="E61" s="3072" t="s">
        <v>3234</v>
      </c>
      <c r="F61" s="3072" t="s">
        <v>3235</v>
      </c>
      <c r="G61" s="3464" t="s">
        <v>3245</v>
      </c>
      <c r="H61" s="3465"/>
      <c r="I61" s="3074">
        <v>2016</v>
      </c>
      <c r="J61" s="3074">
        <v>2.8</v>
      </c>
    </row>
    <row r="62" spans="1:10" ht="24.75" thickBot="1">
      <c r="A62" s="3073">
        <v>53</v>
      </c>
      <c r="B62" s="3074">
        <v>11</v>
      </c>
      <c r="C62" s="3074">
        <f t="shared" si="2"/>
        <v>-7.1428571428571425E-2</v>
      </c>
      <c r="D62" s="3072" t="s">
        <v>3308</v>
      </c>
      <c r="E62" s="3072" t="s">
        <v>3234</v>
      </c>
      <c r="F62" s="3072" t="s">
        <v>3235</v>
      </c>
      <c r="G62" s="3076"/>
      <c r="H62" s="3074">
        <v>51</v>
      </c>
      <c r="I62" s="3074">
        <v>2016</v>
      </c>
      <c r="J62" s="3074">
        <v>2.52</v>
      </c>
    </row>
    <row r="63" spans="1:10" ht="24.75" thickBot="1">
      <c r="A63" s="3073">
        <v>54</v>
      </c>
      <c r="B63" s="3074">
        <v>11</v>
      </c>
      <c r="C63" s="3074">
        <f t="shared" si="2"/>
        <v>-7.1428571428571425E-2</v>
      </c>
      <c r="D63" s="3072" t="s">
        <v>3309</v>
      </c>
      <c r="E63" s="3072" t="s">
        <v>3234</v>
      </c>
      <c r="F63" s="3072" t="s">
        <v>3235</v>
      </c>
      <c r="G63" s="3464" t="s">
        <v>3241</v>
      </c>
      <c r="H63" s="3465"/>
      <c r="I63" s="3074">
        <v>2016</v>
      </c>
      <c r="J63" s="3074">
        <v>2.41</v>
      </c>
    </row>
    <row r="64" spans="1:10" ht="24.75" thickBot="1">
      <c r="A64" s="3073">
        <v>55</v>
      </c>
      <c r="B64" s="3074">
        <v>11</v>
      </c>
      <c r="C64" s="3074">
        <f t="shared" si="2"/>
        <v>-7.1428571428571425E-2</v>
      </c>
      <c r="D64" s="3072" t="s">
        <v>3310</v>
      </c>
      <c r="E64" s="3072" t="s">
        <v>3234</v>
      </c>
      <c r="F64" s="3072" t="s">
        <v>3235</v>
      </c>
      <c r="G64" s="3464">
        <v>23.5</v>
      </c>
      <c r="H64" s="3465"/>
      <c r="I64" s="3074">
        <v>2016</v>
      </c>
      <c r="J64" s="3074">
        <v>4.74</v>
      </c>
    </row>
    <row r="65" spans="1:10" ht="24.75" thickBot="1">
      <c r="A65" s="3073">
        <v>56</v>
      </c>
      <c r="B65" s="3074">
        <v>11</v>
      </c>
      <c r="C65" s="3074">
        <f t="shared" si="2"/>
        <v>-7.1428571428571425E-2</v>
      </c>
      <c r="D65" s="3072" t="s">
        <v>3311</v>
      </c>
      <c r="E65" s="3072" t="s">
        <v>3234</v>
      </c>
      <c r="F65" s="3072" t="s">
        <v>3235</v>
      </c>
      <c r="G65" s="3464" t="s">
        <v>3312</v>
      </c>
      <c r="H65" s="3465"/>
      <c r="I65" s="3074">
        <v>2016</v>
      </c>
      <c r="J65" s="3074">
        <v>3.3</v>
      </c>
    </row>
    <row r="66" spans="1:10" ht="24.75" thickBot="1">
      <c r="A66" s="3073">
        <v>57</v>
      </c>
      <c r="B66" s="3074">
        <v>11</v>
      </c>
      <c r="C66" s="3074">
        <f t="shared" si="2"/>
        <v>-7.1428571428571425E-2</v>
      </c>
      <c r="D66" s="3072" t="s">
        <v>3313</v>
      </c>
      <c r="E66" s="3072" t="s">
        <v>3234</v>
      </c>
      <c r="F66" s="3072" t="s">
        <v>3235</v>
      </c>
      <c r="G66" s="3464" t="s">
        <v>3236</v>
      </c>
      <c r="H66" s="3465"/>
      <c r="I66" s="3074">
        <v>2016</v>
      </c>
      <c r="J66" s="3074">
        <v>3.22</v>
      </c>
    </row>
    <row r="67" spans="1:10" ht="24.75" thickBot="1">
      <c r="A67" s="3073">
        <v>58</v>
      </c>
      <c r="B67" s="3074">
        <v>11</v>
      </c>
      <c r="C67" s="3074">
        <f t="shared" ref="C67:C110" si="3">-1/28</f>
        <v>-3.5714285714285712E-2</v>
      </c>
      <c r="D67" s="3072" t="s">
        <v>3314</v>
      </c>
      <c r="E67" s="3072" t="s">
        <v>3234</v>
      </c>
      <c r="F67" s="3072" t="s">
        <v>3235</v>
      </c>
      <c r="G67" s="3464">
        <v>23.5</v>
      </c>
      <c r="H67" s="3465"/>
      <c r="I67" s="3074">
        <v>2016</v>
      </c>
      <c r="J67" s="3074">
        <v>4.74</v>
      </c>
    </row>
    <row r="68" spans="1:10" ht="24.75" thickBot="1">
      <c r="A68" s="3073">
        <v>59</v>
      </c>
      <c r="B68" s="3074">
        <v>11</v>
      </c>
      <c r="C68" s="3074">
        <f t="shared" si="3"/>
        <v>-3.5714285714285712E-2</v>
      </c>
      <c r="D68" s="3072" t="s">
        <v>3315</v>
      </c>
      <c r="E68" s="3072" t="s">
        <v>3234</v>
      </c>
      <c r="F68" s="3072" t="s">
        <v>3235</v>
      </c>
      <c r="G68" s="3464" t="s">
        <v>3241</v>
      </c>
      <c r="H68" s="3465"/>
      <c r="I68" s="3074">
        <v>2016</v>
      </c>
      <c r="J68" s="3074">
        <v>2.41</v>
      </c>
    </row>
    <row r="69" spans="1:10" ht="24.75" thickBot="1">
      <c r="A69" s="3073">
        <v>60</v>
      </c>
      <c r="B69" s="3074">
        <v>11</v>
      </c>
      <c r="C69" s="3074">
        <f t="shared" si="3"/>
        <v>-3.5714285714285712E-2</v>
      </c>
      <c r="D69" s="3072" t="s">
        <v>3316</v>
      </c>
      <c r="E69" s="3072" t="s">
        <v>3234</v>
      </c>
      <c r="F69" s="3072" t="s">
        <v>3235</v>
      </c>
      <c r="G69" s="3464" t="s">
        <v>3243</v>
      </c>
      <c r="H69" s="3465"/>
      <c r="I69" s="3074">
        <v>2016</v>
      </c>
      <c r="J69" s="3074">
        <v>2.52</v>
      </c>
    </row>
    <row r="70" spans="1:10" ht="24.75" thickBot="1">
      <c r="A70" s="3073">
        <v>61</v>
      </c>
      <c r="B70" s="3074">
        <v>11</v>
      </c>
      <c r="C70" s="3074">
        <f t="shared" si="3"/>
        <v>-3.5714285714285712E-2</v>
      </c>
      <c r="D70" s="3072" t="s">
        <v>3317</v>
      </c>
      <c r="E70" s="3072" t="s">
        <v>3234</v>
      </c>
      <c r="F70" s="3072" t="s">
        <v>3235</v>
      </c>
      <c r="G70" s="3464" t="s">
        <v>3245</v>
      </c>
      <c r="H70" s="3465"/>
      <c r="I70" s="3074">
        <v>2016</v>
      </c>
      <c r="J70" s="3074">
        <v>2.8</v>
      </c>
    </row>
    <row r="71" spans="1:10" ht="24.75" thickBot="1">
      <c r="A71" s="3073">
        <v>62</v>
      </c>
      <c r="B71" s="3074">
        <v>11</v>
      </c>
      <c r="C71" s="3074">
        <f t="shared" si="3"/>
        <v>-3.5714285714285712E-2</v>
      </c>
      <c r="D71" s="3072" t="s">
        <v>3318</v>
      </c>
      <c r="E71" s="3072" t="s">
        <v>3234</v>
      </c>
      <c r="F71" s="3072" t="s">
        <v>3235</v>
      </c>
      <c r="G71" s="3464" t="s">
        <v>3247</v>
      </c>
      <c r="H71" s="3465"/>
      <c r="I71" s="3074">
        <v>2016</v>
      </c>
      <c r="J71" s="3074">
        <v>2.62</v>
      </c>
    </row>
    <row r="72" spans="1:10" ht="24.75" thickBot="1">
      <c r="A72" s="3073">
        <v>63</v>
      </c>
      <c r="B72" s="3074">
        <v>11</v>
      </c>
      <c r="C72" s="3074">
        <f t="shared" si="3"/>
        <v>-3.5714285714285712E-2</v>
      </c>
      <c r="D72" s="3072" t="s">
        <v>3319</v>
      </c>
      <c r="E72" s="3072" t="s">
        <v>3234</v>
      </c>
      <c r="F72" s="3072" t="s">
        <v>3235</v>
      </c>
      <c r="G72" s="3076"/>
      <c r="H72" s="3074">
        <v>2</v>
      </c>
      <c r="I72" s="3074">
        <v>2016</v>
      </c>
      <c r="J72" s="3074">
        <v>2.62</v>
      </c>
    </row>
    <row r="73" spans="1:10" ht="24.75" thickBot="1">
      <c r="A73" s="3073">
        <v>64</v>
      </c>
      <c r="B73" s="3074">
        <v>11</v>
      </c>
      <c r="C73" s="3074">
        <f t="shared" si="3"/>
        <v>-3.5714285714285712E-2</v>
      </c>
      <c r="D73" s="3072" t="s">
        <v>3320</v>
      </c>
      <c r="E73" s="3072" t="s">
        <v>3234</v>
      </c>
      <c r="F73" s="3072" t="s">
        <v>3235</v>
      </c>
      <c r="G73" s="3464" t="s">
        <v>3250</v>
      </c>
      <c r="H73" s="3465"/>
      <c r="I73" s="3074">
        <v>2016</v>
      </c>
      <c r="J73" s="3074">
        <v>2.2599999999999998</v>
      </c>
    </row>
    <row r="74" spans="1:10" ht="24.75" thickBot="1">
      <c r="A74" s="3073">
        <v>65</v>
      </c>
      <c r="B74" s="3074">
        <v>11</v>
      </c>
      <c r="C74" s="3074">
        <f t="shared" si="3"/>
        <v>-3.5714285714285712E-2</v>
      </c>
      <c r="D74" s="3072" t="s">
        <v>3321</v>
      </c>
      <c r="E74" s="3072" t="s">
        <v>3234</v>
      </c>
      <c r="F74" s="3072" t="s">
        <v>3235</v>
      </c>
      <c r="G74" s="3464" t="s">
        <v>3250</v>
      </c>
      <c r="H74" s="3465"/>
      <c r="I74" s="3074">
        <v>2016</v>
      </c>
      <c r="J74" s="3074">
        <v>2.2599999999999998</v>
      </c>
    </row>
    <row r="75" spans="1:10" ht="24.75" thickBot="1">
      <c r="A75" s="3073">
        <v>66</v>
      </c>
      <c r="B75" s="3074">
        <v>11</v>
      </c>
      <c r="C75" s="3074">
        <f t="shared" si="3"/>
        <v>-3.5714285714285712E-2</v>
      </c>
      <c r="D75" s="3072" t="s">
        <v>3322</v>
      </c>
      <c r="E75" s="3072" t="s">
        <v>3234</v>
      </c>
      <c r="F75" s="3072" t="s">
        <v>3235</v>
      </c>
      <c r="G75" s="3464" t="s">
        <v>3253</v>
      </c>
      <c r="H75" s="3465"/>
      <c r="I75" s="3074">
        <v>2016</v>
      </c>
      <c r="J75" s="3074">
        <v>6.06</v>
      </c>
    </row>
    <row r="76" spans="1:10" ht="24.75" thickBot="1">
      <c r="A76" s="3073">
        <v>67</v>
      </c>
      <c r="B76" s="3074">
        <v>11</v>
      </c>
      <c r="C76" s="3074">
        <f t="shared" si="3"/>
        <v>-3.5714285714285712E-2</v>
      </c>
      <c r="D76" s="3072" t="s">
        <v>3323</v>
      </c>
      <c r="E76" s="3072" t="s">
        <v>3234</v>
      </c>
      <c r="F76" s="3072" t="s">
        <v>3235</v>
      </c>
      <c r="G76" s="3464" t="s">
        <v>3324</v>
      </c>
      <c r="H76" s="3465"/>
      <c r="I76" s="3074">
        <v>2016</v>
      </c>
      <c r="J76" s="3074">
        <v>4.33</v>
      </c>
    </row>
    <row r="77" spans="1:10" ht="24.75" thickBot="1">
      <c r="A77" s="3073">
        <v>68</v>
      </c>
      <c r="B77" s="3074">
        <v>11</v>
      </c>
      <c r="C77" s="3074">
        <f t="shared" si="3"/>
        <v>-3.5714285714285712E-2</v>
      </c>
      <c r="D77" s="3072" t="s">
        <v>3325</v>
      </c>
      <c r="E77" s="3072" t="s">
        <v>3234</v>
      </c>
      <c r="F77" s="3072" t="s">
        <v>3235</v>
      </c>
      <c r="G77" s="3464" t="s">
        <v>3256</v>
      </c>
      <c r="H77" s="3465"/>
      <c r="I77" s="3074">
        <v>2016</v>
      </c>
      <c r="J77" s="3074">
        <v>3.92</v>
      </c>
    </row>
    <row r="78" spans="1:10" ht="24.75" thickBot="1">
      <c r="A78" s="3073">
        <v>69</v>
      </c>
      <c r="B78" s="3074">
        <v>11</v>
      </c>
      <c r="C78" s="3074">
        <f t="shared" si="3"/>
        <v>-3.5714285714285712E-2</v>
      </c>
      <c r="D78" s="3072" t="s">
        <v>3326</v>
      </c>
      <c r="E78" s="3072" t="s">
        <v>3234</v>
      </c>
      <c r="F78" s="3072" t="s">
        <v>3235</v>
      </c>
      <c r="G78" s="3464" t="s">
        <v>3258</v>
      </c>
      <c r="H78" s="3465"/>
      <c r="I78" s="3074">
        <v>2016</v>
      </c>
      <c r="J78" s="3074">
        <v>2.0299999999999998</v>
      </c>
    </row>
    <row r="79" spans="1:10" ht="24.75" thickBot="1">
      <c r="A79" s="3073">
        <v>70</v>
      </c>
      <c r="B79" s="3074">
        <v>11</v>
      </c>
      <c r="C79" s="3074">
        <f t="shared" si="3"/>
        <v>-3.5714285714285712E-2</v>
      </c>
      <c r="D79" s="3072" t="s">
        <v>3327</v>
      </c>
      <c r="E79" s="3072" t="s">
        <v>3234</v>
      </c>
      <c r="F79" s="3072" t="s">
        <v>3235</v>
      </c>
      <c r="G79" s="3464" t="s">
        <v>3260</v>
      </c>
      <c r="H79" s="3465"/>
      <c r="I79" s="3074">
        <v>2016</v>
      </c>
      <c r="J79" s="3074">
        <v>2.0699999999999998</v>
      </c>
    </row>
    <row r="80" spans="1:10" ht="24.75" thickBot="1">
      <c r="A80" s="3073">
        <v>71</v>
      </c>
      <c r="B80" s="3074">
        <v>11</v>
      </c>
      <c r="C80" s="3074">
        <f t="shared" si="3"/>
        <v>-3.5714285714285712E-2</v>
      </c>
      <c r="D80" s="3072" t="s">
        <v>3328</v>
      </c>
      <c r="E80" s="3072" t="s">
        <v>3234</v>
      </c>
      <c r="F80" s="3072" t="s">
        <v>3235</v>
      </c>
      <c r="G80" s="3464" t="s">
        <v>3262</v>
      </c>
      <c r="H80" s="3465"/>
      <c r="I80" s="3074">
        <v>2016</v>
      </c>
      <c r="J80" s="3074">
        <v>3.19</v>
      </c>
    </row>
    <row r="81" spans="1:10" ht="24.75" thickBot="1">
      <c r="A81" s="3073">
        <v>72</v>
      </c>
      <c r="B81" s="3074">
        <v>11</v>
      </c>
      <c r="C81" s="3074">
        <f t="shared" si="3"/>
        <v>-3.5714285714285712E-2</v>
      </c>
      <c r="D81" s="3072" t="s">
        <v>3329</v>
      </c>
      <c r="E81" s="3072" t="s">
        <v>3234</v>
      </c>
      <c r="F81" s="3072" t="s">
        <v>3235</v>
      </c>
      <c r="G81" s="3464" t="s">
        <v>3264</v>
      </c>
      <c r="H81" s="3465"/>
      <c r="I81" s="3074">
        <v>2016</v>
      </c>
      <c r="J81" s="3074">
        <v>2.78</v>
      </c>
    </row>
    <row r="82" spans="1:10" ht="24.75" thickBot="1">
      <c r="A82" s="3073">
        <v>73</v>
      </c>
      <c r="B82" s="3074">
        <v>11</v>
      </c>
      <c r="C82" s="3074">
        <f t="shared" si="3"/>
        <v>-3.5714285714285712E-2</v>
      </c>
      <c r="D82" s="3072" t="s">
        <v>3330</v>
      </c>
      <c r="E82" s="3072" t="s">
        <v>3234</v>
      </c>
      <c r="F82" s="3072" t="s">
        <v>3235</v>
      </c>
      <c r="G82" s="3464" t="s">
        <v>3266</v>
      </c>
      <c r="H82" s="3465"/>
      <c r="I82" s="3074">
        <v>2016</v>
      </c>
      <c r="J82" s="3074">
        <v>4.5999999999999996</v>
      </c>
    </row>
    <row r="83" spans="1:10" ht="24.75" thickBot="1">
      <c r="A83" s="3073">
        <v>74</v>
      </c>
      <c r="B83" s="3074">
        <v>11</v>
      </c>
      <c r="C83" s="3074">
        <f t="shared" si="3"/>
        <v>-3.5714285714285712E-2</v>
      </c>
      <c r="D83" s="3072" t="s">
        <v>3331</v>
      </c>
      <c r="E83" s="3072" t="s">
        <v>3234</v>
      </c>
      <c r="F83" s="3072" t="s">
        <v>3235</v>
      </c>
      <c r="G83" s="3464" t="s">
        <v>3294</v>
      </c>
      <c r="H83" s="3465"/>
      <c r="I83" s="3074">
        <v>2016</v>
      </c>
      <c r="J83" s="3074">
        <v>3.27</v>
      </c>
    </row>
    <row r="84" spans="1:10" ht="24.75" thickBot="1">
      <c r="A84" s="3073">
        <v>75</v>
      </c>
      <c r="B84" s="3074">
        <v>11</v>
      </c>
      <c r="C84" s="3074">
        <f t="shared" si="3"/>
        <v>-3.5714285714285712E-2</v>
      </c>
      <c r="D84" s="3072" t="s">
        <v>3332</v>
      </c>
      <c r="E84" s="3072" t="s">
        <v>3234</v>
      </c>
      <c r="F84" s="3072" t="s">
        <v>3235</v>
      </c>
      <c r="G84" s="3464" t="s">
        <v>3333</v>
      </c>
      <c r="H84" s="3465"/>
      <c r="I84" s="3074">
        <v>2016</v>
      </c>
      <c r="J84" s="3074">
        <v>2.4</v>
      </c>
    </row>
    <row r="85" spans="1:10" ht="24.75" thickBot="1">
      <c r="A85" s="3073">
        <v>76</v>
      </c>
      <c r="B85" s="3074">
        <v>11</v>
      </c>
      <c r="C85" s="3074">
        <f t="shared" si="3"/>
        <v>-3.5714285714285712E-2</v>
      </c>
      <c r="D85" s="3072" t="s">
        <v>3334</v>
      </c>
      <c r="E85" s="3072" t="s">
        <v>3234</v>
      </c>
      <c r="F85" s="3072" t="s">
        <v>3235</v>
      </c>
      <c r="G85" s="3464" t="s">
        <v>3275</v>
      </c>
      <c r="H85" s="3465"/>
      <c r="I85" s="3074">
        <v>2016</v>
      </c>
      <c r="J85" s="3074">
        <v>2.68</v>
      </c>
    </row>
    <row r="86" spans="1:10" ht="24.75" thickBot="1">
      <c r="A86" s="3073">
        <v>77</v>
      </c>
      <c r="B86" s="3074">
        <v>11</v>
      </c>
      <c r="C86" s="3074">
        <f t="shared" si="3"/>
        <v>-3.5714285714285712E-2</v>
      </c>
      <c r="D86" s="3072" t="s">
        <v>3335</v>
      </c>
      <c r="E86" s="3072" t="s">
        <v>3234</v>
      </c>
      <c r="F86" s="3072" t="s">
        <v>3235</v>
      </c>
      <c r="G86" s="3464" t="s">
        <v>3279</v>
      </c>
      <c r="H86" s="3465"/>
      <c r="I86" s="3074">
        <v>2016</v>
      </c>
      <c r="J86" s="3074">
        <v>2.2400000000000002</v>
      </c>
    </row>
    <row r="87" spans="1:10" ht="24.75" thickBot="1">
      <c r="A87" s="3073">
        <v>78</v>
      </c>
      <c r="B87" s="3074">
        <v>11</v>
      </c>
      <c r="C87" s="3074">
        <f t="shared" si="3"/>
        <v>-3.5714285714285712E-2</v>
      </c>
      <c r="D87" s="3072" t="s">
        <v>3336</v>
      </c>
      <c r="E87" s="3072" t="s">
        <v>3234</v>
      </c>
      <c r="F87" s="3072" t="s">
        <v>3235</v>
      </c>
      <c r="G87" s="3464">
        <v>8.9600000000000009</v>
      </c>
      <c r="H87" s="3465"/>
      <c r="I87" s="3074">
        <v>2016</v>
      </c>
      <c r="J87" s="3074">
        <v>1.81</v>
      </c>
    </row>
    <row r="88" spans="1:10" ht="24.75" thickBot="1">
      <c r="A88" s="3073">
        <v>79</v>
      </c>
      <c r="B88" s="3074">
        <v>11</v>
      </c>
      <c r="C88" s="3074">
        <f t="shared" si="3"/>
        <v>-3.5714285714285712E-2</v>
      </c>
      <c r="D88" s="3072" t="s">
        <v>3337</v>
      </c>
      <c r="E88" s="3072" t="s">
        <v>3234</v>
      </c>
      <c r="F88" s="3072" t="s">
        <v>3235</v>
      </c>
      <c r="G88" s="3464" t="s">
        <v>3338</v>
      </c>
      <c r="H88" s="3465"/>
      <c r="I88" s="3074">
        <v>2016</v>
      </c>
      <c r="J88" s="3074">
        <v>2.2799999999999998</v>
      </c>
    </row>
    <row r="89" spans="1:10" ht="24.75" thickBot="1">
      <c r="A89" s="3073">
        <v>80</v>
      </c>
      <c r="B89" s="3074">
        <v>11</v>
      </c>
      <c r="C89" s="3074">
        <f t="shared" si="3"/>
        <v>-3.5714285714285712E-2</v>
      </c>
      <c r="D89" s="3072" t="s">
        <v>3339</v>
      </c>
      <c r="E89" s="3072" t="s">
        <v>3234</v>
      </c>
      <c r="F89" s="3072" t="s">
        <v>3235</v>
      </c>
      <c r="G89" s="3076"/>
      <c r="H89" s="3074">
        <v>48</v>
      </c>
      <c r="I89" s="3074">
        <v>2016</v>
      </c>
      <c r="J89" s="3074">
        <v>2.11</v>
      </c>
    </row>
    <row r="90" spans="1:10" ht="24.75" thickBot="1">
      <c r="A90" s="3073">
        <v>81</v>
      </c>
      <c r="B90" s="3074">
        <v>11</v>
      </c>
      <c r="C90" s="3074">
        <f t="shared" si="3"/>
        <v>-3.5714285714285712E-2</v>
      </c>
      <c r="D90" s="3072" t="s">
        <v>3340</v>
      </c>
      <c r="E90" s="3072" t="s">
        <v>3234</v>
      </c>
      <c r="F90" s="3072" t="s">
        <v>3235</v>
      </c>
      <c r="G90" s="3464">
        <v>10.7</v>
      </c>
      <c r="H90" s="3465"/>
      <c r="I90" s="3074">
        <v>2016</v>
      </c>
      <c r="J90" s="3074">
        <v>2.16</v>
      </c>
    </row>
    <row r="91" spans="1:10" ht="24.75" thickBot="1">
      <c r="A91" s="3073">
        <v>82</v>
      </c>
      <c r="B91" s="3074">
        <v>11</v>
      </c>
      <c r="C91" s="3074">
        <f t="shared" si="3"/>
        <v>-3.5714285714285712E-2</v>
      </c>
      <c r="D91" s="3072" t="s">
        <v>3341</v>
      </c>
      <c r="E91" s="3072" t="s">
        <v>3234</v>
      </c>
      <c r="F91" s="3072" t="s">
        <v>3235</v>
      </c>
      <c r="G91" s="3464">
        <v>8.9600000000000009</v>
      </c>
      <c r="H91" s="3465"/>
      <c r="I91" s="3074">
        <v>2016</v>
      </c>
      <c r="J91" s="3074">
        <v>1.81</v>
      </c>
    </row>
    <row r="92" spans="1:10" ht="24.75" thickBot="1">
      <c r="A92" s="3073">
        <v>83</v>
      </c>
      <c r="B92" s="3074">
        <v>11</v>
      </c>
      <c r="C92" s="3074">
        <f t="shared" si="3"/>
        <v>-3.5714285714285712E-2</v>
      </c>
      <c r="D92" s="3072" t="s">
        <v>3342</v>
      </c>
      <c r="E92" s="3072" t="s">
        <v>3234</v>
      </c>
      <c r="F92" s="3072" t="s">
        <v>3235</v>
      </c>
      <c r="G92" s="3464" t="s">
        <v>3275</v>
      </c>
      <c r="H92" s="3465"/>
      <c r="I92" s="3074">
        <v>2016</v>
      </c>
      <c r="J92" s="3074">
        <v>2.68</v>
      </c>
    </row>
    <row r="93" spans="1:10" ht="24.75" thickBot="1">
      <c r="A93" s="3073">
        <v>84</v>
      </c>
      <c r="B93" s="3074">
        <v>11</v>
      </c>
      <c r="C93" s="3074">
        <f t="shared" si="3"/>
        <v>-3.5714285714285712E-2</v>
      </c>
      <c r="D93" s="3072" t="s">
        <v>3343</v>
      </c>
      <c r="E93" s="3072" t="s">
        <v>3234</v>
      </c>
      <c r="F93" s="3072" t="s">
        <v>3235</v>
      </c>
      <c r="G93" s="3464" t="s">
        <v>3333</v>
      </c>
      <c r="H93" s="3465"/>
      <c r="I93" s="3074">
        <v>2016</v>
      </c>
      <c r="J93" s="3074">
        <v>2.4</v>
      </c>
    </row>
    <row r="94" spans="1:10" ht="24.75" thickBot="1">
      <c r="A94" s="3073">
        <v>85</v>
      </c>
      <c r="B94" s="3074">
        <v>11</v>
      </c>
      <c r="C94" s="3074">
        <f t="shared" si="3"/>
        <v>-3.5714285714285712E-2</v>
      </c>
      <c r="D94" s="3072" t="s">
        <v>3344</v>
      </c>
      <c r="E94" s="3072" t="s">
        <v>3234</v>
      </c>
      <c r="F94" s="3072" t="s">
        <v>3235</v>
      </c>
      <c r="G94" s="3464" t="s">
        <v>3294</v>
      </c>
      <c r="H94" s="3465"/>
      <c r="I94" s="3074">
        <v>2016</v>
      </c>
      <c r="J94" s="3074">
        <v>3.27</v>
      </c>
    </row>
    <row r="95" spans="1:10" ht="24.75" thickBot="1">
      <c r="A95" s="3073">
        <v>86</v>
      </c>
      <c r="B95" s="3074">
        <v>11</v>
      </c>
      <c r="C95" s="3074">
        <f t="shared" si="3"/>
        <v>-3.5714285714285712E-2</v>
      </c>
      <c r="D95" s="3072" t="s">
        <v>3345</v>
      </c>
      <c r="E95" s="3072" t="s">
        <v>3234</v>
      </c>
      <c r="F95" s="3072" t="s">
        <v>3235</v>
      </c>
      <c r="G95" s="3464" t="s">
        <v>3266</v>
      </c>
      <c r="H95" s="3465"/>
      <c r="I95" s="3074">
        <v>2016</v>
      </c>
      <c r="J95" s="3074">
        <v>4.5999999999999996</v>
      </c>
    </row>
    <row r="96" spans="1:10" ht="24.75" thickBot="1">
      <c r="A96" s="3073">
        <v>87</v>
      </c>
      <c r="B96" s="3074">
        <v>11</v>
      </c>
      <c r="C96" s="3074">
        <f t="shared" si="3"/>
        <v>-3.5714285714285712E-2</v>
      </c>
      <c r="D96" s="3072" t="s">
        <v>3346</v>
      </c>
      <c r="E96" s="3072" t="s">
        <v>3234</v>
      </c>
      <c r="F96" s="3072" t="s">
        <v>3235</v>
      </c>
      <c r="G96" s="3464" t="s">
        <v>3264</v>
      </c>
      <c r="H96" s="3465"/>
      <c r="I96" s="3074">
        <v>2016</v>
      </c>
      <c r="J96" s="3074">
        <v>2.78</v>
      </c>
    </row>
    <row r="97" spans="1:10" ht="24.75" thickBot="1">
      <c r="A97" s="3073">
        <v>88</v>
      </c>
      <c r="B97" s="3074">
        <v>11</v>
      </c>
      <c r="C97" s="3074">
        <f t="shared" si="3"/>
        <v>-3.5714285714285712E-2</v>
      </c>
      <c r="D97" s="3072" t="s">
        <v>3347</v>
      </c>
      <c r="E97" s="3072" t="s">
        <v>3234</v>
      </c>
      <c r="F97" s="3072" t="s">
        <v>3235</v>
      </c>
      <c r="G97" s="3464" t="s">
        <v>3262</v>
      </c>
      <c r="H97" s="3465"/>
      <c r="I97" s="3074">
        <v>2016</v>
      </c>
      <c r="J97" s="3074">
        <v>3.19</v>
      </c>
    </row>
    <row r="98" spans="1:10" ht="24.75" thickBot="1">
      <c r="A98" s="3073">
        <v>89</v>
      </c>
      <c r="B98" s="3074">
        <v>11</v>
      </c>
      <c r="C98" s="3074">
        <f t="shared" si="3"/>
        <v>-3.5714285714285712E-2</v>
      </c>
      <c r="D98" s="3072" t="s">
        <v>3348</v>
      </c>
      <c r="E98" s="3072" t="s">
        <v>3234</v>
      </c>
      <c r="F98" s="3072" t="s">
        <v>3235</v>
      </c>
      <c r="G98" s="3464" t="s">
        <v>3260</v>
      </c>
      <c r="H98" s="3465"/>
      <c r="I98" s="3074">
        <v>2016</v>
      </c>
      <c r="J98" s="3074">
        <v>2.0699999999999998</v>
      </c>
    </row>
    <row r="99" spans="1:10" ht="24.75" thickBot="1">
      <c r="A99" s="3073">
        <v>90</v>
      </c>
      <c r="B99" s="3074">
        <v>11</v>
      </c>
      <c r="C99" s="3074">
        <f t="shared" si="3"/>
        <v>-3.5714285714285712E-2</v>
      </c>
      <c r="D99" s="3072" t="s">
        <v>3349</v>
      </c>
      <c r="E99" s="3072" t="s">
        <v>3234</v>
      </c>
      <c r="F99" s="3072" t="s">
        <v>3235</v>
      </c>
      <c r="G99" s="3076"/>
      <c r="H99" s="3074">
        <v>6</v>
      </c>
      <c r="I99" s="3074">
        <v>2016</v>
      </c>
      <c r="J99" s="3074">
        <v>2.0299999999999998</v>
      </c>
    </row>
    <row r="100" spans="1:10" ht="24.75" thickBot="1">
      <c r="A100" s="3073">
        <v>91</v>
      </c>
      <c r="B100" s="3074">
        <v>11</v>
      </c>
      <c r="C100" s="3074">
        <f t="shared" si="3"/>
        <v>-3.5714285714285712E-2</v>
      </c>
      <c r="D100" s="3072" t="s">
        <v>3350</v>
      </c>
      <c r="E100" s="3072" t="s">
        <v>3234</v>
      </c>
      <c r="F100" s="3072" t="s">
        <v>3235</v>
      </c>
      <c r="G100" s="3464" t="s">
        <v>3256</v>
      </c>
      <c r="H100" s="3465"/>
      <c r="I100" s="3074">
        <v>2016</v>
      </c>
      <c r="J100" s="3074">
        <v>3.92</v>
      </c>
    </row>
    <row r="101" spans="1:10" ht="24.75" thickBot="1">
      <c r="A101" s="3073">
        <v>92</v>
      </c>
      <c r="B101" s="3074">
        <v>11</v>
      </c>
      <c r="C101" s="3074">
        <f t="shared" si="3"/>
        <v>-3.5714285714285712E-2</v>
      </c>
      <c r="D101" s="3072" t="s">
        <v>3351</v>
      </c>
      <c r="E101" s="3072" t="s">
        <v>3234</v>
      </c>
      <c r="F101" s="3072" t="s">
        <v>3235</v>
      </c>
      <c r="G101" s="3464" t="s">
        <v>3324</v>
      </c>
      <c r="H101" s="3465"/>
      <c r="I101" s="3074">
        <v>2016</v>
      </c>
      <c r="J101" s="3074">
        <v>4.33</v>
      </c>
    </row>
    <row r="102" spans="1:10" ht="24.75" thickBot="1">
      <c r="A102" s="3073">
        <v>93</v>
      </c>
      <c r="B102" s="3074">
        <v>11</v>
      </c>
      <c r="C102" s="3074">
        <f t="shared" si="3"/>
        <v>-3.5714285714285712E-2</v>
      </c>
      <c r="D102" s="3072" t="s">
        <v>3352</v>
      </c>
      <c r="E102" s="3072" t="s">
        <v>3234</v>
      </c>
      <c r="F102" s="3072" t="s">
        <v>3235</v>
      </c>
      <c r="G102" s="3464" t="s">
        <v>3253</v>
      </c>
      <c r="H102" s="3465"/>
      <c r="I102" s="3074">
        <v>2016</v>
      </c>
      <c r="J102" s="3074">
        <v>6.06</v>
      </c>
    </row>
    <row r="103" spans="1:10" ht="24.75" thickBot="1">
      <c r="A103" s="3073">
        <v>94</v>
      </c>
      <c r="B103" s="3074">
        <v>11</v>
      </c>
      <c r="C103" s="3074">
        <f t="shared" si="3"/>
        <v>-3.5714285714285712E-2</v>
      </c>
      <c r="D103" s="3072" t="s">
        <v>3353</v>
      </c>
      <c r="E103" s="3072" t="s">
        <v>3234</v>
      </c>
      <c r="F103" s="3072" t="s">
        <v>3235</v>
      </c>
      <c r="G103" s="3464" t="s">
        <v>3250</v>
      </c>
      <c r="H103" s="3465"/>
      <c r="I103" s="3074">
        <v>2016</v>
      </c>
      <c r="J103" s="3074">
        <v>2.2599999999999998</v>
      </c>
    </row>
    <row r="104" spans="1:10" ht="24.75" thickBot="1">
      <c r="A104" s="3073">
        <v>95</v>
      </c>
      <c r="B104" s="3074">
        <v>11</v>
      </c>
      <c r="C104" s="3074">
        <f t="shared" si="3"/>
        <v>-3.5714285714285712E-2</v>
      </c>
      <c r="D104" s="3072" t="s">
        <v>3354</v>
      </c>
      <c r="E104" s="3072" t="s">
        <v>3234</v>
      </c>
      <c r="F104" s="3072" t="s">
        <v>3235</v>
      </c>
      <c r="G104" s="3464" t="s">
        <v>3250</v>
      </c>
      <c r="H104" s="3465"/>
      <c r="I104" s="3074">
        <v>2016</v>
      </c>
      <c r="J104" s="3074">
        <v>2.2599999999999998</v>
      </c>
    </row>
    <row r="105" spans="1:10" ht="24.75" thickBot="1">
      <c r="A105" s="3073">
        <v>96</v>
      </c>
      <c r="B105" s="3074">
        <v>11</v>
      </c>
      <c r="C105" s="3074">
        <f t="shared" si="3"/>
        <v>-3.5714285714285712E-2</v>
      </c>
      <c r="D105" s="3072" t="s">
        <v>3355</v>
      </c>
      <c r="E105" s="3072" t="s">
        <v>3234</v>
      </c>
      <c r="F105" s="3072" t="s">
        <v>3235</v>
      </c>
      <c r="G105" s="3464" t="s">
        <v>3247</v>
      </c>
      <c r="H105" s="3465"/>
      <c r="I105" s="3074">
        <v>2016</v>
      </c>
      <c r="J105" s="3074">
        <v>2.62</v>
      </c>
    </row>
    <row r="106" spans="1:10" ht="24.75" thickBot="1">
      <c r="A106" s="3073">
        <v>97</v>
      </c>
      <c r="B106" s="3074">
        <v>11</v>
      </c>
      <c r="C106" s="3074">
        <f t="shared" si="3"/>
        <v>-3.5714285714285712E-2</v>
      </c>
      <c r="D106" s="3072" t="s">
        <v>3356</v>
      </c>
      <c r="E106" s="3072" t="s">
        <v>3234</v>
      </c>
      <c r="F106" s="3072" t="s">
        <v>3235</v>
      </c>
      <c r="G106" s="3076"/>
      <c r="H106" s="3074">
        <v>0</v>
      </c>
      <c r="I106" s="3074">
        <v>2016</v>
      </c>
      <c r="J106" s="3074">
        <v>2.62</v>
      </c>
    </row>
    <row r="107" spans="1:10" ht="24.75" thickBot="1">
      <c r="A107" s="3073">
        <v>98</v>
      </c>
      <c r="B107" s="3074">
        <v>11</v>
      </c>
      <c r="C107" s="3074">
        <f t="shared" si="3"/>
        <v>-3.5714285714285712E-2</v>
      </c>
      <c r="D107" s="3072" t="s">
        <v>3357</v>
      </c>
      <c r="E107" s="3072" t="s">
        <v>3234</v>
      </c>
      <c r="F107" s="3072" t="s">
        <v>3235</v>
      </c>
      <c r="G107" s="3464" t="s">
        <v>3358</v>
      </c>
      <c r="H107" s="3465"/>
      <c r="I107" s="3074">
        <v>2016</v>
      </c>
      <c r="J107" s="3074">
        <v>2.8</v>
      </c>
    </row>
    <row r="108" spans="1:10" ht="24.75" thickBot="1">
      <c r="A108" s="3073">
        <v>99</v>
      </c>
      <c r="B108" s="3074">
        <v>11</v>
      </c>
      <c r="C108" s="3074">
        <f t="shared" si="3"/>
        <v>-3.5714285714285712E-2</v>
      </c>
      <c r="D108" s="3072" t="s">
        <v>3359</v>
      </c>
      <c r="E108" s="3072" t="s">
        <v>3234</v>
      </c>
      <c r="F108" s="3072" t="s">
        <v>3235</v>
      </c>
      <c r="G108" s="3464" t="s">
        <v>3243</v>
      </c>
      <c r="H108" s="3465"/>
      <c r="I108" s="3074">
        <v>2016</v>
      </c>
      <c r="J108" s="3074">
        <v>2.52</v>
      </c>
    </row>
    <row r="109" spans="1:10" ht="24.75" thickBot="1">
      <c r="A109" s="3073">
        <v>100</v>
      </c>
      <c r="B109" s="3074">
        <v>11</v>
      </c>
      <c r="C109" s="3074">
        <f t="shared" si="3"/>
        <v>-3.5714285714285712E-2</v>
      </c>
      <c r="D109" s="3072" t="s">
        <v>3360</v>
      </c>
      <c r="E109" s="3072" t="s">
        <v>3234</v>
      </c>
      <c r="F109" s="3072" t="s">
        <v>3235</v>
      </c>
      <c r="G109" s="3464" t="s">
        <v>3241</v>
      </c>
      <c r="H109" s="3465"/>
      <c r="I109" s="3074">
        <v>2016</v>
      </c>
      <c r="J109" s="3074">
        <v>2.41</v>
      </c>
    </row>
    <row r="110" spans="1:10" ht="24.75" thickBot="1">
      <c r="A110" s="3073">
        <v>101</v>
      </c>
      <c r="B110" s="3074">
        <v>11</v>
      </c>
      <c r="C110" s="3074">
        <f t="shared" si="3"/>
        <v>-3.5714285714285712E-2</v>
      </c>
      <c r="D110" s="3072" t="s">
        <v>3361</v>
      </c>
      <c r="E110" s="3072" t="s">
        <v>3234</v>
      </c>
      <c r="F110" s="3072" t="s">
        <v>3235</v>
      </c>
      <c r="G110" s="3464">
        <v>23.5</v>
      </c>
      <c r="H110" s="3465"/>
      <c r="I110" s="3074">
        <v>2016</v>
      </c>
      <c r="J110" s="3074">
        <v>4.74</v>
      </c>
    </row>
    <row r="111" spans="1:10" ht="26.25" thickBot="1">
      <c r="A111" s="3073">
        <v>102</v>
      </c>
      <c r="B111" s="3074">
        <v>11</v>
      </c>
      <c r="C111" s="3079">
        <v>44224</v>
      </c>
      <c r="D111" s="3074" t="s">
        <v>3362</v>
      </c>
      <c r="E111" s="3072" t="s">
        <v>3109</v>
      </c>
      <c r="F111" s="3072" t="s">
        <v>3235</v>
      </c>
      <c r="G111" s="3464" t="s">
        <v>3363</v>
      </c>
      <c r="H111" s="3465"/>
      <c r="I111" s="3074">
        <v>5686</v>
      </c>
      <c r="J111" s="3074" t="s">
        <v>3364</v>
      </c>
    </row>
    <row r="112" spans="1:10" ht="26.25" thickBot="1">
      <c r="A112" s="3073">
        <v>103</v>
      </c>
      <c r="B112" s="3074">
        <v>11</v>
      </c>
      <c r="C112" s="3079">
        <v>44224</v>
      </c>
      <c r="D112" s="3074" t="s">
        <v>3365</v>
      </c>
      <c r="E112" s="3072" t="s">
        <v>3109</v>
      </c>
      <c r="F112" s="3072" t="s">
        <v>3235</v>
      </c>
      <c r="G112" s="3464" t="s">
        <v>3366</v>
      </c>
      <c r="H112" s="3465"/>
      <c r="I112" s="3074">
        <v>5686</v>
      </c>
      <c r="J112" s="3074" t="s">
        <v>3367</v>
      </c>
    </row>
    <row r="113" spans="1:11" ht="26.25" thickBot="1">
      <c r="A113" s="3073">
        <v>104</v>
      </c>
      <c r="B113" s="3074">
        <v>11</v>
      </c>
      <c r="C113" s="3079">
        <v>44224</v>
      </c>
      <c r="D113" s="3074" t="s">
        <v>3368</v>
      </c>
      <c r="E113" s="3072" t="s">
        <v>3109</v>
      </c>
      <c r="F113" s="3072" t="s">
        <v>3235</v>
      </c>
      <c r="G113" s="3464" t="s">
        <v>3369</v>
      </c>
      <c r="H113" s="3465"/>
      <c r="I113" s="3074">
        <v>5686</v>
      </c>
      <c r="J113" s="3074" t="s">
        <v>3370</v>
      </c>
    </row>
    <row r="114" spans="1:11" ht="26.25" thickBot="1">
      <c r="A114" s="3073">
        <v>105</v>
      </c>
      <c r="B114" s="3074">
        <v>11</v>
      </c>
      <c r="C114" s="3079">
        <v>44224</v>
      </c>
      <c r="D114" s="3074" t="s">
        <v>3371</v>
      </c>
      <c r="E114" s="3072" t="s">
        <v>3109</v>
      </c>
      <c r="F114" s="3072" t="s">
        <v>3235</v>
      </c>
      <c r="G114" s="3464" t="s">
        <v>3369</v>
      </c>
      <c r="H114" s="3465"/>
      <c r="I114" s="3074">
        <v>5686</v>
      </c>
      <c r="J114" s="3074" t="s">
        <v>3370</v>
      </c>
    </row>
    <row r="115" spans="1:11" ht="26.25" thickBot="1">
      <c r="A115" s="3073">
        <v>106</v>
      </c>
      <c r="B115" s="3074">
        <v>11</v>
      </c>
      <c r="C115" s="3079">
        <v>44224</v>
      </c>
      <c r="D115" s="3074" t="s">
        <v>3372</v>
      </c>
      <c r="E115" s="3072" t="s">
        <v>3109</v>
      </c>
      <c r="F115" s="3072" t="s">
        <v>3235</v>
      </c>
      <c r="G115" s="3464" t="s">
        <v>3373</v>
      </c>
      <c r="H115" s="3465"/>
      <c r="I115" s="3074">
        <v>5686</v>
      </c>
      <c r="J115" s="3074" t="s">
        <v>3374</v>
      </c>
    </row>
    <row r="116" spans="1:11">
      <c r="A116" s="3070"/>
    </row>
    <row r="118" spans="1:11" ht="14.25" thickBot="1">
      <c r="A118" s="3078"/>
    </row>
    <row r="119" spans="1:11">
      <c r="A119" s="3458" t="s">
        <v>3223</v>
      </c>
      <c r="B119" s="3458" t="s">
        <v>3224</v>
      </c>
      <c r="C119" s="3071" t="s">
        <v>3225</v>
      </c>
      <c r="D119" s="3458" t="s">
        <v>3227</v>
      </c>
      <c r="E119" s="3458" t="s">
        <v>1341</v>
      </c>
      <c r="F119" s="3458" t="s">
        <v>3228</v>
      </c>
      <c r="G119" s="3460" t="s">
        <v>3229</v>
      </c>
      <c r="H119" s="3461"/>
      <c r="I119" s="3458" t="s">
        <v>3231</v>
      </c>
      <c r="J119" s="3460" t="s">
        <v>3232</v>
      </c>
      <c r="K119" s="3461"/>
    </row>
    <row r="120" spans="1:11" ht="14.25" thickBot="1">
      <c r="A120" s="3459"/>
      <c r="B120" s="3459"/>
      <c r="C120" s="3072" t="s">
        <v>3226</v>
      </c>
      <c r="D120" s="3459"/>
      <c r="E120" s="3459"/>
      <c r="F120" s="3459"/>
      <c r="G120" s="3462" t="s">
        <v>3230</v>
      </c>
      <c r="H120" s="3463"/>
      <c r="I120" s="3459"/>
      <c r="J120" s="3462"/>
      <c r="K120" s="3463"/>
    </row>
    <row r="121" spans="1:11" ht="26.25" thickBot="1">
      <c r="A121" s="3073">
        <v>107</v>
      </c>
      <c r="B121" s="3074">
        <v>11</v>
      </c>
      <c r="C121" s="3079">
        <v>44224</v>
      </c>
      <c r="D121" s="3074" t="s">
        <v>3375</v>
      </c>
      <c r="E121" s="3072" t="s">
        <v>3109</v>
      </c>
      <c r="F121" s="3072" t="s">
        <v>3235</v>
      </c>
      <c r="G121" s="3464" t="s">
        <v>3376</v>
      </c>
      <c r="H121" s="3465"/>
      <c r="I121" s="3074">
        <v>5686</v>
      </c>
      <c r="J121" s="3464" t="s">
        <v>3364</v>
      </c>
      <c r="K121" s="3465"/>
    </row>
    <row r="122" spans="1:11" ht="26.25" thickBot="1">
      <c r="A122" s="3073">
        <v>108</v>
      </c>
      <c r="B122" s="3074">
        <v>11</v>
      </c>
      <c r="C122" s="3079">
        <v>44255</v>
      </c>
      <c r="D122" s="3074" t="s">
        <v>3377</v>
      </c>
      <c r="E122" s="3072" t="s">
        <v>3109</v>
      </c>
      <c r="F122" s="3072" t="s">
        <v>3235</v>
      </c>
      <c r="G122" s="3080">
        <v>150</v>
      </c>
      <c r="H122" s="3074">
        <v>35</v>
      </c>
      <c r="I122" s="3074">
        <v>5686</v>
      </c>
      <c r="J122" s="3081">
        <v>8</v>
      </c>
      <c r="K122" s="3074" t="s">
        <v>3378</v>
      </c>
    </row>
    <row r="123" spans="1:11" ht="26.25" thickBot="1">
      <c r="A123" s="3073">
        <v>109</v>
      </c>
      <c r="B123" s="3074">
        <v>11</v>
      </c>
      <c r="C123" s="3079">
        <v>44255</v>
      </c>
      <c r="D123" s="3074" t="s">
        <v>3379</v>
      </c>
      <c r="E123" s="3072" t="s">
        <v>3109</v>
      </c>
      <c r="F123" s="3072" t="s">
        <v>3235</v>
      </c>
      <c r="G123" s="3464" t="s">
        <v>3380</v>
      </c>
      <c r="H123" s="3465"/>
      <c r="I123" s="3074">
        <v>5686</v>
      </c>
      <c r="J123" s="3464" t="s">
        <v>3381</v>
      </c>
      <c r="K123" s="3465"/>
    </row>
    <row r="124" spans="1:11" ht="23.25" thickBot="1">
      <c r="A124" s="3073">
        <v>110</v>
      </c>
      <c r="B124" s="3074">
        <v>11</v>
      </c>
      <c r="C124" s="3079">
        <v>44255</v>
      </c>
      <c r="D124" s="3082" t="s">
        <v>3382</v>
      </c>
      <c r="E124" s="3083" t="s">
        <v>3109</v>
      </c>
      <c r="F124" s="3083" t="s">
        <v>3235</v>
      </c>
      <c r="G124" s="3464" t="s">
        <v>3383</v>
      </c>
      <c r="H124" s="3465"/>
      <c r="I124" s="3074">
        <v>5686</v>
      </c>
      <c r="J124" s="3464" t="s">
        <v>3370</v>
      </c>
      <c r="K124" s="3465"/>
    </row>
    <row r="125" spans="1:11" ht="23.25" thickBot="1">
      <c r="A125" s="3073">
        <v>111</v>
      </c>
      <c r="B125" s="3074">
        <v>11</v>
      </c>
      <c r="C125" s="3079">
        <v>44255</v>
      </c>
      <c r="D125" s="3082" t="s">
        <v>3384</v>
      </c>
      <c r="E125" s="3083" t="s">
        <v>3109</v>
      </c>
      <c r="F125" s="3083" t="s">
        <v>3235</v>
      </c>
      <c r="G125" s="3464" t="s">
        <v>3383</v>
      </c>
      <c r="H125" s="3465"/>
      <c r="I125" s="3074">
        <v>5686</v>
      </c>
      <c r="J125" s="3464" t="s">
        <v>3385</v>
      </c>
      <c r="K125" s="3465"/>
    </row>
    <row r="126" spans="1:11" ht="26.25" thickBot="1">
      <c r="A126" s="3073">
        <v>112</v>
      </c>
      <c r="B126" s="3074">
        <v>11</v>
      </c>
      <c r="C126" s="3079">
        <v>44255</v>
      </c>
      <c r="D126" s="3074" t="s">
        <v>3386</v>
      </c>
      <c r="E126" s="3072" t="s">
        <v>3109</v>
      </c>
      <c r="F126" s="3072" t="s">
        <v>3235</v>
      </c>
      <c r="G126" s="3464" t="s">
        <v>3380</v>
      </c>
      <c r="H126" s="3465"/>
      <c r="I126" s="3074">
        <v>5686</v>
      </c>
      <c r="J126" s="3464" t="s">
        <v>3381</v>
      </c>
      <c r="K126" s="3465"/>
    </row>
    <row r="127" spans="1:11" ht="26.25" thickBot="1">
      <c r="A127" s="3073">
        <v>113</v>
      </c>
      <c r="B127" s="3074">
        <v>11</v>
      </c>
      <c r="C127" s="3079">
        <v>44255</v>
      </c>
      <c r="D127" s="3074" t="s">
        <v>3387</v>
      </c>
      <c r="E127" s="3072" t="s">
        <v>3109</v>
      </c>
      <c r="F127" s="3072" t="s">
        <v>3235</v>
      </c>
      <c r="G127" s="3464" t="s">
        <v>3388</v>
      </c>
      <c r="H127" s="3465"/>
      <c r="I127" s="3074">
        <v>5686</v>
      </c>
      <c r="J127" s="3464" t="s">
        <v>3389</v>
      </c>
      <c r="K127" s="3465"/>
    </row>
    <row r="128" spans="1:11" ht="26.25" thickBot="1">
      <c r="A128" s="3073">
        <v>114</v>
      </c>
      <c r="B128" s="3074">
        <v>11</v>
      </c>
      <c r="C128" s="3079">
        <v>44283</v>
      </c>
      <c r="D128" s="3074" t="s">
        <v>3390</v>
      </c>
      <c r="E128" s="3072" t="s">
        <v>3109</v>
      </c>
      <c r="F128" s="3072" t="s">
        <v>3235</v>
      </c>
      <c r="G128" s="3464" t="s">
        <v>3388</v>
      </c>
      <c r="H128" s="3465"/>
      <c r="I128" s="3074">
        <v>5686</v>
      </c>
      <c r="J128" s="3464" t="s">
        <v>3391</v>
      </c>
      <c r="K128" s="3465"/>
    </row>
    <row r="129" spans="1:11" ht="26.25" thickBot="1">
      <c r="A129" s="3073">
        <v>115</v>
      </c>
      <c r="B129" s="3074">
        <v>11</v>
      </c>
      <c r="C129" s="3079">
        <v>44283</v>
      </c>
      <c r="D129" s="3074" t="s">
        <v>3392</v>
      </c>
      <c r="E129" s="3072" t="s">
        <v>3109</v>
      </c>
      <c r="F129" s="3072" t="s">
        <v>3235</v>
      </c>
      <c r="G129" s="3464" t="s">
        <v>3380</v>
      </c>
      <c r="H129" s="3465"/>
      <c r="I129" s="3074">
        <v>5686</v>
      </c>
      <c r="J129" s="3464" t="s">
        <v>3381</v>
      </c>
      <c r="K129" s="3465"/>
    </row>
    <row r="130" spans="1:11" ht="26.25" thickBot="1">
      <c r="A130" s="3073">
        <v>116</v>
      </c>
      <c r="B130" s="3074">
        <v>11</v>
      </c>
      <c r="C130" s="3079">
        <v>44283</v>
      </c>
      <c r="D130" s="3074" t="s">
        <v>3393</v>
      </c>
      <c r="E130" s="3072" t="s">
        <v>3109</v>
      </c>
      <c r="F130" s="3072" t="s">
        <v>3235</v>
      </c>
      <c r="G130" s="3464" t="s">
        <v>3383</v>
      </c>
      <c r="H130" s="3465"/>
      <c r="I130" s="3074">
        <v>5686</v>
      </c>
      <c r="J130" s="3464" t="s">
        <v>3370</v>
      </c>
      <c r="K130" s="3465"/>
    </row>
    <row r="131" spans="1:11" ht="26.25" thickBot="1">
      <c r="A131" s="3073">
        <v>117</v>
      </c>
      <c r="B131" s="3074">
        <v>11</v>
      </c>
      <c r="C131" s="3079">
        <v>44283</v>
      </c>
      <c r="D131" s="3074" t="s">
        <v>3394</v>
      </c>
      <c r="E131" s="3072" t="s">
        <v>3109</v>
      </c>
      <c r="F131" s="3072" t="s">
        <v>3235</v>
      </c>
      <c r="G131" s="3464" t="s">
        <v>3383</v>
      </c>
      <c r="H131" s="3465"/>
      <c r="I131" s="3074">
        <v>5686</v>
      </c>
      <c r="J131" s="3464" t="s">
        <v>3370</v>
      </c>
      <c r="K131" s="3465"/>
    </row>
    <row r="132" spans="1:11" ht="26.25" thickBot="1">
      <c r="A132" s="3073">
        <v>118</v>
      </c>
      <c r="B132" s="3074">
        <v>11</v>
      </c>
      <c r="C132" s="3079">
        <v>44283</v>
      </c>
      <c r="D132" s="3074" t="s">
        <v>3395</v>
      </c>
      <c r="E132" s="3072" t="s">
        <v>3109</v>
      </c>
      <c r="F132" s="3072" t="s">
        <v>3235</v>
      </c>
      <c r="G132" s="3080">
        <v>118</v>
      </c>
      <c r="H132" s="3074">
        <v>23</v>
      </c>
      <c r="I132" s="3074">
        <v>5686</v>
      </c>
      <c r="J132" s="3081">
        <v>6</v>
      </c>
      <c r="K132" s="3074" t="s">
        <v>3396</v>
      </c>
    </row>
    <row r="133" spans="1:11" ht="26.25" thickBot="1">
      <c r="A133" s="3073">
        <v>119</v>
      </c>
      <c r="B133" s="3074">
        <v>11</v>
      </c>
      <c r="C133" s="3079">
        <v>44283</v>
      </c>
      <c r="D133" s="3074" t="s">
        <v>3397</v>
      </c>
      <c r="E133" s="3072" t="s">
        <v>3109</v>
      </c>
      <c r="F133" s="3072" t="s">
        <v>3235</v>
      </c>
      <c r="G133" s="3464" t="s">
        <v>3388</v>
      </c>
      <c r="H133" s="3465"/>
      <c r="I133" s="3074">
        <v>5686</v>
      </c>
      <c r="J133" s="3464" t="s">
        <v>3389</v>
      </c>
      <c r="K133" s="3465"/>
    </row>
    <row r="134" spans="1:11" ht="26.25" thickBot="1">
      <c r="A134" s="3073">
        <v>120</v>
      </c>
      <c r="B134" s="3074">
        <v>11</v>
      </c>
      <c r="C134" s="3079">
        <v>44314</v>
      </c>
      <c r="D134" s="3074" t="s">
        <v>3398</v>
      </c>
      <c r="E134" s="3072" t="s">
        <v>3109</v>
      </c>
      <c r="F134" s="3072" t="s">
        <v>3235</v>
      </c>
      <c r="G134" s="3464" t="s">
        <v>3388</v>
      </c>
      <c r="H134" s="3465"/>
      <c r="I134" s="3074">
        <v>5686</v>
      </c>
      <c r="J134" s="3464" t="s">
        <v>3389</v>
      </c>
      <c r="K134" s="3465"/>
    </row>
    <row r="135" spans="1:11" ht="23.25" thickBot="1">
      <c r="A135" s="3073">
        <v>121</v>
      </c>
      <c r="B135" s="3074">
        <v>11</v>
      </c>
      <c r="C135" s="3079">
        <v>44314</v>
      </c>
      <c r="D135" s="3082" t="s">
        <v>3399</v>
      </c>
      <c r="E135" s="3083" t="s">
        <v>3109</v>
      </c>
      <c r="F135" s="3083" t="s">
        <v>3235</v>
      </c>
      <c r="G135" s="3464" t="s">
        <v>3380</v>
      </c>
      <c r="H135" s="3465"/>
      <c r="I135" s="3074">
        <v>5686</v>
      </c>
      <c r="J135" s="3464" t="s">
        <v>3400</v>
      </c>
      <c r="K135" s="3465"/>
    </row>
    <row r="136" spans="1:11" ht="26.25" thickBot="1">
      <c r="A136" s="3073">
        <v>122</v>
      </c>
      <c r="B136" s="3074">
        <v>11</v>
      </c>
      <c r="C136" s="3079">
        <v>44314</v>
      </c>
      <c r="D136" s="3074" t="s">
        <v>3401</v>
      </c>
      <c r="E136" s="3072" t="s">
        <v>3109</v>
      </c>
      <c r="F136" s="3072" t="s">
        <v>3235</v>
      </c>
      <c r="G136" s="3464" t="s">
        <v>3383</v>
      </c>
      <c r="H136" s="3465"/>
      <c r="I136" s="3074">
        <v>5686</v>
      </c>
      <c r="J136" s="3464" t="s">
        <v>3370</v>
      </c>
      <c r="K136" s="3465"/>
    </row>
    <row r="137" spans="1:11" ht="26.25" thickBot="1">
      <c r="A137" s="3073">
        <v>123</v>
      </c>
      <c r="B137" s="3074">
        <v>11</v>
      </c>
      <c r="C137" s="3079">
        <v>44314</v>
      </c>
      <c r="D137" s="3074" t="s">
        <v>3402</v>
      </c>
      <c r="E137" s="3072" t="s">
        <v>3109</v>
      </c>
      <c r="F137" s="3072" t="s">
        <v>3235</v>
      </c>
      <c r="G137" s="3464" t="s">
        <v>3383</v>
      </c>
      <c r="H137" s="3465"/>
      <c r="I137" s="3074">
        <v>5686</v>
      </c>
      <c r="J137" s="3464" t="s">
        <v>3370</v>
      </c>
      <c r="K137" s="3465"/>
    </row>
    <row r="138" spans="1:11" ht="26.25" thickBot="1">
      <c r="A138" s="3073">
        <v>124</v>
      </c>
      <c r="B138" s="3074">
        <v>11</v>
      </c>
      <c r="C138" s="3079">
        <v>44314</v>
      </c>
      <c r="D138" s="3074" t="s">
        <v>3403</v>
      </c>
      <c r="E138" s="3072" t="s">
        <v>3109</v>
      </c>
      <c r="F138" s="3072" t="s">
        <v>3235</v>
      </c>
      <c r="G138" s="3464" t="s">
        <v>3380</v>
      </c>
      <c r="H138" s="3465"/>
      <c r="I138" s="3074">
        <v>5686</v>
      </c>
      <c r="J138" s="3464" t="s">
        <v>3400</v>
      </c>
      <c r="K138" s="3465"/>
    </row>
    <row r="139" spans="1:11" ht="26.25" thickBot="1">
      <c r="A139" s="3073">
        <v>125</v>
      </c>
      <c r="B139" s="3074">
        <v>11</v>
      </c>
      <c r="C139" s="3079">
        <v>44314</v>
      </c>
      <c r="D139" s="3074" t="s">
        <v>3404</v>
      </c>
      <c r="E139" s="3072" t="s">
        <v>3109</v>
      </c>
      <c r="F139" s="3072" t="s">
        <v>3235</v>
      </c>
      <c r="G139" s="3464" t="s">
        <v>3388</v>
      </c>
      <c r="H139" s="3465"/>
      <c r="I139" s="3074">
        <v>5686</v>
      </c>
      <c r="J139" s="3464" t="s">
        <v>3389</v>
      </c>
      <c r="K139" s="3465"/>
    </row>
    <row r="140" spans="1:11" ht="26.25" thickBot="1">
      <c r="A140" s="3073">
        <v>126</v>
      </c>
      <c r="B140" s="3074">
        <v>11</v>
      </c>
      <c r="C140" s="3079">
        <v>44344</v>
      </c>
      <c r="D140" s="3074" t="s">
        <v>3405</v>
      </c>
      <c r="E140" s="3072" t="s">
        <v>3109</v>
      </c>
      <c r="F140" s="3072" t="s">
        <v>3235</v>
      </c>
      <c r="G140" s="3464" t="s">
        <v>3388</v>
      </c>
      <c r="H140" s="3465"/>
      <c r="I140" s="3074">
        <v>5686</v>
      </c>
      <c r="J140" s="3464" t="s">
        <v>3389</v>
      </c>
      <c r="K140" s="3465"/>
    </row>
    <row r="141" spans="1:11" ht="26.25" thickBot="1">
      <c r="A141" s="3073">
        <v>127</v>
      </c>
      <c r="B141" s="3074">
        <v>11</v>
      </c>
      <c r="C141" s="3079">
        <v>44344</v>
      </c>
      <c r="D141" s="3074" t="s">
        <v>3406</v>
      </c>
      <c r="E141" s="3072" t="s">
        <v>3109</v>
      </c>
      <c r="F141" s="3072" t="s">
        <v>3235</v>
      </c>
      <c r="G141" s="3464" t="s">
        <v>3380</v>
      </c>
      <c r="H141" s="3465"/>
      <c r="I141" s="3074">
        <v>5686</v>
      </c>
      <c r="J141" s="3464" t="s">
        <v>3381</v>
      </c>
      <c r="K141" s="3465"/>
    </row>
    <row r="142" spans="1:11" ht="26.25" thickBot="1">
      <c r="A142" s="3073">
        <v>128</v>
      </c>
      <c r="B142" s="3074">
        <v>11</v>
      </c>
      <c r="C142" s="3079">
        <v>44344</v>
      </c>
      <c r="D142" s="3074" t="s">
        <v>3407</v>
      </c>
      <c r="E142" s="3072" t="s">
        <v>3109</v>
      </c>
      <c r="F142" s="3072" t="s">
        <v>3235</v>
      </c>
      <c r="G142" s="3464" t="s">
        <v>3383</v>
      </c>
      <c r="H142" s="3465"/>
      <c r="I142" s="3074">
        <v>5686</v>
      </c>
      <c r="J142" s="3464" t="s">
        <v>3385</v>
      </c>
      <c r="K142" s="3465"/>
    </row>
    <row r="143" spans="1:11" ht="26.25" thickBot="1">
      <c r="A143" s="3073">
        <v>129</v>
      </c>
      <c r="B143" s="3074">
        <v>11</v>
      </c>
      <c r="C143" s="3079">
        <v>44344</v>
      </c>
      <c r="D143" s="3074" t="s">
        <v>3408</v>
      </c>
      <c r="E143" s="3072" t="s">
        <v>3109</v>
      </c>
      <c r="F143" s="3072" t="s">
        <v>3235</v>
      </c>
      <c r="G143" s="3464" t="s">
        <v>3383</v>
      </c>
      <c r="H143" s="3465"/>
      <c r="I143" s="3074">
        <v>5686</v>
      </c>
      <c r="J143" s="3464" t="s">
        <v>3370</v>
      </c>
      <c r="K143" s="3465"/>
    </row>
    <row r="144" spans="1:11" ht="26.25" thickBot="1">
      <c r="A144" s="3073">
        <v>130</v>
      </c>
      <c r="B144" s="3074">
        <v>11</v>
      </c>
      <c r="C144" s="3079">
        <v>44344</v>
      </c>
      <c r="D144" s="3074" t="s">
        <v>3409</v>
      </c>
      <c r="E144" s="3072" t="s">
        <v>3109</v>
      </c>
      <c r="F144" s="3072" t="s">
        <v>3235</v>
      </c>
      <c r="G144" s="3464" t="s">
        <v>3380</v>
      </c>
      <c r="H144" s="3465"/>
      <c r="I144" s="3074">
        <v>5686</v>
      </c>
      <c r="J144" s="3464" t="s">
        <v>3381</v>
      </c>
      <c r="K144" s="3465"/>
    </row>
    <row r="145" spans="1:11" ht="26.25" thickBot="1">
      <c r="A145" s="3073">
        <v>131</v>
      </c>
      <c r="B145" s="3074">
        <v>11</v>
      </c>
      <c r="C145" s="3079">
        <v>44344</v>
      </c>
      <c r="D145" s="3074" t="s">
        <v>3410</v>
      </c>
      <c r="E145" s="3072" t="s">
        <v>3109</v>
      </c>
      <c r="F145" s="3072" t="s">
        <v>3235</v>
      </c>
      <c r="G145" s="3464" t="s">
        <v>3388</v>
      </c>
      <c r="H145" s="3465"/>
      <c r="I145" s="3074">
        <v>5686</v>
      </c>
      <c r="J145" s="3464" t="s">
        <v>3391</v>
      </c>
      <c r="K145" s="3465"/>
    </row>
    <row r="146" spans="1:11" ht="26.25" thickBot="1">
      <c r="A146" s="3073">
        <v>132</v>
      </c>
      <c r="B146" s="3074">
        <v>11</v>
      </c>
      <c r="C146" s="3079">
        <v>44375</v>
      </c>
      <c r="D146" s="3074" t="s">
        <v>3411</v>
      </c>
      <c r="E146" s="3072" t="s">
        <v>3109</v>
      </c>
      <c r="F146" s="3072" t="s">
        <v>3235</v>
      </c>
      <c r="G146" s="3464" t="s">
        <v>3388</v>
      </c>
      <c r="H146" s="3465"/>
      <c r="I146" s="3074">
        <v>5686</v>
      </c>
      <c r="J146" s="3464" t="s">
        <v>3389</v>
      </c>
      <c r="K146" s="3465"/>
    </row>
    <row r="147" spans="1:11" ht="26.25" thickBot="1">
      <c r="A147" s="3073">
        <v>133</v>
      </c>
      <c r="B147" s="3074">
        <v>11</v>
      </c>
      <c r="C147" s="3079">
        <v>44375</v>
      </c>
      <c r="D147" s="3074" t="s">
        <v>3412</v>
      </c>
      <c r="E147" s="3072" t="s">
        <v>3109</v>
      </c>
      <c r="F147" s="3072" t="s">
        <v>3235</v>
      </c>
      <c r="G147" s="3464" t="s">
        <v>3380</v>
      </c>
      <c r="H147" s="3465"/>
      <c r="I147" s="3074">
        <v>5686</v>
      </c>
      <c r="J147" s="3464" t="s">
        <v>3381</v>
      </c>
      <c r="K147" s="3465"/>
    </row>
    <row r="148" spans="1:11" ht="26.25" thickBot="1">
      <c r="A148" s="3073">
        <v>134</v>
      </c>
      <c r="B148" s="3074">
        <v>11</v>
      </c>
      <c r="C148" s="3079">
        <v>44375</v>
      </c>
      <c r="D148" s="3074" t="s">
        <v>3413</v>
      </c>
      <c r="E148" s="3072" t="s">
        <v>3109</v>
      </c>
      <c r="F148" s="3072" t="s">
        <v>3235</v>
      </c>
      <c r="G148" s="3464" t="s">
        <v>3383</v>
      </c>
      <c r="H148" s="3465"/>
      <c r="I148" s="3074">
        <v>5686</v>
      </c>
      <c r="J148" s="3464" t="s">
        <v>3370</v>
      </c>
      <c r="K148" s="3465"/>
    </row>
    <row r="149" spans="1:11" ht="26.25" thickBot="1">
      <c r="A149" s="3073">
        <v>135</v>
      </c>
      <c r="B149" s="3074">
        <v>11</v>
      </c>
      <c r="C149" s="3079">
        <v>44375</v>
      </c>
      <c r="D149" s="3074" t="s">
        <v>3414</v>
      </c>
      <c r="E149" s="3072" t="s">
        <v>3109</v>
      </c>
      <c r="F149" s="3072" t="s">
        <v>3235</v>
      </c>
      <c r="G149" s="3081">
        <v>133</v>
      </c>
      <c r="H149" s="3074">
        <v>21</v>
      </c>
      <c r="I149" s="3074">
        <v>5686</v>
      </c>
      <c r="J149" s="3081">
        <v>7</v>
      </c>
      <c r="K149" s="3074" t="s">
        <v>3415</v>
      </c>
    </row>
    <row r="150" spans="1:11" ht="26.25" thickBot="1">
      <c r="A150" s="3073">
        <v>136</v>
      </c>
      <c r="B150" s="3074">
        <v>11</v>
      </c>
      <c r="C150" s="3079">
        <v>44375</v>
      </c>
      <c r="D150" s="3074" t="s">
        <v>3416</v>
      </c>
      <c r="E150" s="3072" t="s">
        <v>3109</v>
      </c>
      <c r="F150" s="3072" t="s">
        <v>3235</v>
      </c>
      <c r="G150" s="3464" t="s">
        <v>3380</v>
      </c>
      <c r="H150" s="3465"/>
      <c r="I150" s="3074">
        <v>5686</v>
      </c>
      <c r="J150" s="3464" t="s">
        <v>3381</v>
      </c>
      <c r="K150" s="3465"/>
    </row>
    <row r="151" spans="1:11" ht="26.25" thickBot="1">
      <c r="A151" s="3073">
        <v>137</v>
      </c>
      <c r="B151" s="3074">
        <v>11</v>
      </c>
      <c r="C151" s="3079">
        <v>44375</v>
      </c>
      <c r="D151" s="3074" t="s">
        <v>3417</v>
      </c>
      <c r="E151" s="3072" t="s">
        <v>3109</v>
      </c>
      <c r="F151" s="3072" t="s">
        <v>3235</v>
      </c>
      <c r="G151" s="3464" t="s">
        <v>3388</v>
      </c>
      <c r="H151" s="3465"/>
      <c r="I151" s="3074">
        <v>5686</v>
      </c>
      <c r="J151" s="3464" t="s">
        <v>3389</v>
      </c>
      <c r="K151" s="3465"/>
    </row>
    <row r="152" spans="1:11" ht="26.25" thickBot="1">
      <c r="A152" s="3073">
        <v>138</v>
      </c>
      <c r="B152" s="3074">
        <v>11</v>
      </c>
      <c r="C152" s="3079">
        <v>44405</v>
      </c>
      <c r="D152" s="3074" t="s">
        <v>3418</v>
      </c>
      <c r="E152" s="3072" t="s">
        <v>3109</v>
      </c>
      <c r="F152" s="3072" t="s">
        <v>3235</v>
      </c>
      <c r="G152" s="3464" t="s">
        <v>3388</v>
      </c>
      <c r="H152" s="3465"/>
      <c r="I152" s="3074">
        <v>5686</v>
      </c>
      <c r="J152" s="3464" t="s">
        <v>3391</v>
      </c>
      <c r="K152" s="3465"/>
    </row>
    <row r="153" spans="1:11" ht="26.25" thickBot="1">
      <c r="A153" s="3073">
        <v>139</v>
      </c>
      <c r="B153" s="3074">
        <v>11</v>
      </c>
      <c r="C153" s="3079">
        <v>44405</v>
      </c>
      <c r="D153" s="3074" t="s">
        <v>3419</v>
      </c>
      <c r="E153" s="3072" t="s">
        <v>3109</v>
      </c>
      <c r="F153" s="3072" t="s">
        <v>3235</v>
      </c>
      <c r="G153" s="3464" t="s">
        <v>3380</v>
      </c>
      <c r="H153" s="3465"/>
      <c r="I153" s="3074">
        <v>5686</v>
      </c>
      <c r="J153" s="3464" t="s">
        <v>3381</v>
      </c>
      <c r="K153" s="3465"/>
    </row>
    <row r="154" spans="1:11" ht="26.25" thickBot="1">
      <c r="A154" s="3073">
        <v>140</v>
      </c>
      <c r="B154" s="3074">
        <v>11</v>
      </c>
      <c r="C154" s="3079">
        <v>44405</v>
      </c>
      <c r="D154" s="3074" t="s">
        <v>3420</v>
      </c>
      <c r="E154" s="3072" t="s">
        <v>3109</v>
      </c>
      <c r="F154" s="3072" t="s">
        <v>3235</v>
      </c>
      <c r="G154" s="3464" t="s">
        <v>3383</v>
      </c>
      <c r="H154" s="3465"/>
      <c r="I154" s="3074">
        <v>5686</v>
      </c>
      <c r="J154" s="3464" t="s">
        <v>3370</v>
      </c>
      <c r="K154" s="3465"/>
    </row>
    <row r="155" spans="1:11" ht="26.25" thickBot="1">
      <c r="A155" s="3073">
        <v>141</v>
      </c>
      <c r="B155" s="3074">
        <v>11</v>
      </c>
      <c r="C155" s="3079">
        <v>44405</v>
      </c>
      <c r="D155" s="3074" t="s">
        <v>3421</v>
      </c>
      <c r="E155" s="3072" t="s">
        <v>3109</v>
      </c>
      <c r="F155" s="3072" t="s">
        <v>3235</v>
      </c>
      <c r="G155" s="3464" t="s">
        <v>3383</v>
      </c>
      <c r="H155" s="3465"/>
      <c r="I155" s="3074">
        <v>5686</v>
      </c>
      <c r="J155" s="3464" t="s">
        <v>3385</v>
      </c>
      <c r="K155" s="3465"/>
    </row>
    <row r="156" spans="1:11" ht="26.25" thickBot="1">
      <c r="A156" s="3073">
        <v>142</v>
      </c>
      <c r="B156" s="3074">
        <v>11</v>
      </c>
      <c r="C156" s="3079">
        <v>44405</v>
      </c>
      <c r="D156" s="3074" t="s">
        <v>3422</v>
      </c>
      <c r="E156" s="3072" t="s">
        <v>3109</v>
      </c>
      <c r="F156" s="3072" t="s">
        <v>3235</v>
      </c>
      <c r="G156" s="3464" t="s">
        <v>3380</v>
      </c>
      <c r="H156" s="3465"/>
      <c r="I156" s="3074">
        <v>5686</v>
      </c>
      <c r="J156" s="3464" t="s">
        <v>3381</v>
      </c>
      <c r="K156" s="3465"/>
    </row>
    <row r="157" spans="1:11" ht="26.25" thickBot="1">
      <c r="A157" s="3073">
        <v>143</v>
      </c>
      <c r="B157" s="3074">
        <v>11</v>
      </c>
      <c r="C157" s="3079">
        <v>44405</v>
      </c>
      <c r="D157" s="3074" t="s">
        <v>3423</v>
      </c>
      <c r="E157" s="3072" t="s">
        <v>3109</v>
      </c>
      <c r="F157" s="3072" t="s">
        <v>3235</v>
      </c>
      <c r="G157" s="3464" t="s">
        <v>3388</v>
      </c>
      <c r="H157" s="3465"/>
      <c r="I157" s="3074">
        <v>5686</v>
      </c>
      <c r="J157" s="3464" t="s">
        <v>3389</v>
      </c>
      <c r="K157" s="3465"/>
    </row>
    <row r="158" spans="1:11" ht="26.25" thickBot="1">
      <c r="A158" s="3073">
        <v>144</v>
      </c>
      <c r="B158" s="3074">
        <v>11</v>
      </c>
      <c r="C158" s="3079">
        <v>44436</v>
      </c>
      <c r="D158" s="3074" t="s">
        <v>3424</v>
      </c>
      <c r="E158" s="3072" t="s">
        <v>3109</v>
      </c>
      <c r="F158" s="3072" t="s">
        <v>3235</v>
      </c>
      <c r="G158" s="3464" t="s">
        <v>3388</v>
      </c>
      <c r="H158" s="3465"/>
      <c r="I158" s="3074">
        <v>5686</v>
      </c>
      <c r="J158" s="3464" t="s">
        <v>3389</v>
      </c>
      <c r="K158" s="3465"/>
    </row>
    <row r="159" spans="1:11" ht="26.25" thickBot="1">
      <c r="A159" s="3073">
        <v>145</v>
      </c>
      <c r="B159" s="3074">
        <v>11</v>
      </c>
      <c r="C159" s="3079">
        <v>44436</v>
      </c>
      <c r="D159" s="3074" t="s">
        <v>3425</v>
      </c>
      <c r="E159" s="3072" t="s">
        <v>3109</v>
      </c>
      <c r="F159" s="3072" t="s">
        <v>3235</v>
      </c>
      <c r="G159" s="3080">
        <v>118</v>
      </c>
      <c r="H159" s="3074">
        <v>23</v>
      </c>
      <c r="I159" s="3074">
        <v>5686</v>
      </c>
      <c r="J159" s="3081">
        <v>6</v>
      </c>
      <c r="K159" s="3074" t="s">
        <v>3396</v>
      </c>
    </row>
    <row r="160" spans="1:11" ht="26.25" thickBot="1">
      <c r="A160" s="3073">
        <v>146</v>
      </c>
      <c r="B160" s="3074">
        <v>11</v>
      </c>
      <c r="C160" s="3079">
        <v>44436</v>
      </c>
      <c r="D160" s="3074" t="s">
        <v>3426</v>
      </c>
      <c r="E160" s="3072" t="s">
        <v>3109</v>
      </c>
      <c r="F160" s="3072" t="s">
        <v>3235</v>
      </c>
      <c r="G160" s="3464" t="s">
        <v>3383</v>
      </c>
      <c r="H160" s="3465"/>
      <c r="I160" s="3074">
        <v>5686</v>
      </c>
      <c r="J160" s="3464" t="s">
        <v>3370</v>
      </c>
      <c r="K160" s="3465"/>
    </row>
    <row r="161" spans="1:11" ht="26.25" thickBot="1">
      <c r="A161" s="3073">
        <v>147</v>
      </c>
      <c r="B161" s="3074">
        <v>11</v>
      </c>
      <c r="C161" s="3079">
        <v>44436</v>
      </c>
      <c r="D161" s="3074" t="s">
        <v>3427</v>
      </c>
      <c r="E161" s="3072" t="s">
        <v>3109</v>
      </c>
      <c r="F161" s="3072" t="s">
        <v>3235</v>
      </c>
      <c r="G161" s="3464" t="s">
        <v>3383</v>
      </c>
      <c r="H161" s="3465"/>
      <c r="I161" s="3074">
        <v>5686</v>
      </c>
      <c r="J161" s="3464" t="s">
        <v>3370</v>
      </c>
      <c r="K161" s="3465"/>
    </row>
    <row r="162" spans="1:11" ht="26.25" thickBot="1">
      <c r="A162" s="3073">
        <v>148</v>
      </c>
      <c r="B162" s="3074">
        <v>11</v>
      </c>
      <c r="C162" s="3079">
        <v>44436</v>
      </c>
      <c r="D162" s="3074" t="s">
        <v>3428</v>
      </c>
      <c r="E162" s="3072" t="s">
        <v>3109</v>
      </c>
      <c r="F162" s="3072" t="s">
        <v>3235</v>
      </c>
      <c r="G162" s="3464" t="s">
        <v>3380</v>
      </c>
      <c r="H162" s="3465"/>
      <c r="I162" s="3074">
        <v>5686</v>
      </c>
      <c r="J162" s="3464" t="s">
        <v>3400</v>
      </c>
      <c r="K162" s="3465"/>
    </row>
    <row r="163" spans="1:11" ht="26.25" thickBot="1">
      <c r="A163" s="3073">
        <v>149</v>
      </c>
      <c r="B163" s="3074">
        <v>11</v>
      </c>
      <c r="C163" s="3079">
        <v>44436</v>
      </c>
      <c r="D163" s="3074" t="s">
        <v>3429</v>
      </c>
      <c r="E163" s="3072" t="s">
        <v>3109</v>
      </c>
      <c r="F163" s="3072" t="s">
        <v>3235</v>
      </c>
      <c r="G163" s="3464" t="s">
        <v>3388</v>
      </c>
      <c r="H163" s="3465"/>
      <c r="I163" s="3074">
        <v>5686</v>
      </c>
      <c r="J163" s="3464" t="s">
        <v>3389</v>
      </c>
      <c r="K163" s="3465"/>
    </row>
    <row r="164" spans="1:11" ht="26.25" thickBot="1">
      <c r="A164" s="3073">
        <v>150</v>
      </c>
      <c r="B164" s="3074">
        <v>11</v>
      </c>
      <c r="C164" s="3079">
        <v>44467</v>
      </c>
      <c r="D164" s="3074" t="s">
        <v>3430</v>
      </c>
      <c r="E164" s="3072" t="s">
        <v>3109</v>
      </c>
      <c r="F164" s="3072" t="s">
        <v>3235</v>
      </c>
      <c r="G164" s="3464" t="s">
        <v>3388</v>
      </c>
      <c r="H164" s="3465"/>
      <c r="I164" s="3074">
        <v>5686</v>
      </c>
      <c r="J164" s="3464" t="s">
        <v>3389</v>
      </c>
      <c r="K164" s="3465"/>
    </row>
    <row r="165" spans="1:11" ht="26.25" thickBot="1">
      <c r="A165" s="3073">
        <v>151</v>
      </c>
      <c r="B165" s="3074">
        <v>11</v>
      </c>
      <c r="C165" s="3079">
        <v>44467</v>
      </c>
      <c r="D165" s="3074" t="s">
        <v>3431</v>
      </c>
      <c r="E165" s="3072" t="s">
        <v>3109</v>
      </c>
      <c r="F165" s="3072" t="s">
        <v>3235</v>
      </c>
      <c r="G165" s="3464" t="s">
        <v>3380</v>
      </c>
      <c r="H165" s="3465"/>
      <c r="I165" s="3074">
        <v>5686</v>
      </c>
      <c r="J165" s="3464" t="s">
        <v>3381</v>
      </c>
      <c r="K165" s="3465"/>
    </row>
    <row r="166" spans="1:11" ht="26.25" thickBot="1">
      <c r="A166" s="3073">
        <v>152</v>
      </c>
      <c r="B166" s="3074">
        <v>11</v>
      </c>
      <c r="C166" s="3079">
        <v>44467</v>
      </c>
      <c r="D166" s="3074" t="s">
        <v>3432</v>
      </c>
      <c r="E166" s="3072" t="s">
        <v>3109</v>
      </c>
      <c r="F166" s="3072" t="s">
        <v>3235</v>
      </c>
      <c r="G166" s="3081">
        <v>133</v>
      </c>
      <c r="H166" s="3074">
        <v>21</v>
      </c>
      <c r="I166" s="3074">
        <v>5686</v>
      </c>
      <c r="J166" s="3081">
        <v>7</v>
      </c>
      <c r="K166" s="3074" t="s">
        <v>3415</v>
      </c>
    </row>
    <row r="167" spans="1:11" ht="26.25" thickBot="1">
      <c r="A167" s="3073">
        <v>153</v>
      </c>
      <c r="B167" s="3074">
        <v>11</v>
      </c>
      <c r="C167" s="3079">
        <v>44467</v>
      </c>
      <c r="D167" s="3074" t="s">
        <v>3433</v>
      </c>
      <c r="E167" s="3072" t="s">
        <v>3109</v>
      </c>
      <c r="F167" s="3072" t="s">
        <v>3235</v>
      </c>
      <c r="G167" s="3464" t="s">
        <v>3383</v>
      </c>
      <c r="H167" s="3465"/>
      <c r="I167" s="3074">
        <v>5686</v>
      </c>
      <c r="J167" s="3464" t="s">
        <v>3370</v>
      </c>
      <c r="K167" s="3465"/>
    </row>
    <row r="168" spans="1:11" ht="26.25" thickBot="1">
      <c r="A168" s="3073">
        <v>154</v>
      </c>
      <c r="B168" s="3074">
        <v>11</v>
      </c>
      <c r="C168" s="3079">
        <v>44467</v>
      </c>
      <c r="D168" s="3074" t="s">
        <v>3434</v>
      </c>
      <c r="E168" s="3072" t="s">
        <v>3109</v>
      </c>
      <c r="F168" s="3072" t="s">
        <v>3235</v>
      </c>
      <c r="G168" s="3464" t="s">
        <v>3380</v>
      </c>
      <c r="H168" s="3465"/>
      <c r="I168" s="3074">
        <v>5686</v>
      </c>
      <c r="J168" s="3464" t="s">
        <v>3381</v>
      </c>
      <c r="K168" s="3465"/>
    </row>
    <row r="169" spans="1:11" ht="26.25" thickBot="1">
      <c r="A169" s="3073">
        <v>155</v>
      </c>
      <c r="B169" s="3074">
        <v>11</v>
      </c>
      <c r="C169" s="3079">
        <v>44467</v>
      </c>
      <c r="D169" s="3074" t="s">
        <v>3435</v>
      </c>
      <c r="E169" s="3072" t="s">
        <v>3109</v>
      </c>
      <c r="F169" s="3072" t="s">
        <v>3235</v>
      </c>
      <c r="G169" s="3464" t="s">
        <v>3388</v>
      </c>
      <c r="H169" s="3465"/>
      <c r="I169" s="3074">
        <v>5686</v>
      </c>
      <c r="J169" s="3464" t="s">
        <v>3391</v>
      </c>
      <c r="K169" s="3465"/>
    </row>
    <row r="170" spans="1:11" ht="26.25" thickBot="1">
      <c r="A170" s="3073">
        <v>156</v>
      </c>
      <c r="B170" s="3074">
        <v>11</v>
      </c>
      <c r="C170" s="3079">
        <v>44497</v>
      </c>
      <c r="D170" s="3074" t="s">
        <v>3436</v>
      </c>
      <c r="E170" s="3072" t="s">
        <v>3109</v>
      </c>
      <c r="F170" s="3072" t="s">
        <v>3235</v>
      </c>
      <c r="G170" s="3464" t="s">
        <v>3388</v>
      </c>
      <c r="H170" s="3465"/>
      <c r="I170" s="3074">
        <v>5686</v>
      </c>
      <c r="J170" s="3464" t="s">
        <v>3389</v>
      </c>
      <c r="K170" s="3465"/>
    </row>
    <row r="171" spans="1:11" ht="26.25" thickBot="1">
      <c r="A171" s="3073">
        <v>157</v>
      </c>
      <c r="B171" s="3074">
        <v>11</v>
      </c>
      <c r="C171" s="3079">
        <v>44497</v>
      </c>
      <c r="D171" s="3074" t="s">
        <v>3437</v>
      </c>
      <c r="E171" s="3072" t="s">
        <v>3109</v>
      </c>
      <c r="F171" s="3072" t="s">
        <v>3235</v>
      </c>
      <c r="G171" s="3464" t="s">
        <v>3380</v>
      </c>
      <c r="H171" s="3465"/>
      <c r="I171" s="3074">
        <v>5686</v>
      </c>
      <c r="J171" s="3464" t="s">
        <v>3381</v>
      </c>
      <c r="K171" s="3465"/>
    </row>
    <row r="172" spans="1:11" ht="26.25" thickBot="1">
      <c r="A172" s="3073">
        <v>158</v>
      </c>
      <c r="B172" s="3074">
        <v>11</v>
      </c>
      <c r="C172" s="3079">
        <v>44497</v>
      </c>
      <c r="D172" s="3074" t="s">
        <v>3438</v>
      </c>
      <c r="E172" s="3072" t="s">
        <v>3109</v>
      </c>
      <c r="F172" s="3072" t="s">
        <v>3235</v>
      </c>
      <c r="G172" s="3464" t="s">
        <v>3383</v>
      </c>
      <c r="H172" s="3465"/>
      <c r="I172" s="3074">
        <v>5686</v>
      </c>
      <c r="J172" s="3464" t="s">
        <v>3385</v>
      </c>
      <c r="K172" s="3465"/>
    </row>
    <row r="173" spans="1:11" ht="26.25" thickBot="1">
      <c r="A173" s="3073">
        <v>159</v>
      </c>
      <c r="B173" s="3074">
        <v>11</v>
      </c>
      <c r="C173" s="3079">
        <v>44497</v>
      </c>
      <c r="D173" s="3074" t="s">
        <v>3439</v>
      </c>
      <c r="E173" s="3072" t="s">
        <v>3109</v>
      </c>
      <c r="F173" s="3072" t="s">
        <v>3235</v>
      </c>
      <c r="G173" s="3464" t="s">
        <v>3383</v>
      </c>
      <c r="H173" s="3465"/>
      <c r="I173" s="3074">
        <v>5686</v>
      </c>
      <c r="J173" s="3464" t="s">
        <v>3370</v>
      </c>
      <c r="K173" s="3465"/>
    </row>
    <row r="174" spans="1:11" ht="26.25" thickBot="1">
      <c r="A174" s="3073">
        <v>160</v>
      </c>
      <c r="B174" s="3074">
        <v>11</v>
      </c>
      <c r="C174" s="3079">
        <v>44497</v>
      </c>
      <c r="D174" s="3074" t="s">
        <v>3440</v>
      </c>
      <c r="E174" s="3072" t="s">
        <v>3109</v>
      </c>
      <c r="F174" s="3072" t="s">
        <v>3235</v>
      </c>
      <c r="G174" s="3464" t="s">
        <v>3380</v>
      </c>
      <c r="H174" s="3465"/>
      <c r="I174" s="3074">
        <v>5686</v>
      </c>
      <c r="J174" s="3464" t="s">
        <v>3381</v>
      </c>
      <c r="K174" s="3465"/>
    </row>
    <row r="175" spans="1:11" ht="26.25" thickBot="1">
      <c r="A175" s="3073">
        <v>161</v>
      </c>
      <c r="B175" s="3074">
        <v>11</v>
      </c>
      <c r="C175" s="3079">
        <v>44497</v>
      </c>
      <c r="D175" s="3074" t="s">
        <v>3441</v>
      </c>
      <c r="E175" s="3072" t="s">
        <v>3109</v>
      </c>
      <c r="F175" s="3072" t="s">
        <v>3235</v>
      </c>
      <c r="G175" s="3464" t="s">
        <v>3388</v>
      </c>
      <c r="H175" s="3465"/>
      <c r="I175" s="3074">
        <v>5686</v>
      </c>
      <c r="J175" s="3464" t="s">
        <v>3389</v>
      </c>
      <c r="K175" s="3465"/>
    </row>
    <row r="176" spans="1:11">
      <c r="A176" s="3070"/>
    </row>
    <row r="178" spans="1:11" ht="14.25" thickBot="1">
      <c r="A178" s="3078"/>
    </row>
    <row r="179" spans="1:11">
      <c r="A179" s="3458" t="s">
        <v>3223</v>
      </c>
      <c r="B179" s="3458" t="s">
        <v>3224</v>
      </c>
      <c r="C179" s="3071" t="s">
        <v>3225</v>
      </c>
      <c r="D179" s="3458" t="s">
        <v>3227</v>
      </c>
      <c r="E179" s="3458" t="s">
        <v>1341</v>
      </c>
      <c r="F179" s="3458" t="s">
        <v>3228</v>
      </c>
      <c r="G179" s="3460" t="s">
        <v>3229</v>
      </c>
      <c r="H179" s="3461"/>
      <c r="I179" s="3458" t="s">
        <v>3231</v>
      </c>
      <c r="J179" s="3460" t="s">
        <v>3232</v>
      </c>
      <c r="K179" s="3461"/>
    </row>
    <row r="180" spans="1:11" ht="14.25" thickBot="1">
      <c r="A180" s="3459"/>
      <c r="B180" s="3459"/>
      <c r="C180" s="3072" t="s">
        <v>3226</v>
      </c>
      <c r="D180" s="3459"/>
      <c r="E180" s="3459"/>
      <c r="F180" s="3459"/>
      <c r="G180" s="3462" t="s">
        <v>3230</v>
      </c>
      <c r="H180" s="3463"/>
      <c r="I180" s="3459"/>
      <c r="J180" s="3462"/>
      <c r="K180" s="3463"/>
    </row>
    <row r="181" spans="1:11" ht="26.25" thickBot="1">
      <c r="A181" s="3073">
        <v>162</v>
      </c>
      <c r="B181" s="3074">
        <v>11</v>
      </c>
      <c r="C181" s="3079">
        <v>44528</v>
      </c>
      <c r="D181" s="3074" t="s">
        <v>3442</v>
      </c>
      <c r="E181" s="3072" t="s">
        <v>3109</v>
      </c>
      <c r="F181" s="3072" t="s">
        <v>3235</v>
      </c>
      <c r="G181" s="3464" t="s">
        <v>3388</v>
      </c>
      <c r="H181" s="3465"/>
      <c r="I181" s="3074">
        <v>5686</v>
      </c>
      <c r="J181" s="3464" t="s">
        <v>3389</v>
      </c>
      <c r="K181" s="3465"/>
    </row>
    <row r="182" spans="1:11" ht="26.25" thickBot="1">
      <c r="A182" s="3073">
        <v>163</v>
      </c>
      <c r="B182" s="3074">
        <v>11</v>
      </c>
      <c r="C182" s="3079">
        <v>44528</v>
      </c>
      <c r="D182" s="3074" t="s">
        <v>3443</v>
      </c>
      <c r="E182" s="3072" t="s">
        <v>3109</v>
      </c>
      <c r="F182" s="3072" t="s">
        <v>3235</v>
      </c>
      <c r="G182" s="3080">
        <v>118</v>
      </c>
      <c r="H182" s="3074">
        <v>23</v>
      </c>
      <c r="I182" s="3074">
        <v>5686</v>
      </c>
      <c r="J182" s="3081">
        <v>6</v>
      </c>
      <c r="K182" s="3074" t="s">
        <v>3396</v>
      </c>
    </row>
    <row r="183" spans="1:11" ht="26.25" thickBot="1">
      <c r="A183" s="3073">
        <v>164</v>
      </c>
      <c r="B183" s="3074">
        <v>11</v>
      </c>
      <c r="C183" s="3079">
        <v>44528</v>
      </c>
      <c r="D183" s="3074" t="s">
        <v>3444</v>
      </c>
      <c r="E183" s="3072" t="s">
        <v>3109</v>
      </c>
      <c r="F183" s="3072" t="s">
        <v>3235</v>
      </c>
      <c r="G183" s="3464" t="s">
        <v>3383</v>
      </c>
      <c r="H183" s="3465"/>
      <c r="I183" s="3074">
        <v>5686</v>
      </c>
      <c r="J183" s="3464" t="s">
        <v>3370</v>
      </c>
      <c r="K183" s="3465"/>
    </row>
    <row r="184" spans="1:11" ht="23.25" thickBot="1">
      <c r="A184" s="3073">
        <v>165</v>
      </c>
      <c r="B184" s="3074">
        <v>11</v>
      </c>
      <c r="C184" s="3079">
        <v>44528</v>
      </c>
      <c r="D184" s="3082" t="s">
        <v>3445</v>
      </c>
      <c r="E184" s="3083" t="s">
        <v>3109</v>
      </c>
      <c r="F184" s="3083" t="s">
        <v>3235</v>
      </c>
      <c r="G184" s="3464" t="s">
        <v>3383</v>
      </c>
      <c r="H184" s="3465"/>
      <c r="I184" s="3074">
        <v>5686</v>
      </c>
      <c r="J184" s="3464" t="s">
        <v>3370</v>
      </c>
      <c r="K184" s="3465"/>
    </row>
    <row r="185" spans="1:11" ht="23.25" thickBot="1">
      <c r="A185" s="3073">
        <v>166</v>
      </c>
      <c r="B185" s="3074">
        <v>11</v>
      </c>
      <c r="C185" s="3079">
        <v>44528</v>
      </c>
      <c r="D185" s="3082" t="s">
        <v>3446</v>
      </c>
      <c r="E185" s="3083" t="s">
        <v>3109</v>
      </c>
      <c r="F185" s="3083" t="s">
        <v>3235</v>
      </c>
      <c r="G185" s="3464" t="s">
        <v>3380</v>
      </c>
      <c r="H185" s="3465"/>
      <c r="I185" s="3074">
        <v>5686</v>
      </c>
      <c r="J185" s="3464" t="s">
        <v>3400</v>
      </c>
      <c r="K185" s="3465"/>
    </row>
    <row r="186" spans="1:11" ht="26.25" thickBot="1">
      <c r="A186" s="3073">
        <v>167</v>
      </c>
      <c r="B186" s="3074">
        <v>11</v>
      </c>
      <c r="C186" s="3079">
        <v>44528</v>
      </c>
      <c r="D186" s="3074" t="s">
        <v>3447</v>
      </c>
      <c r="E186" s="3072" t="s">
        <v>3109</v>
      </c>
      <c r="F186" s="3072" t="s">
        <v>3235</v>
      </c>
      <c r="G186" s="3464" t="s">
        <v>3388</v>
      </c>
      <c r="H186" s="3465"/>
      <c r="I186" s="3074">
        <v>5686</v>
      </c>
      <c r="J186" s="3464" t="s">
        <v>3389</v>
      </c>
      <c r="K186" s="3465"/>
    </row>
    <row r="187" spans="1:11" ht="26.25" thickBot="1">
      <c r="A187" s="3073">
        <v>168</v>
      </c>
      <c r="B187" s="3074">
        <v>11</v>
      </c>
      <c r="C187" s="3079">
        <v>44558</v>
      </c>
      <c r="D187" s="3074" t="s">
        <v>3448</v>
      </c>
      <c r="E187" s="3072" t="s">
        <v>3109</v>
      </c>
      <c r="F187" s="3072" t="s">
        <v>3235</v>
      </c>
      <c r="G187" s="3464" t="s">
        <v>3388</v>
      </c>
      <c r="H187" s="3465"/>
      <c r="I187" s="3074">
        <v>5686</v>
      </c>
      <c r="J187" s="3464" t="s">
        <v>3389</v>
      </c>
      <c r="K187" s="3465"/>
    </row>
    <row r="188" spans="1:11" ht="26.25" thickBot="1">
      <c r="A188" s="3073">
        <v>169</v>
      </c>
      <c r="B188" s="3074">
        <v>11</v>
      </c>
      <c r="C188" s="3079">
        <v>44558</v>
      </c>
      <c r="D188" s="3074" t="s">
        <v>3449</v>
      </c>
      <c r="E188" s="3072" t="s">
        <v>3109</v>
      </c>
      <c r="F188" s="3072" t="s">
        <v>3235</v>
      </c>
      <c r="G188" s="3464" t="s">
        <v>3380</v>
      </c>
      <c r="H188" s="3465"/>
      <c r="I188" s="3074">
        <v>5686</v>
      </c>
      <c r="J188" s="3464" t="s">
        <v>3400</v>
      </c>
      <c r="K188" s="3465"/>
    </row>
    <row r="189" spans="1:11" ht="26.25" thickBot="1">
      <c r="A189" s="3073">
        <v>170</v>
      </c>
      <c r="B189" s="3074">
        <v>11</v>
      </c>
      <c r="C189" s="3079">
        <v>44558</v>
      </c>
      <c r="D189" s="3074" t="s">
        <v>3450</v>
      </c>
      <c r="E189" s="3072" t="s">
        <v>3109</v>
      </c>
      <c r="F189" s="3072" t="s">
        <v>3235</v>
      </c>
      <c r="G189" s="3464" t="s">
        <v>3383</v>
      </c>
      <c r="H189" s="3465"/>
      <c r="I189" s="3074">
        <v>5686</v>
      </c>
      <c r="J189" s="3464" t="s">
        <v>3370</v>
      </c>
      <c r="K189" s="3465"/>
    </row>
    <row r="190" spans="1:11" ht="26.25" thickBot="1">
      <c r="A190" s="3073">
        <v>171</v>
      </c>
      <c r="B190" s="3074">
        <v>11</v>
      </c>
      <c r="C190" s="3079">
        <v>44558</v>
      </c>
      <c r="D190" s="3074" t="s">
        <v>3451</v>
      </c>
      <c r="E190" s="3072" t="s">
        <v>3109</v>
      </c>
      <c r="F190" s="3072" t="s">
        <v>3235</v>
      </c>
      <c r="G190" s="3464" t="s">
        <v>3383</v>
      </c>
      <c r="H190" s="3465"/>
      <c r="I190" s="3074">
        <v>5686</v>
      </c>
      <c r="J190" s="3464" t="s">
        <v>3370</v>
      </c>
      <c r="K190" s="3465"/>
    </row>
    <row r="191" spans="1:11" ht="26.25" thickBot="1">
      <c r="A191" s="3073">
        <v>172</v>
      </c>
      <c r="B191" s="3074">
        <v>11</v>
      </c>
      <c r="C191" s="3079">
        <v>44558</v>
      </c>
      <c r="D191" s="3074" t="s">
        <v>3452</v>
      </c>
      <c r="E191" s="3072" t="s">
        <v>3109</v>
      </c>
      <c r="F191" s="3072" t="s">
        <v>3235</v>
      </c>
      <c r="G191" s="3464" t="s">
        <v>3380</v>
      </c>
      <c r="H191" s="3465"/>
      <c r="I191" s="3074">
        <v>5686</v>
      </c>
      <c r="J191" s="3464" t="s">
        <v>3381</v>
      </c>
      <c r="K191" s="3465"/>
    </row>
    <row r="192" spans="1:11" ht="26.25" thickBot="1">
      <c r="A192" s="3073">
        <v>173</v>
      </c>
      <c r="B192" s="3074">
        <v>11</v>
      </c>
      <c r="C192" s="3079">
        <v>44558</v>
      </c>
      <c r="D192" s="3074" t="s">
        <v>3453</v>
      </c>
      <c r="E192" s="3072" t="s">
        <v>3109</v>
      </c>
      <c r="F192" s="3072" t="s">
        <v>3235</v>
      </c>
      <c r="G192" s="3080">
        <v>150</v>
      </c>
      <c r="H192" s="3074">
        <v>35</v>
      </c>
      <c r="I192" s="3074">
        <v>5686</v>
      </c>
      <c r="J192" s="3081">
        <v>8</v>
      </c>
      <c r="K192" s="3074" t="s">
        <v>3378</v>
      </c>
    </row>
    <row r="193" spans="1:11" ht="26.25" thickBot="1">
      <c r="A193" s="3073">
        <v>174</v>
      </c>
      <c r="B193" s="3074">
        <v>11</v>
      </c>
      <c r="C193" s="3074" t="s">
        <v>3454</v>
      </c>
      <c r="D193" s="3074" t="s">
        <v>3455</v>
      </c>
      <c r="E193" s="3072" t="s">
        <v>3109</v>
      </c>
      <c r="F193" s="3072" t="s">
        <v>3235</v>
      </c>
      <c r="G193" s="3464" t="s">
        <v>3388</v>
      </c>
      <c r="H193" s="3465"/>
      <c r="I193" s="3074">
        <v>5686</v>
      </c>
      <c r="J193" s="3464" t="s">
        <v>3389</v>
      </c>
      <c r="K193" s="3465"/>
    </row>
    <row r="194" spans="1:11" ht="26.25" thickBot="1">
      <c r="A194" s="3073">
        <v>175</v>
      </c>
      <c r="B194" s="3074">
        <v>11</v>
      </c>
      <c r="C194" s="3074" t="s">
        <v>3454</v>
      </c>
      <c r="D194" s="3074" t="s">
        <v>3456</v>
      </c>
      <c r="E194" s="3072" t="s">
        <v>3109</v>
      </c>
      <c r="F194" s="3072" t="s">
        <v>3235</v>
      </c>
      <c r="G194" s="3464" t="s">
        <v>3380</v>
      </c>
      <c r="H194" s="3465"/>
      <c r="I194" s="3074">
        <v>5686</v>
      </c>
      <c r="J194" s="3464" t="s">
        <v>3381</v>
      </c>
      <c r="K194" s="3465"/>
    </row>
    <row r="195" spans="1:11" ht="23.25" thickBot="1">
      <c r="A195" s="3073">
        <v>176</v>
      </c>
      <c r="B195" s="3074">
        <v>11</v>
      </c>
      <c r="C195" s="3074" t="s">
        <v>3454</v>
      </c>
      <c r="D195" s="3082" t="s">
        <v>3457</v>
      </c>
      <c r="E195" s="3083" t="s">
        <v>3109</v>
      </c>
      <c r="F195" s="3083" t="s">
        <v>3235</v>
      </c>
      <c r="G195" s="3464" t="s">
        <v>3383</v>
      </c>
      <c r="H195" s="3465"/>
      <c r="I195" s="3074">
        <v>5686</v>
      </c>
      <c r="J195" s="3464" t="s">
        <v>3385</v>
      </c>
      <c r="K195" s="3465"/>
    </row>
    <row r="196" spans="1:11" ht="26.25" thickBot="1">
      <c r="A196" s="3073">
        <v>177</v>
      </c>
      <c r="B196" s="3074">
        <v>11</v>
      </c>
      <c r="C196" s="3074" t="s">
        <v>3454</v>
      </c>
      <c r="D196" s="3074" t="s">
        <v>3458</v>
      </c>
      <c r="E196" s="3072" t="s">
        <v>3109</v>
      </c>
      <c r="F196" s="3072" t="s">
        <v>3235</v>
      </c>
      <c r="G196" s="3464" t="s">
        <v>3383</v>
      </c>
      <c r="H196" s="3465"/>
      <c r="I196" s="3074">
        <v>5686</v>
      </c>
      <c r="J196" s="3464" t="s">
        <v>3370</v>
      </c>
      <c r="K196" s="3465"/>
    </row>
    <row r="197" spans="1:11" ht="26.25" thickBot="1">
      <c r="A197" s="3073">
        <v>178</v>
      </c>
      <c r="B197" s="3074">
        <v>11</v>
      </c>
      <c r="C197" s="3074" t="s">
        <v>3454</v>
      </c>
      <c r="D197" s="3074" t="s">
        <v>3459</v>
      </c>
      <c r="E197" s="3072" t="s">
        <v>3109</v>
      </c>
      <c r="F197" s="3072" t="s">
        <v>3235</v>
      </c>
      <c r="G197" s="3464" t="s">
        <v>3380</v>
      </c>
      <c r="H197" s="3465"/>
      <c r="I197" s="3074">
        <v>5686</v>
      </c>
      <c r="J197" s="3464" t="s">
        <v>3381</v>
      </c>
      <c r="K197" s="3465"/>
    </row>
    <row r="198" spans="1:11" ht="26.25" thickBot="1">
      <c r="A198" s="3073">
        <v>179</v>
      </c>
      <c r="B198" s="3074">
        <v>11</v>
      </c>
      <c r="C198" s="3074" t="s">
        <v>3454</v>
      </c>
      <c r="D198" s="3074" t="s">
        <v>3460</v>
      </c>
      <c r="E198" s="3072" t="s">
        <v>3109</v>
      </c>
      <c r="F198" s="3072" t="s">
        <v>3235</v>
      </c>
      <c r="G198" s="3464" t="s">
        <v>3388</v>
      </c>
      <c r="H198" s="3465"/>
      <c r="I198" s="3074">
        <v>5686</v>
      </c>
      <c r="J198" s="3464" t="s">
        <v>3391</v>
      </c>
      <c r="K198" s="3465"/>
    </row>
    <row r="199" spans="1:11" ht="26.25" thickBot="1">
      <c r="A199" s="3073">
        <v>180</v>
      </c>
      <c r="B199" s="3074">
        <v>11</v>
      </c>
      <c r="C199" s="3074" t="s">
        <v>3461</v>
      </c>
      <c r="D199" s="3074" t="s">
        <v>3462</v>
      </c>
      <c r="E199" s="3072" t="s">
        <v>3109</v>
      </c>
      <c r="F199" s="3072" t="s">
        <v>3235</v>
      </c>
      <c r="G199" s="3464" t="s">
        <v>3388</v>
      </c>
      <c r="H199" s="3465"/>
      <c r="I199" s="3074">
        <v>5686</v>
      </c>
      <c r="J199" s="3464" t="s">
        <v>3389</v>
      </c>
      <c r="K199" s="3465"/>
    </row>
    <row r="200" spans="1:11" ht="26.25" thickBot="1">
      <c r="A200" s="3073">
        <v>181</v>
      </c>
      <c r="B200" s="3074">
        <v>11</v>
      </c>
      <c r="C200" s="3074" t="s">
        <v>3461</v>
      </c>
      <c r="D200" s="3074" t="s">
        <v>3463</v>
      </c>
      <c r="E200" s="3072" t="s">
        <v>3109</v>
      </c>
      <c r="F200" s="3072" t="s">
        <v>3235</v>
      </c>
      <c r="G200" s="3464" t="s">
        <v>3380</v>
      </c>
      <c r="H200" s="3465"/>
      <c r="I200" s="3074">
        <v>5686</v>
      </c>
      <c r="J200" s="3464" t="s">
        <v>3381</v>
      </c>
      <c r="K200" s="3465"/>
    </row>
    <row r="201" spans="1:11" ht="26.25" thickBot="1">
      <c r="A201" s="3073">
        <v>182</v>
      </c>
      <c r="B201" s="3074">
        <v>11</v>
      </c>
      <c r="C201" s="3074" t="s">
        <v>3461</v>
      </c>
      <c r="D201" s="3074" t="s">
        <v>3464</v>
      </c>
      <c r="E201" s="3072" t="s">
        <v>3109</v>
      </c>
      <c r="F201" s="3072" t="s">
        <v>3235</v>
      </c>
      <c r="G201" s="3464" t="s">
        <v>3383</v>
      </c>
      <c r="H201" s="3465"/>
      <c r="I201" s="3074">
        <v>5686</v>
      </c>
      <c r="J201" s="3464" t="s">
        <v>3370</v>
      </c>
      <c r="K201" s="3465"/>
    </row>
    <row r="202" spans="1:11" ht="26.25" thickBot="1">
      <c r="A202" s="3073">
        <v>183</v>
      </c>
      <c r="B202" s="3074">
        <v>11</v>
      </c>
      <c r="C202" s="3074" t="s">
        <v>3461</v>
      </c>
      <c r="D202" s="3074" t="s">
        <v>3465</v>
      </c>
      <c r="E202" s="3072" t="s">
        <v>3109</v>
      </c>
      <c r="F202" s="3072" t="s">
        <v>3235</v>
      </c>
      <c r="G202" s="3464" t="s">
        <v>3383</v>
      </c>
      <c r="H202" s="3465"/>
      <c r="I202" s="3074">
        <v>5686</v>
      </c>
      <c r="J202" s="3464" t="s">
        <v>3385</v>
      </c>
      <c r="K202" s="3465"/>
    </row>
    <row r="203" spans="1:11" ht="26.25" thickBot="1">
      <c r="A203" s="3073">
        <v>184</v>
      </c>
      <c r="B203" s="3074">
        <v>11</v>
      </c>
      <c r="C203" s="3074" t="s">
        <v>3461</v>
      </c>
      <c r="D203" s="3074" t="s">
        <v>3466</v>
      </c>
      <c r="E203" s="3072" t="s">
        <v>3109</v>
      </c>
      <c r="F203" s="3072" t="s">
        <v>3235</v>
      </c>
      <c r="G203" s="3464" t="s">
        <v>3380</v>
      </c>
      <c r="H203" s="3465"/>
      <c r="I203" s="3074">
        <v>5686</v>
      </c>
      <c r="J203" s="3464" t="s">
        <v>3381</v>
      </c>
      <c r="K203" s="3465"/>
    </row>
    <row r="204" spans="1:11" ht="26.25" thickBot="1">
      <c r="A204" s="3073">
        <v>185</v>
      </c>
      <c r="B204" s="3074">
        <v>11</v>
      </c>
      <c r="C204" s="3074" t="s">
        <v>3461</v>
      </c>
      <c r="D204" s="3074" t="s">
        <v>3467</v>
      </c>
      <c r="E204" s="3072" t="s">
        <v>3109</v>
      </c>
      <c r="F204" s="3072" t="s">
        <v>3235</v>
      </c>
      <c r="G204" s="3464" t="s">
        <v>3388</v>
      </c>
      <c r="H204" s="3465"/>
      <c r="I204" s="3074">
        <v>5686</v>
      </c>
      <c r="J204" s="3464" t="s">
        <v>3389</v>
      </c>
      <c r="K204" s="3465"/>
    </row>
    <row r="205" spans="1:11" ht="26.25" thickBot="1">
      <c r="A205" s="3073">
        <v>186</v>
      </c>
      <c r="B205" s="3074">
        <v>11</v>
      </c>
      <c r="C205" s="3074" t="s">
        <v>3468</v>
      </c>
      <c r="D205" s="3074" t="s">
        <v>3469</v>
      </c>
      <c r="E205" s="3072" t="s">
        <v>3109</v>
      </c>
      <c r="F205" s="3072" t="s">
        <v>3235</v>
      </c>
      <c r="G205" s="3464" t="s">
        <v>3388</v>
      </c>
      <c r="H205" s="3465"/>
      <c r="I205" s="3074">
        <v>5686</v>
      </c>
      <c r="J205" s="3464" t="s">
        <v>3391</v>
      </c>
      <c r="K205" s="3465"/>
    </row>
    <row r="206" spans="1:11" ht="26.25" thickBot="1">
      <c r="A206" s="3073">
        <v>187</v>
      </c>
      <c r="B206" s="3074">
        <v>11</v>
      </c>
      <c r="C206" s="3074" t="s">
        <v>3468</v>
      </c>
      <c r="D206" s="3074" t="s">
        <v>3470</v>
      </c>
      <c r="E206" s="3072" t="s">
        <v>3109</v>
      </c>
      <c r="F206" s="3072" t="s">
        <v>3235</v>
      </c>
      <c r="G206" s="3464" t="s">
        <v>3380</v>
      </c>
      <c r="H206" s="3465"/>
      <c r="I206" s="3074">
        <v>5686</v>
      </c>
      <c r="J206" s="3464" t="s">
        <v>3381</v>
      </c>
      <c r="K206" s="3465"/>
    </row>
    <row r="207" spans="1:11" ht="26.25" thickBot="1">
      <c r="A207" s="3073">
        <v>188</v>
      </c>
      <c r="B207" s="3074">
        <v>11</v>
      </c>
      <c r="C207" s="3074" t="s">
        <v>3468</v>
      </c>
      <c r="D207" s="3074" t="s">
        <v>3471</v>
      </c>
      <c r="E207" s="3072" t="s">
        <v>3109</v>
      </c>
      <c r="F207" s="3072" t="s">
        <v>3235</v>
      </c>
      <c r="G207" s="3464" t="s">
        <v>3383</v>
      </c>
      <c r="H207" s="3465"/>
      <c r="I207" s="3074">
        <v>5686</v>
      </c>
      <c r="J207" s="3464" t="s">
        <v>3370</v>
      </c>
      <c r="K207" s="3465"/>
    </row>
    <row r="208" spans="1:11" ht="26.25" thickBot="1">
      <c r="A208" s="3073">
        <v>189</v>
      </c>
      <c r="B208" s="3074">
        <v>11</v>
      </c>
      <c r="C208" s="3074" t="s">
        <v>3468</v>
      </c>
      <c r="D208" s="3074" t="s">
        <v>3472</v>
      </c>
      <c r="E208" s="3072" t="s">
        <v>3109</v>
      </c>
      <c r="F208" s="3072" t="s">
        <v>3235</v>
      </c>
      <c r="G208" s="3464" t="s">
        <v>3383</v>
      </c>
      <c r="H208" s="3465"/>
      <c r="I208" s="3074">
        <v>5686</v>
      </c>
      <c r="J208" s="3464" t="s">
        <v>3370</v>
      </c>
      <c r="K208" s="3465"/>
    </row>
    <row r="209" spans="1:11" ht="26.25" thickBot="1">
      <c r="A209" s="3073">
        <v>190</v>
      </c>
      <c r="B209" s="3074">
        <v>11</v>
      </c>
      <c r="C209" s="3074" t="s">
        <v>3468</v>
      </c>
      <c r="D209" s="3074" t="s">
        <v>3473</v>
      </c>
      <c r="E209" s="3072" t="s">
        <v>3109</v>
      </c>
      <c r="F209" s="3072" t="s">
        <v>3235</v>
      </c>
      <c r="G209" s="3080">
        <v>118</v>
      </c>
      <c r="H209" s="3074">
        <v>23</v>
      </c>
      <c r="I209" s="3074">
        <v>5686</v>
      </c>
      <c r="J209" s="3081">
        <v>6</v>
      </c>
      <c r="K209" s="3074" t="s">
        <v>3396</v>
      </c>
    </row>
    <row r="210" spans="1:11" ht="26.25" thickBot="1">
      <c r="A210" s="3073">
        <v>191</v>
      </c>
      <c r="B210" s="3074">
        <v>11</v>
      </c>
      <c r="C210" s="3074" t="s">
        <v>3468</v>
      </c>
      <c r="D210" s="3074" t="s">
        <v>3474</v>
      </c>
      <c r="E210" s="3072" t="s">
        <v>3109</v>
      </c>
      <c r="F210" s="3072" t="s">
        <v>3235</v>
      </c>
      <c r="G210" s="3464" t="s">
        <v>3388</v>
      </c>
      <c r="H210" s="3465"/>
      <c r="I210" s="3074">
        <v>5686</v>
      </c>
      <c r="J210" s="3464" t="s">
        <v>3389</v>
      </c>
      <c r="K210" s="3465"/>
    </row>
    <row r="211" spans="1:11" ht="26.25" thickBot="1">
      <c r="A211" s="3073">
        <v>192</v>
      </c>
      <c r="B211" s="3074">
        <v>11</v>
      </c>
      <c r="C211" s="3074" t="s">
        <v>3475</v>
      </c>
      <c r="D211" s="3074" t="s">
        <v>3476</v>
      </c>
      <c r="E211" s="3072" t="s">
        <v>3109</v>
      </c>
      <c r="F211" s="3072" t="s">
        <v>3235</v>
      </c>
      <c r="G211" s="3464" t="s">
        <v>3388</v>
      </c>
      <c r="H211" s="3465"/>
      <c r="I211" s="3074">
        <v>5686</v>
      </c>
      <c r="J211" s="3464" t="s">
        <v>3389</v>
      </c>
      <c r="K211" s="3465"/>
    </row>
    <row r="212" spans="1:11" ht="26.25" thickBot="1">
      <c r="A212" s="3073">
        <v>193</v>
      </c>
      <c r="B212" s="3074">
        <v>11</v>
      </c>
      <c r="C212" s="3074" t="s">
        <v>3475</v>
      </c>
      <c r="D212" s="3074" t="s">
        <v>3477</v>
      </c>
      <c r="E212" s="3072" t="s">
        <v>3109</v>
      </c>
      <c r="F212" s="3072" t="s">
        <v>3235</v>
      </c>
      <c r="G212" s="3464" t="s">
        <v>3380</v>
      </c>
      <c r="H212" s="3465"/>
      <c r="I212" s="3074">
        <v>5686</v>
      </c>
      <c r="J212" s="3464" t="s">
        <v>3400</v>
      </c>
      <c r="K212" s="3465"/>
    </row>
    <row r="213" spans="1:11" ht="26.25" thickBot="1">
      <c r="A213" s="3073">
        <v>194</v>
      </c>
      <c r="B213" s="3074">
        <v>11</v>
      </c>
      <c r="C213" s="3074" t="s">
        <v>3475</v>
      </c>
      <c r="D213" s="3074" t="s">
        <v>3478</v>
      </c>
      <c r="E213" s="3072" t="s">
        <v>3109</v>
      </c>
      <c r="F213" s="3072" t="s">
        <v>3235</v>
      </c>
      <c r="G213" s="3464" t="s">
        <v>3383</v>
      </c>
      <c r="H213" s="3465"/>
      <c r="I213" s="3074">
        <v>5686</v>
      </c>
      <c r="J213" s="3464" t="s">
        <v>3370</v>
      </c>
      <c r="K213" s="3465"/>
    </row>
    <row r="214" spans="1:11" ht="26.25" thickBot="1">
      <c r="A214" s="3073">
        <v>195</v>
      </c>
      <c r="B214" s="3074">
        <v>11</v>
      </c>
      <c r="C214" s="3074" t="s">
        <v>3475</v>
      </c>
      <c r="D214" s="3074" t="s">
        <v>3479</v>
      </c>
      <c r="E214" s="3072" t="s">
        <v>3109</v>
      </c>
      <c r="F214" s="3072" t="s">
        <v>3235</v>
      </c>
      <c r="G214" s="3464" t="s">
        <v>3383</v>
      </c>
      <c r="H214" s="3465"/>
      <c r="I214" s="3074">
        <v>5686</v>
      </c>
      <c r="J214" s="3464" t="s">
        <v>3370</v>
      </c>
      <c r="K214" s="3465"/>
    </row>
    <row r="215" spans="1:11" ht="26.25" thickBot="1">
      <c r="A215" s="3073">
        <v>196</v>
      </c>
      <c r="B215" s="3074">
        <v>11</v>
      </c>
      <c r="C215" s="3074" t="s">
        <v>3475</v>
      </c>
      <c r="D215" s="3074" t="s">
        <v>3480</v>
      </c>
      <c r="E215" s="3072" t="s">
        <v>3109</v>
      </c>
      <c r="F215" s="3072" t="s">
        <v>3235</v>
      </c>
      <c r="G215" s="3464" t="s">
        <v>3380</v>
      </c>
      <c r="H215" s="3465"/>
      <c r="I215" s="3074">
        <v>5686</v>
      </c>
      <c r="J215" s="3464" t="s">
        <v>3400</v>
      </c>
      <c r="K215" s="3465"/>
    </row>
    <row r="216" spans="1:11" ht="26.25" thickBot="1">
      <c r="A216" s="3073">
        <v>197</v>
      </c>
      <c r="B216" s="3074">
        <v>11</v>
      </c>
      <c r="C216" s="3074" t="s">
        <v>3475</v>
      </c>
      <c r="D216" s="3074" t="s">
        <v>3481</v>
      </c>
      <c r="E216" s="3072" t="s">
        <v>3109</v>
      </c>
      <c r="F216" s="3072" t="s">
        <v>3235</v>
      </c>
      <c r="G216" s="3464" t="s">
        <v>3388</v>
      </c>
      <c r="H216" s="3465"/>
      <c r="I216" s="3074">
        <v>5686</v>
      </c>
      <c r="J216" s="3464" t="s">
        <v>3389</v>
      </c>
      <c r="K216" s="3465"/>
    </row>
    <row r="217" spans="1:11" ht="26.25" thickBot="1">
      <c r="A217" s="3073">
        <v>198</v>
      </c>
      <c r="B217" s="3074">
        <v>11</v>
      </c>
      <c r="C217" s="3074" t="s">
        <v>3482</v>
      </c>
      <c r="D217" s="3074" t="s">
        <v>3483</v>
      </c>
      <c r="E217" s="3072" t="s">
        <v>3109</v>
      </c>
      <c r="F217" s="3072" t="s">
        <v>3235</v>
      </c>
      <c r="G217" s="3464" t="s">
        <v>3388</v>
      </c>
      <c r="H217" s="3465"/>
      <c r="I217" s="3074">
        <v>5686</v>
      </c>
      <c r="J217" s="3464" t="s">
        <v>3389</v>
      </c>
      <c r="K217" s="3465"/>
    </row>
    <row r="218" spans="1:11" ht="26.25" thickBot="1">
      <c r="A218" s="3073">
        <v>199</v>
      </c>
      <c r="B218" s="3074">
        <v>11</v>
      </c>
      <c r="C218" s="3074" t="s">
        <v>3482</v>
      </c>
      <c r="D218" s="3074" t="s">
        <v>3484</v>
      </c>
      <c r="E218" s="3072" t="s">
        <v>3109</v>
      </c>
      <c r="F218" s="3072" t="s">
        <v>3235</v>
      </c>
      <c r="G218" s="3464" t="s">
        <v>3380</v>
      </c>
      <c r="H218" s="3465"/>
      <c r="I218" s="3074">
        <v>5686</v>
      </c>
      <c r="J218" s="3464" t="s">
        <v>3381</v>
      </c>
      <c r="K218" s="3465"/>
    </row>
    <row r="219" spans="1:11" ht="26.25" thickBot="1">
      <c r="A219" s="3073">
        <v>200</v>
      </c>
      <c r="B219" s="3074">
        <v>11</v>
      </c>
      <c r="C219" s="3074" t="s">
        <v>3482</v>
      </c>
      <c r="D219" s="3074" t="s">
        <v>3485</v>
      </c>
      <c r="E219" s="3072" t="s">
        <v>3109</v>
      </c>
      <c r="F219" s="3072" t="s">
        <v>3235</v>
      </c>
      <c r="G219" s="3081">
        <v>133</v>
      </c>
      <c r="H219" s="3074">
        <v>21</v>
      </c>
      <c r="I219" s="3074">
        <v>5686</v>
      </c>
      <c r="J219" s="3081">
        <v>7</v>
      </c>
      <c r="K219" s="3074" t="s">
        <v>3415</v>
      </c>
    </row>
    <row r="220" spans="1:11" ht="26.25" thickBot="1">
      <c r="A220" s="3073">
        <v>201</v>
      </c>
      <c r="B220" s="3074">
        <v>11</v>
      </c>
      <c r="C220" s="3074" t="s">
        <v>3482</v>
      </c>
      <c r="D220" s="3074" t="s">
        <v>3486</v>
      </c>
      <c r="E220" s="3072" t="s">
        <v>3109</v>
      </c>
      <c r="F220" s="3072" t="s">
        <v>3235</v>
      </c>
      <c r="G220" s="3464" t="s">
        <v>3383</v>
      </c>
      <c r="H220" s="3465"/>
      <c r="I220" s="3074">
        <v>5686</v>
      </c>
      <c r="J220" s="3464" t="s">
        <v>3370</v>
      </c>
      <c r="K220" s="3465"/>
    </row>
    <row r="221" spans="1:11" ht="26.25" thickBot="1">
      <c r="A221" s="3073">
        <v>202</v>
      </c>
      <c r="B221" s="3074">
        <v>11</v>
      </c>
      <c r="C221" s="3074" t="s">
        <v>3482</v>
      </c>
      <c r="D221" s="3074" t="s">
        <v>3487</v>
      </c>
      <c r="E221" s="3072" t="s">
        <v>3109</v>
      </c>
      <c r="F221" s="3072" t="s">
        <v>3235</v>
      </c>
      <c r="G221" s="3464" t="s">
        <v>3380</v>
      </c>
      <c r="H221" s="3465"/>
      <c r="I221" s="3074">
        <v>5686</v>
      </c>
      <c r="J221" s="3464" t="s">
        <v>3381</v>
      </c>
      <c r="K221" s="3465"/>
    </row>
    <row r="222" spans="1:11" ht="26.25" thickBot="1">
      <c r="A222" s="3073">
        <v>203</v>
      </c>
      <c r="B222" s="3074">
        <v>11</v>
      </c>
      <c r="C222" s="3074" t="s">
        <v>3482</v>
      </c>
      <c r="D222" s="3074" t="s">
        <v>3488</v>
      </c>
      <c r="E222" s="3072" t="s">
        <v>3109</v>
      </c>
      <c r="F222" s="3072" t="s">
        <v>3235</v>
      </c>
      <c r="G222" s="3464" t="s">
        <v>3388</v>
      </c>
      <c r="H222" s="3465"/>
      <c r="I222" s="3074">
        <v>5686</v>
      </c>
      <c r="J222" s="3464" t="s">
        <v>3391</v>
      </c>
      <c r="K222" s="3465"/>
    </row>
    <row r="223" spans="1:11" ht="26.25" thickBot="1">
      <c r="A223" s="3073">
        <v>204</v>
      </c>
      <c r="B223" s="3074">
        <v>11</v>
      </c>
      <c r="C223" s="3074" t="s">
        <v>3489</v>
      </c>
      <c r="D223" s="3074" t="s">
        <v>3490</v>
      </c>
      <c r="E223" s="3072" t="s">
        <v>3109</v>
      </c>
      <c r="F223" s="3072" t="s">
        <v>3235</v>
      </c>
      <c r="G223" s="3464" t="s">
        <v>3388</v>
      </c>
      <c r="H223" s="3465"/>
      <c r="I223" s="3074">
        <v>5686</v>
      </c>
      <c r="J223" s="3464" t="s">
        <v>3389</v>
      </c>
      <c r="K223" s="3465"/>
    </row>
    <row r="224" spans="1:11" ht="26.25" thickBot="1">
      <c r="A224" s="3073">
        <v>205</v>
      </c>
      <c r="B224" s="3074">
        <v>11</v>
      </c>
      <c r="C224" s="3074" t="s">
        <v>3489</v>
      </c>
      <c r="D224" s="3074" t="s">
        <v>3491</v>
      </c>
      <c r="E224" s="3072" t="s">
        <v>3109</v>
      </c>
      <c r="F224" s="3072" t="s">
        <v>3235</v>
      </c>
      <c r="G224" s="3464" t="s">
        <v>3380</v>
      </c>
      <c r="H224" s="3465"/>
      <c r="I224" s="3074">
        <v>5686</v>
      </c>
      <c r="J224" s="3464" t="s">
        <v>3381</v>
      </c>
      <c r="K224" s="3465"/>
    </row>
    <row r="225" spans="1:11" ht="26.25" thickBot="1">
      <c r="A225" s="3073">
        <v>206</v>
      </c>
      <c r="B225" s="3074">
        <v>11</v>
      </c>
      <c r="C225" s="3074" t="s">
        <v>3489</v>
      </c>
      <c r="D225" s="3074" t="s">
        <v>3492</v>
      </c>
      <c r="E225" s="3072" t="s">
        <v>3109</v>
      </c>
      <c r="F225" s="3072" t="s">
        <v>3235</v>
      </c>
      <c r="G225" s="3464" t="s">
        <v>3383</v>
      </c>
      <c r="H225" s="3465"/>
      <c r="I225" s="3074">
        <v>5686</v>
      </c>
      <c r="J225" s="3464" t="s">
        <v>3370</v>
      </c>
      <c r="K225" s="3465"/>
    </row>
    <row r="226" spans="1:11" ht="26.25" thickBot="1">
      <c r="A226" s="3073">
        <v>207</v>
      </c>
      <c r="B226" s="3074">
        <v>11</v>
      </c>
      <c r="C226" s="3074" t="s">
        <v>3489</v>
      </c>
      <c r="D226" s="3074" t="s">
        <v>3493</v>
      </c>
      <c r="E226" s="3072" t="s">
        <v>3109</v>
      </c>
      <c r="F226" s="3072" t="s">
        <v>3235</v>
      </c>
      <c r="G226" s="3081">
        <v>133</v>
      </c>
      <c r="H226" s="3074">
        <v>21</v>
      </c>
      <c r="I226" s="3074">
        <v>5686</v>
      </c>
      <c r="J226" s="3081">
        <v>7</v>
      </c>
      <c r="K226" s="3074" t="s">
        <v>3415</v>
      </c>
    </row>
    <row r="227" spans="1:11" ht="26.25" thickBot="1">
      <c r="A227" s="3073">
        <v>208</v>
      </c>
      <c r="B227" s="3074">
        <v>11</v>
      </c>
      <c r="C227" s="3074" t="s">
        <v>3489</v>
      </c>
      <c r="D227" s="3074" t="s">
        <v>3494</v>
      </c>
      <c r="E227" s="3072" t="s">
        <v>3109</v>
      </c>
      <c r="F227" s="3072" t="s">
        <v>3235</v>
      </c>
      <c r="G227" s="3464" t="s">
        <v>3380</v>
      </c>
      <c r="H227" s="3465"/>
      <c r="I227" s="3074">
        <v>5686</v>
      </c>
      <c r="J227" s="3464" t="s">
        <v>3381</v>
      </c>
      <c r="K227" s="3465"/>
    </row>
    <row r="228" spans="1:11" ht="26.25" thickBot="1">
      <c r="A228" s="3073">
        <v>209</v>
      </c>
      <c r="B228" s="3074">
        <v>11</v>
      </c>
      <c r="C228" s="3074" t="s">
        <v>3489</v>
      </c>
      <c r="D228" s="3074" t="s">
        <v>3495</v>
      </c>
      <c r="E228" s="3072" t="s">
        <v>3109</v>
      </c>
      <c r="F228" s="3072" t="s">
        <v>3235</v>
      </c>
      <c r="G228" s="3464" t="s">
        <v>3388</v>
      </c>
      <c r="H228" s="3465"/>
      <c r="I228" s="3074">
        <v>5686</v>
      </c>
      <c r="J228" s="3464" t="s">
        <v>3389</v>
      </c>
      <c r="K228" s="3465"/>
    </row>
    <row r="229" spans="1:11" ht="26.25" thickBot="1">
      <c r="A229" s="3073">
        <v>210</v>
      </c>
      <c r="B229" s="3074">
        <v>11</v>
      </c>
      <c r="C229" s="3074" t="s">
        <v>3496</v>
      </c>
      <c r="D229" s="3074" t="s">
        <v>3497</v>
      </c>
      <c r="E229" s="3072" t="s">
        <v>3109</v>
      </c>
      <c r="F229" s="3072" t="s">
        <v>3235</v>
      </c>
      <c r="G229" s="3464" t="s">
        <v>3388</v>
      </c>
      <c r="H229" s="3465"/>
      <c r="I229" s="3074">
        <v>5686</v>
      </c>
      <c r="J229" s="3464" t="s">
        <v>3391</v>
      </c>
      <c r="K229" s="3465"/>
    </row>
    <row r="230" spans="1:11" ht="26.25" thickBot="1">
      <c r="A230" s="3073">
        <v>211</v>
      </c>
      <c r="B230" s="3074">
        <v>11</v>
      </c>
      <c r="C230" s="3074" t="s">
        <v>3496</v>
      </c>
      <c r="D230" s="3074" t="s">
        <v>3498</v>
      </c>
      <c r="E230" s="3072" t="s">
        <v>3109</v>
      </c>
      <c r="F230" s="3072" t="s">
        <v>3235</v>
      </c>
      <c r="G230" s="3464" t="s">
        <v>3380</v>
      </c>
      <c r="H230" s="3465"/>
      <c r="I230" s="3074">
        <v>5686</v>
      </c>
      <c r="J230" s="3464" t="s">
        <v>3381</v>
      </c>
      <c r="K230" s="3465"/>
    </row>
    <row r="231" spans="1:11" ht="26.25" thickBot="1">
      <c r="A231" s="3073">
        <v>212</v>
      </c>
      <c r="B231" s="3074">
        <v>11</v>
      </c>
      <c r="C231" s="3074" t="s">
        <v>3496</v>
      </c>
      <c r="D231" s="3074" t="s">
        <v>3499</v>
      </c>
      <c r="E231" s="3072" t="s">
        <v>3109</v>
      </c>
      <c r="F231" s="3072" t="s">
        <v>3235</v>
      </c>
      <c r="G231" s="3464" t="s">
        <v>3383</v>
      </c>
      <c r="H231" s="3465"/>
      <c r="I231" s="3074">
        <v>5686</v>
      </c>
      <c r="J231" s="3464" t="s">
        <v>3370</v>
      </c>
      <c r="K231" s="3465"/>
    </row>
    <row r="232" spans="1:11" ht="26.25" thickBot="1">
      <c r="A232" s="3073">
        <v>213</v>
      </c>
      <c r="B232" s="3074">
        <v>11</v>
      </c>
      <c r="C232" s="3074" t="s">
        <v>3496</v>
      </c>
      <c r="D232" s="3074" t="s">
        <v>3500</v>
      </c>
      <c r="E232" s="3072" t="s">
        <v>3109</v>
      </c>
      <c r="F232" s="3072" t="s">
        <v>3235</v>
      </c>
      <c r="G232" s="3464" t="s">
        <v>3383</v>
      </c>
      <c r="H232" s="3465"/>
      <c r="I232" s="3074">
        <v>5686</v>
      </c>
      <c r="J232" s="3464" t="s">
        <v>3385</v>
      </c>
      <c r="K232" s="3465"/>
    </row>
    <row r="233" spans="1:11" ht="26.25" thickBot="1">
      <c r="A233" s="3073">
        <v>214</v>
      </c>
      <c r="B233" s="3074">
        <v>11</v>
      </c>
      <c r="C233" s="3074" t="s">
        <v>3496</v>
      </c>
      <c r="D233" s="3074" t="s">
        <v>3501</v>
      </c>
      <c r="E233" s="3072" t="s">
        <v>3109</v>
      </c>
      <c r="F233" s="3072" t="s">
        <v>3235</v>
      </c>
      <c r="G233" s="3464" t="s">
        <v>3380</v>
      </c>
      <c r="H233" s="3465"/>
      <c r="I233" s="3074">
        <v>5686</v>
      </c>
      <c r="J233" s="3464" t="s">
        <v>3381</v>
      </c>
      <c r="K233" s="3465"/>
    </row>
    <row r="234" spans="1:11" ht="26.25" thickBot="1">
      <c r="A234" s="3073">
        <v>215</v>
      </c>
      <c r="B234" s="3074">
        <v>11</v>
      </c>
      <c r="C234" s="3074" t="s">
        <v>3496</v>
      </c>
      <c r="D234" s="3074" t="s">
        <v>3502</v>
      </c>
      <c r="E234" s="3072" t="s">
        <v>3109</v>
      </c>
      <c r="F234" s="3072" t="s">
        <v>3235</v>
      </c>
      <c r="G234" s="3464" t="s">
        <v>3388</v>
      </c>
      <c r="H234" s="3465"/>
      <c r="I234" s="3074">
        <v>5686</v>
      </c>
      <c r="J234" s="3464" t="s">
        <v>3389</v>
      </c>
      <c r="K234" s="3465"/>
    </row>
    <row r="235" spans="1:11" ht="26.25" thickBot="1">
      <c r="A235" s="3073">
        <v>216</v>
      </c>
      <c r="B235" s="3074">
        <v>11</v>
      </c>
      <c r="C235" s="3074" t="s">
        <v>3503</v>
      </c>
      <c r="D235" s="3074" t="s">
        <v>3504</v>
      </c>
      <c r="E235" s="3072" t="s">
        <v>3109</v>
      </c>
      <c r="F235" s="3072" t="s">
        <v>3235</v>
      </c>
      <c r="G235" s="3464" t="s">
        <v>3388</v>
      </c>
      <c r="H235" s="3465"/>
      <c r="I235" s="3074">
        <v>5686</v>
      </c>
      <c r="J235" s="3464" t="s">
        <v>3389</v>
      </c>
      <c r="K235" s="3465"/>
    </row>
    <row r="236" spans="1:11">
      <c r="A236" s="3070"/>
    </row>
    <row r="238" spans="1:11" ht="14.25" thickBot="1">
      <c r="A238" s="3078"/>
    </row>
    <row r="239" spans="1:11">
      <c r="A239" s="3458" t="s">
        <v>3223</v>
      </c>
      <c r="B239" s="3458" t="s">
        <v>3224</v>
      </c>
      <c r="C239" s="3071" t="s">
        <v>3225</v>
      </c>
      <c r="D239" s="3458" t="s">
        <v>3227</v>
      </c>
      <c r="E239" s="3458" t="s">
        <v>1341</v>
      </c>
      <c r="F239" s="3458" t="s">
        <v>3228</v>
      </c>
      <c r="G239" s="3460" t="s">
        <v>3229</v>
      </c>
      <c r="H239" s="3461"/>
      <c r="I239" s="3458" t="s">
        <v>3231</v>
      </c>
      <c r="J239" s="3460" t="s">
        <v>3232</v>
      </c>
      <c r="K239" s="3461"/>
    </row>
    <row r="240" spans="1:11" ht="14.25" thickBot="1">
      <c r="A240" s="3459"/>
      <c r="B240" s="3459"/>
      <c r="C240" s="3072" t="s">
        <v>3226</v>
      </c>
      <c r="D240" s="3459"/>
      <c r="E240" s="3459"/>
      <c r="F240" s="3459"/>
      <c r="G240" s="3462" t="s">
        <v>3230</v>
      </c>
      <c r="H240" s="3463"/>
      <c r="I240" s="3459"/>
      <c r="J240" s="3462"/>
      <c r="K240" s="3463"/>
    </row>
    <row r="241" spans="1:11" ht="26.25" thickBot="1">
      <c r="A241" s="3073">
        <v>217</v>
      </c>
      <c r="B241" s="3074">
        <v>11</v>
      </c>
      <c r="C241" s="3074" t="s">
        <v>3503</v>
      </c>
      <c r="D241" s="3074" t="s">
        <v>3505</v>
      </c>
      <c r="E241" s="3072" t="s">
        <v>3109</v>
      </c>
      <c r="F241" s="3072" t="s">
        <v>3235</v>
      </c>
      <c r="G241" s="3464" t="s">
        <v>3380</v>
      </c>
      <c r="H241" s="3465"/>
      <c r="I241" s="3074">
        <v>5686</v>
      </c>
      <c r="J241" s="3464" t="s">
        <v>3381</v>
      </c>
      <c r="K241" s="3465"/>
    </row>
    <row r="242" spans="1:11" ht="26.25" thickBot="1">
      <c r="A242" s="3073">
        <v>218</v>
      </c>
      <c r="B242" s="3074">
        <v>11</v>
      </c>
      <c r="C242" s="3074" t="s">
        <v>3503</v>
      </c>
      <c r="D242" s="3074" t="s">
        <v>3506</v>
      </c>
      <c r="E242" s="3072" t="s">
        <v>3109</v>
      </c>
      <c r="F242" s="3072" t="s">
        <v>3235</v>
      </c>
      <c r="G242" s="3081">
        <v>133</v>
      </c>
      <c r="H242" s="3074">
        <v>21</v>
      </c>
      <c r="I242" s="3074">
        <v>5686</v>
      </c>
      <c r="J242" s="3081">
        <v>7</v>
      </c>
      <c r="K242" s="3074" t="s">
        <v>3415</v>
      </c>
    </row>
    <row r="243" spans="1:11" ht="26.25" thickBot="1">
      <c r="A243" s="3073">
        <v>219</v>
      </c>
      <c r="B243" s="3074">
        <v>11</v>
      </c>
      <c r="C243" s="3074" t="s">
        <v>3503</v>
      </c>
      <c r="D243" s="3074" t="s">
        <v>3507</v>
      </c>
      <c r="E243" s="3072" t="s">
        <v>3109</v>
      </c>
      <c r="F243" s="3072" t="s">
        <v>3235</v>
      </c>
      <c r="G243" s="3464" t="s">
        <v>3383</v>
      </c>
      <c r="H243" s="3465"/>
      <c r="I243" s="3074">
        <v>5686</v>
      </c>
      <c r="J243" s="3464" t="s">
        <v>3370</v>
      </c>
      <c r="K243" s="3465"/>
    </row>
    <row r="244" spans="1:11" ht="23.25" thickBot="1">
      <c r="A244" s="3073">
        <v>220</v>
      </c>
      <c r="B244" s="3074">
        <v>11</v>
      </c>
      <c r="C244" s="3074" t="s">
        <v>3503</v>
      </c>
      <c r="D244" s="3082" t="s">
        <v>3508</v>
      </c>
      <c r="E244" s="3083" t="s">
        <v>3109</v>
      </c>
      <c r="F244" s="3083" t="s">
        <v>3235</v>
      </c>
      <c r="G244" s="3464" t="s">
        <v>3380</v>
      </c>
      <c r="H244" s="3465"/>
      <c r="I244" s="3074">
        <v>5686</v>
      </c>
      <c r="J244" s="3464" t="s">
        <v>3381</v>
      </c>
      <c r="K244" s="3465"/>
    </row>
    <row r="245" spans="1:11" ht="23.25" thickBot="1">
      <c r="A245" s="3073">
        <v>221</v>
      </c>
      <c r="B245" s="3074">
        <v>11</v>
      </c>
      <c r="C245" s="3074" t="s">
        <v>3503</v>
      </c>
      <c r="D245" s="3082" t="s">
        <v>3509</v>
      </c>
      <c r="E245" s="3083" t="s">
        <v>3109</v>
      </c>
      <c r="F245" s="3083" t="s">
        <v>3235</v>
      </c>
      <c r="G245" s="3464" t="s">
        <v>3388</v>
      </c>
      <c r="H245" s="3465"/>
      <c r="I245" s="3074">
        <v>5686</v>
      </c>
      <c r="J245" s="3464" t="s">
        <v>3391</v>
      </c>
      <c r="K245" s="3465"/>
    </row>
    <row r="246" spans="1:11" ht="26.25" thickBot="1">
      <c r="A246" s="3073">
        <v>222</v>
      </c>
      <c r="B246" s="3074">
        <v>11</v>
      </c>
      <c r="C246" s="3074" t="s">
        <v>3510</v>
      </c>
      <c r="D246" s="3074" t="s">
        <v>3511</v>
      </c>
      <c r="E246" s="3072" t="s">
        <v>3109</v>
      </c>
      <c r="F246" s="3072" t="s">
        <v>3235</v>
      </c>
      <c r="G246" s="3464" t="s">
        <v>3388</v>
      </c>
      <c r="H246" s="3465"/>
      <c r="I246" s="3074">
        <v>5686</v>
      </c>
      <c r="J246" s="3464" t="s">
        <v>3389</v>
      </c>
      <c r="K246" s="3465"/>
    </row>
    <row r="247" spans="1:11" ht="26.25" thickBot="1">
      <c r="A247" s="3073">
        <v>223</v>
      </c>
      <c r="B247" s="3074">
        <v>11</v>
      </c>
      <c r="C247" s="3074" t="s">
        <v>3510</v>
      </c>
      <c r="D247" s="3074" t="s">
        <v>3512</v>
      </c>
      <c r="E247" s="3072" t="s">
        <v>3109</v>
      </c>
      <c r="F247" s="3072" t="s">
        <v>3235</v>
      </c>
      <c r="G247" s="3464" t="s">
        <v>3380</v>
      </c>
      <c r="H247" s="3465"/>
      <c r="I247" s="3074">
        <v>5686</v>
      </c>
      <c r="J247" s="3464" t="s">
        <v>3381</v>
      </c>
      <c r="K247" s="3465"/>
    </row>
    <row r="248" spans="1:11" ht="26.25" thickBot="1">
      <c r="A248" s="3073">
        <v>224</v>
      </c>
      <c r="B248" s="3074">
        <v>11</v>
      </c>
      <c r="C248" s="3074" t="s">
        <v>3510</v>
      </c>
      <c r="D248" s="3074" t="s">
        <v>3513</v>
      </c>
      <c r="E248" s="3072" t="s">
        <v>3109</v>
      </c>
      <c r="F248" s="3072" t="s">
        <v>3235</v>
      </c>
      <c r="G248" s="3464" t="s">
        <v>3383</v>
      </c>
      <c r="H248" s="3465"/>
      <c r="I248" s="3074">
        <v>5686</v>
      </c>
      <c r="J248" s="3464" t="s">
        <v>3385</v>
      </c>
      <c r="K248" s="3465"/>
    </row>
    <row r="249" spans="1:11" ht="26.25" thickBot="1">
      <c r="A249" s="3073">
        <v>225</v>
      </c>
      <c r="B249" s="3074">
        <v>11</v>
      </c>
      <c r="C249" s="3074" t="s">
        <v>3510</v>
      </c>
      <c r="D249" s="3074" t="s">
        <v>3514</v>
      </c>
      <c r="E249" s="3072" t="s">
        <v>3109</v>
      </c>
      <c r="F249" s="3072" t="s">
        <v>3235</v>
      </c>
      <c r="G249" s="3464" t="s">
        <v>3383</v>
      </c>
      <c r="H249" s="3465"/>
      <c r="I249" s="3074">
        <v>5686</v>
      </c>
      <c r="J249" s="3464" t="s">
        <v>3370</v>
      </c>
      <c r="K249" s="3465"/>
    </row>
    <row r="250" spans="1:11" ht="26.25" thickBot="1">
      <c r="A250" s="3073">
        <v>226</v>
      </c>
      <c r="B250" s="3074">
        <v>11</v>
      </c>
      <c r="C250" s="3074" t="s">
        <v>3510</v>
      </c>
      <c r="D250" s="3074" t="s">
        <v>3515</v>
      </c>
      <c r="E250" s="3072" t="s">
        <v>3109</v>
      </c>
      <c r="F250" s="3072" t="s">
        <v>3235</v>
      </c>
      <c r="G250" s="3464" t="s">
        <v>3380</v>
      </c>
      <c r="H250" s="3465"/>
      <c r="I250" s="3074">
        <v>5686</v>
      </c>
      <c r="J250" s="3464" t="s">
        <v>3381</v>
      </c>
      <c r="K250" s="3465"/>
    </row>
    <row r="251" spans="1:11" ht="26.25" thickBot="1">
      <c r="A251" s="3073">
        <v>227</v>
      </c>
      <c r="B251" s="3074">
        <v>11</v>
      </c>
      <c r="C251" s="3074" t="s">
        <v>3510</v>
      </c>
      <c r="D251" s="3074" t="s">
        <v>3516</v>
      </c>
      <c r="E251" s="3072" t="s">
        <v>3109</v>
      </c>
      <c r="F251" s="3072" t="s">
        <v>3235</v>
      </c>
      <c r="G251" s="3464" t="s">
        <v>3388</v>
      </c>
      <c r="H251" s="3465"/>
      <c r="I251" s="3074">
        <v>5686</v>
      </c>
      <c r="J251" s="3464" t="s">
        <v>3389</v>
      </c>
      <c r="K251" s="3465"/>
    </row>
    <row r="252" spans="1:11" ht="26.25" thickBot="1">
      <c r="A252" s="3073">
        <v>228</v>
      </c>
      <c r="B252" s="3074">
        <v>11</v>
      </c>
      <c r="C252" s="3074" t="s">
        <v>3517</v>
      </c>
      <c r="D252" s="3074" t="s">
        <v>3518</v>
      </c>
      <c r="E252" s="3072" t="s">
        <v>3109</v>
      </c>
      <c r="F252" s="3072" t="s">
        <v>3235</v>
      </c>
      <c r="G252" s="3080">
        <v>150</v>
      </c>
      <c r="H252" s="3074">
        <v>35</v>
      </c>
      <c r="I252" s="3074">
        <v>5686</v>
      </c>
      <c r="J252" s="3081">
        <v>8</v>
      </c>
      <c r="K252" s="3074" t="s">
        <v>3378</v>
      </c>
    </row>
    <row r="253" spans="1:11" ht="26.25" thickBot="1">
      <c r="A253" s="3073">
        <v>229</v>
      </c>
      <c r="B253" s="3074">
        <v>11</v>
      </c>
      <c r="C253" s="3074" t="s">
        <v>3517</v>
      </c>
      <c r="D253" s="3074" t="s">
        <v>3519</v>
      </c>
      <c r="E253" s="3072" t="s">
        <v>3109</v>
      </c>
      <c r="F253" s="3072" t="s">
        <v>3235</v>
      </c>
      <c r="G253" s="3464" t="s">
        <v>3380</v>
      </c>
      <c r="H253" s="3465"/>
      <c r="I253" s="3074">
        <v>5686</v>
      </c>
      <c r="J253" s="3464" t="s">
        <v>3381</v>
      </c>
      <c r="K253" s="3465"/>
    </row>
    <row r="254" spans="1:11" ht="26.25" thickBot="1">
      <c r="A254" s="3073">
        <v>230</v>
      </c>
      <c r="B254" s="3074">
        <v>11</v>
      </c>
      <c r="C254" s="3074" t="s">
        <v>3517</v>
      </c>
      <c r="D254" s="3074" t="s">
        <v>3520</v>
      </c>
      <c r="E254" s="3072" t="s">
        <v>3109</v>
      </c>
      <c r="F254" s="3072" t="s">
        <v>3235</v>
      </c>
      <c r="G254" s="3464" t="s">
        <v>3383</v>
      </c>
      <c r="H254" s="3465"/>
      <c r="I254" s="3074">
        <v>5686</v>
      </c>
      <c r="J254" s="3464" t="s">
        <v>3370</v>
      </c>
      <c r="K254" s="3465"/>
    </row>
    <row r="255" spans="1:11" ht="23.25" thickBot="1">
      <c r="A255" s="3073">
        <v>231</v>
      </c>
      <c r="B255" s="3074">
        <v>11</v>
      </c>
      <c r="C255" s="3074" t="s">
        <v>3517</v>
      </c>
      <c r="D255" s="3082" t="s">
        <v>3521</v>
      </c>
      <c r="E255" s="3083" t="s">
        <v>3109</v>
      </c>
      <c r="F255" s="3083" t="s">
        <v>3235</v>
      </c>
      <c r="G255" s="3464" t="s">
        <v>3383</v>
      </c>
      <c r="H255" s="3465"/>
      <c r="I255" s="3074">
        <v>5686</v>
      </c>
      <c r="J255" s="3464" t="s">
        <v>3385</v>
      </c>
      <c r="K255" s="3465"/>
    </row>
    <row r="256" spans="1:11" ht="26.25" thickBot="1">
      <c r="A256" s="3073">
        <v>232</v>
      </c>
      <c r="B256" s="3074">
        <v>11</v>
      </c>
      <c r="C256" s="3074" t="s">
        <v>3517</v>
      </c>
      <c r="D256" s="3074" t="s">
        <v>3522</v>
      </c>
      <c r="E256" s="3072" t="s">
        <v>3109</v>
      </c>
      <c r="F256" s="3072" t="s">
        <v>3235</v>
      </c>
      <c r="G256" s="3464" t="s">
        <v>3380</v>
      </c>
      <c r="H256" s="3465"/>
      <c r="I256" s="3074">
        <v>5686</v>
      </c>
      <c r="J256" s="3464" t="s">
        <v>3381</v>
      </c>
      <c r="K256" s="3465"/>
    </row>
    <row r="257" spans="1:11" ht="26.25" thickBot="1">
      <c r="A257" s="3073">
        <v>233</v>
      </c>
      <c r="B257" s="3074">
        <v>11</v>
      </c>
      <c r="C257" s="3074" t="s">
        <v>3517</v>
      </c>
      <c r="D257" s="3074" t="s">
        <v>3523</v>
      </c>
      <c r="E257" s="3072" t="s">
        <v>3109</v>
      </c>
      <c r="F257" s="3072" t="s">
        <v>3235</v>
      </c>
      <c r="G257" s="3464" t="s">
        <v>3388</v>
      </c>
      <c r="H257" s="3465"/>
      <c r="I257" s="3074">
        <v>5686</v>
      </c>
      <c r="J257" s="3464" t="s">
        <v>3389</v>
      </c>
      <c r="K257" s="3465"/>
    </row>
    <row r="258" spans="1:11" ht="26.25" thickBot="1">
      <c r="A258" s="3073">
        <v>234</v>
      </c>
      <c r="B258" s="3074">
        <v>11</v>
      </c>
      <c r="C258" s="3074" t="s">
        <v>3524</v>
      </c>
      <c r="D258" s="3074" t="s">
        <v>3525</v>
      </c>
      <c r="E258" s="3072" t="s">
        <v>3109</v>
      </c>
      <c r="F258" s="3072" t="s">
        <v>3235</v>
      </c>
      <c r="G258" s="3464" t="s">
        <v>3388</v>
      </c>
      <c r="H258" s="3465"/>
      <c r="I258" s="3074">
        <v>5686</v>
      </c>
      <c r="J258" s="3464" t="s">
        <v>3391</v>
      </c>
      <c r="K258" s="3465"/>
    </row>
    <row r="259" spans="1:11" ht="26.25" thickBot="1">
      <c r="A259" s="3073">
        <v>235</v>
      </c>
      <c r="B259" s="3074">
        <v>11</v>
      </c>
      <c r="C259" s="3074" t="s">
        <v>3524</v>
      </c>
      <c r="D259" s="3074" t="s">
        <v>3526</v>
      </c>
      <c r="E259" s="3072" t="s">
        <v>3109</v>
      </c>
      <c r="F259" s="3072" t="s">
        <v>3235</v>
      </c>
      <c r="G259" s="3464" t="s">
        <v>3380</v>
      </c>
      <c r="H259" s="3465"/>
      <c r="I259" s="3074">
        <v>5686</v>
      </c>
      <c r="J259" s="3464" t="s">
        <v>3381</v>
      </c>
      <c r="K259" s="3465"/>
    </row>
    <row r="260" spans="1:11" ht="26.25" thickBot="1">
      <c r="A260" s="3073">
        <v>236</v>
      </c>
      <c r="B260" s="3074">
        <v>11</v>
      </c>
      <c r="C260" s="3074" t="s">
        <v>3524</v>
      </c>
      <c r="D260" s="3074" t="s">
        <v>3527</v>
      </c>
      <c r="E260" s="3072" t="s">
        <v>3109</v>
      </c>
      <c r="F260" s="3072" t="s">
        <v>3235</v>
      </c>
      <c r="G260" s="3464" t="s">
        <v>3383</v>
      </c>
      <c r="H260" s="3465"/>
      <c r="I260" s="3074">
        <v>5686</v>
      </c>
      <c r="J260" s="3464" t="s">
        <v>3370</v>
      </c>
      <c r="K260" s="3465"/>
    </row>
    <row r="261" spans="1:11" ht="26.25" thickBot="1">
      <c r="A261" s="3073">
        <v>237</v>
      </c>
      <c r="B261" s="3074">
        <v>11</v>
      </c>
      <c r="C261" s="3074" t="s">
        <v>3524</v>
      </c>
      <c r="D261" s="3074" t="s">
        <v>3528</v>
      </c>
      <c r="E261" s="3072" t="s">
        <v>3109</v>
      </c>
      <c r="F261" s="3072" t="s">
        <v>3235</v>
      </c>
      <c r="G261" s="3464" t="s">
        <v>3383</v>
      </c>
      <c r="H261" s="3465"/>
      <c r="I261" s="3074">
        <v>5686</v>
      </c>
      <c r="J261" s="3464" t="s">
        <v>3370</v>
      </c>
      <c r="K261" s="3465"/>
    </row>
    <row r="262" spans="1:11" ht="26.25" thickBot="1">
      <c r="A262" s="3073">
        <v>238</v>
      </c>
      <c r="B262" s="3074">
        <v>11</v>
      </c>
      <c r="C262" s="3074" t="s">
        <v>3524</v>
      </c>
      <c r="D262" s="3074" t="s">
        <v>3529</v>
      </c>
      <c r="E262" s="3072" t="s">
        <v>3109</v>
      </c>
      <c r="F262" s="3072" t="s">
        <v>3235</v>
      </c>
      <c r="G262" s="3464" t="s">
        <v>3380</v>
      </c>
      <c r="H262" s="3465"/>
      <c r="I262" s="3074">
        <v>5686</v>
      </c>
      <c r="J262" s="3464" t="s">
        <v>3400</v>
      </c>
      <c r="K262" s="3465"/>
    </row>
    <row r="263" spans="1:11" ht="26.25" thickBot="1">
      <c r="A263" s="3073">
        <v>239</v>
      </c>
      <c r="B263" s="3074">
        <v>11</v>
      </c>
      <c r="C263" s="3074" t="s">
        <v>3524</v>
      </c>
      <c r="D263" s="3074" t="s">
        <v>3530</v>
      </c>
      <c r="E263" s="3072" t="s">
        <v>3109</v>
      </c>
      <c r="F263" s="3072" t="s">
        <v>3235</v>
      </c>
      <c r="G263" s="3464" t="s">
        <v>3388</v>
      </c>
      <c r="H263" s="3465"/>
      <c r="I263" s="3074">
        <v>5686</v>
      </c>
      <c r="J263" s="3464" t="s">
        <v>3389</v>
      </c>
      <c r="K263" s="3465"/>
    </row>
    <row r="264" spans="1:11" ht="26.25" thickBot="1">
      <c r="A264" s="3073">
        <v>240</v>
      </c>
      <c r="B264" s="3074">
        <v>11</v>
      </c>
      <c r="C264" s="3074" t="s">
        <v>3531</v>
      </c>
      <c r="D264" s="3074" t="s">
        <v>3532</v>
      </c>
      <c r="E264" s="3072" t="s">
        <v>3109</v>
      </c>
      <c r="F264" s="3072" t="s">
        <v>3235</v>
      </c>
      <c r="G264" s="3464" t="s">
        <v>3388</v>
      </c>
      <c r="H264" s="3465"/>
      <c r="I264" s="3074">
        <v>5686</v>
      </c>
      <c r="J264" s="3464" t="s">
        <v>3389</v>
      </c>
      <c r="K264" s="3465"/>
    </row>
    <row r="265" spans="1:11" ht="26.25" thickBot="1">
      <c r="A265" s="3073">
        <v>241</v>
      </c>
      <c r="B265" s="3074">
        <v>11</v>
      </c>
      <c r="C265" s="3074" t="s">
        <v>3531</v>
      </c>
      <c r="D265" s="3074" t="s">
        <v>3533</v>
      </c>
      <c r="E265" s="3072" t="s">
        <v>3109</v>
      </c>
      <c r="F265" s="3072" t="s">
        <v>3235</v>
      </c>
      <c r="G265" s="3464" t="s">
        <v>3380</v>
      </c>
      <c r="H265" s="3465"/>
      <c r="I265" s="3074">
        <v>5686</v>
      </c>
      <c r="J265" s="3464" t="s">
        <v>3400</v>
      </c>
      <c r="K265" s="3465"/>
    </row>
    <row r="266" spans="1:11" ht="26.25" thickBot="1">
      <c r="A266" s="3073">
        <v>242</v>
      </c>
      <c r="B266" s="3074">
        <v>11</v>
      </c>
      <c r="C266" s="3074" t="s">
        <v>3531</v>
      </c>
      <c r="D266" s="3074" t="s">
        <v>3534</v>
      </c>
      <c r="E266" s="3072" t="s">
        <v>3109</v>
      </c>
      <c r="F266" s="3072" t="s">
        <v>3235</v>
      </c>
      <c r="G266" s="3464" t="s">
        <v>3383</v>
      </c>
      <c r="H266" s="3465"/>
      <c r="I266" s="3074">
        <v>5686</v>
      </c>
      <c r="J266" s="3464" t="s">
        <v>3370</v>
      </c>
      <c r="K266" s="3465"/>
    </row>
    <row r="267" spans="1:11" ht="26.25" thickBot="1">
      <c r="A267" s="3073">
        <v>243</v>
      </c>
      <c r="B267" s="3074">
        <v>11</v>
      </c>
      <c r="C267" s="3074" t="s">
        <v>3531</v>
      </c>
      <c r="D267" s="3074" t="s">
        <v>3535</v>
      </c>
      <c r="E267" s="3072" t="s">
        <v>3109</v>
      </c>
      <c r="F267" s="3072" t="s">
        <v>3235</v>
      </c>
      <c r="G267" s="3464" t="s">
        <v>3383</v>
      </c>
      <c r="H267" s="3465"/>
      <c r="I267" s="3074">
        <v>5686</v>
      </c>
      <c r="J267" s="3464" t="s">
        <v>3370</v>
      </c>
      <c r="K267" s="3465"/>
    </row>
    <row r="268" spans="1:11" ht="26.25" thickBot="1">
      <c r="A268" s="3073">
        <v>244</v>
      </c>
      <c r="B268" s="3074">
        <v>11</v>
      </c>
      <c r="C268" s="3074" t="s">
        <v>3531</v>
      </c>
      <c r="D268" s="3074" t="s">
        <v>3536</v>
      </c>
      <c r="E268" s="3072" t="s">
        <v>3109</v>
      </c>
      <c r="F268" s="3072" t="s">
        <v>3235</v>
      </c>
      <c r="G268" s="3464" t="s">
        <v>3380</v>
      </c>
      <c r="H268" s="3465"/>
      <c r="I268" s="3074">
        <v>5686</v>
      </c>
      <c r="J268" s="3464" t="s">
        <v>3381</v>
      </c>
      <c r="K268" s="3465"/>
    </row>
    <row r="269" spans="1:11" ht="26.25" thickBot="1">
      <c r="A269" s="3073">
        <v>245</v>
      </c>
      <c r="B269" s="3074">
        <v>11</v>
      </c>
      <c r="C269" s="3074" t="s">
        <v>3531</v>
      </c>
      <c r="D269" s="3074" t="s">
        <v>3537</v>
      </c>
      <c r="E269" s="3072" t="s">
        <v>3109</v>
      </c>
      <c r="F269" s="3072" t="s">
        <v>3235</v>
      </c>
      <c r="G269" s="3080">
        <v>150</v>
      </c>
      <c r="H269" s="3074">
        <v>35</v>
      </c>
      <c r="I269" s="3074">
        <v>5686</v>
      </c>
      <c r="J269" s="3081">
        <v>8</v>
      </c>
      <c r="K269" s="3074" t="s">
        <v>3378</v>
      </c>
    </row>
    <row r="270" spans="1:11" ht="26.25" thickBot="1">
      <c r="A270" s="3073">
        <v>246</v>
      </c>
      <c r="B270" s="3074">
        <v>11</v>
      </c>
      <c r="C270" s="3074" t="s">
        <v>3538</v>
      </c>
      <c r="D270" s="3074" t="s">
        <v>3539</v>
      </c>
      <c r="E270" s="3072" t="s">
        <v>3109</v>
      </c>
      <c r="F270" s="3072" t="s">
        <v>3235</v>
      </c>
      <c r="G270" s="3464" t="s">
        <v>3388</v>
      </c>
      <c r="H270" s="3465"/>
      <c r="I270" s="3074">
        <v>5686</v>
      </c>
      <c r="J270" s="3464" t="s">
        <v>3389</v>
      </c>
      <c r="K270" s="3465"/>
    </row>
    <row r="271" spans="1:11" ht="26.25" thickBot="1">
      <c r="A271" s="3073">
        <v>247</v>
      </c>
      <c r="B271" s="3074">
        <v>11</v>
      </c>
      <c r="C271" s="3074" t="s">
        <v>3538</v>
      </c>
      <c r="D271" s="3074" t="s">
        <v>3540</v>
      </c>
      <c r="E271" s="3072" t="s">
        <v>3109</v>
      </c>
      <c r="F271" s="3072" t="s">
        <v>3235</v>
      </c>
      <c r="G271" s="3464" t="s">
        <v>3380</v>
      </c>
      <c r="H271" s="3465"/>
      <c r="I271" s="3074">
        <v>5686</v>
      </c>
      <c r="J271" s="3464" t="s">
        <v>3381</v>
      </c>
      <c r="K271" s="3465"/>
    </row>
    <row r="272" spans="1:11" ht="26.25" thickBot="1">
      <c r="A272" s="3073">
        <v>248</v>
      </c>
      <c r="B272" s="3074">
        <v>11</v>
      </c>
      <c r="C272" s="3074" t="s">
        <v>3538</v>
      </c>
      <c r="D272" s="3074" t="s">
        <v>3541</v>
      </c>
      <c r="E272" s="3072" t="s">
        <v>3109</v>
      </c>
      <c r="F272" s="3072" t="s">
        <v>3235</v>
      </c>
      <c r="G272" s="3464" t="s">
        <v>3383</v>
      </c>
      <c r="H272" s="3465"/>
      <c r="I272" s="3074">
        <v>5686</v>
      </c>
      <c r="J272" s="3464" t="s">
        <v>3385</v>
      </c>
      <c r="K272" s="3465"/>
    </row>
    <row r="273" spans="1:11" ht="26.25" thickBot="1">
      <c r="A273" s="3073">
        <v>249</v>
      </c>
      <c r="B273" s="3074">
        <v>11</v>
      </c>
      <c r="C273" s="3074" t="s">
        <v>3538</v>
      </c>
      <c r="D273" s="3074" t="s">
        <v>3542</v>
      </c>
      <c r="E273" s="3072" t="s">
        <v>3109</v>
      </c>
      <c r="F273" s="3072" t="s">
        <v>3235</v>
      </c>
      <c r="G273" s="3464" t="s">
        <v>3383</v>
      </c>
      <c r="H273" s="3465"/>
      <c r="I273" s="3074">
        <v>5686</v>
      </c>
      <c r="J273" s="3464" t="s">
        <v>3370</v>
      </c>
      <c r="K273" s="3465"/>
    </row>
    <row r="274" spans="1:11" ht="26.25" thickBot="1">
      <c r="A274" s="3073">
        <v>250</v>
      </c>
      <c r="B274" s="3074">
        <v>11</v>
      </c>
      <c r="C274" s="3074" t="s">
        <v>3538</v>
      </c>
      <c r="D274" s="3074" t="s">
        <v>3543</v>
      </c>
      <c r="E274" s="3072" t="s">
        <v>3109</v>
      </c>
      <c r="F274" s="3072" t="s">
        <v>3235</v>
      </c>
      <c r="G274" s="3464" t="s">
        <v>3380</v>
      </c>
      <c r="H274" s="3465"/>
      <c r="I274" s="3074">
        <v>5686</v>
      </c>
      <c r="J274" s="3464" t="s">
        <v>3381</v>
      </c>
      <c r="K274" s="3465"/>
    </row>
    <row r="275" spans="1:11" ht="26.25" thickBot="1">
      <c r="A275" s="3073">
        <v>251</v>
      </c>
      <c r="B275" s="3074">
        <v>11</v>
      </c>
      <c r="C275" s="3074" t="s">
        <v>3538</v>
      </c>
      <c r="D275" s="3074" t="s">
        <v>3544</v>
      </c>
      <c r="E275" s="3072" t="s">
        <v>3109</v>
      </c>
      <c r="F275" s="3072" t="s">
        <v>3235</v>
      </c>
      <c r="G275" s="3464" t="s">
        <v>3388</v>
      </c>
      <c r="H275" s="3465"/>
      <c r="I275" s="3074">
        <v>5686</v>
      </c>
      <c r="J275" s="3464" t="s">
        <v>3391</v>
      </c>
      <c r="K275" s="3465"/>
    </row>
    <row r="276" spans="1:11" ht="26.25" thickBot="1">
      <c r="A276" s="3073">
        <v>252</v>
      </c>
      <c r="B276" s="3074">
        <v>11</v>
      </c>
      <c r="C276" s="3074" t="s">
        <v>3545</v>
      </c>
      <c r="D276" s="3074" t="s">
        <v>3546</v>
      </c>
      <c r="E276" s="3072" t="s">
        <v>3109</v>
      </c>
      <c r="F276" s="3072" t="s">
        <v>3235</v>
      </c>
      <c r="G276" s="3464" t="s">
        <v>3388</v>
      </c>
      <c r="H276" s="3465"/>
      <c r="I276" s="3074">
        <v>5686</v>
      </c>
      <c r="J276" s="3464" t="s">
        <v>3389</v>
      </c>
      <c r="K276" s="3465"/>
    </row>
    <row r="277" spans="1:11" ht="26.25" thickBot="1">
      <c r="A277" s="3073">
        <v>253</v>
      </c>
      <c r="B277" s="3074">
        <v>11</v>
      </c>
      <c r="C277" s="3074" t="s">
        <v>3545</v>
      </c>
      <c r="D277" s="3074" t="s">
        <v>3547</v>
      </c>
      <c r="E277" s="3072" t="s">
        <v>3109</v>
      </c>
      <c r="F277" s="3072" t="s">
        <v>3235</v>
      </c>
      <c r="G277" s="3464" t="s">
        <v>3380</v>
      </c>
      <c r="H277" s="3465"/>
      <c r="I277" s="3074">
        <v>5686</v>
      </c>
      <c r="J277" s="3464" t="s">
        <v>3381</v>
      </c>
      <c r="K277" s="3465"/>
    </row>
    <row r="278" spans="1:11" ht="26.25" thickBot="1">
      <c r="A278" s="3073">
        <v>254</v>
      </c>
      <c r="B278" s="3074">
        <v>11</v>
      </c>
      <c r="C278" s="3074" t="s">
        <v>3545</v>
      </c>
      <c r="D278" s="3074" t="s">
        <v>3548</v>
      </c>
      <c r="E278" s="3072" t="s">
        <v>3109</v>
      </c>
      <c r="F278" s="3072" t="s">
        <v>3235</v>
      </c>
      <c r="G278" s="3464" t="s">
        <v>3383</v>
      </c>
      <c r="H278" s="3465"/>
      <c r="I278" s="3074">
        <v>5686</v>
      </c>
      <c r="J278" s="3464" t="s">
        <v>3370</v>
      </c>
      <c r="K278" s="3465"/>
    </row>
    <row r="279" spans="1:11" ht="26.25" thickBot="1">
      <c r="A279" s="3073">
        <v>255</v>
      </c>
      <c r="B279" s="3074">
        <v>11</v>
      </c>
      <c r="C279" s="3074" t="s">
        <v>3545</v>
      </c>
      <c r="D279" s="3074" t="s">
        <v>3549</v>
      </c>
      <c r="E279" s="3072" t="s">
        <v>3109</v>
      </c>
      <c r="F279" s="3072" t="s">
        <v>3235</v>
      </c>
      <c r="G279" s="3081">
        <v>133</v>
      </c>
      <c r="H279" s="3074">
        <v>21</v>
      </c>
      <c r="I279" s="3074">
        <v>5686</v>
      </c>
      <c r="J279" s="3081">
        <v>7</v>
      </c>
      <c r="K279" s="3074" t="s">
        <v>3415</v>
      </c>
    </row>
    <row r="280" spans="1:11" ht="26.25" thickBot="1">
      <c r="A280" s="3073">
        <v>256</v>
      </c>
      <c r="B280" s="3074">
        <v>11</v>
      </c>
      <c r="C280" s="3074" t="s">
        <v>3545</v>
      </c>
      <c r="D280" s="3074" t="s">
        <v>3550</v>
      </c>
      <c r="E280" s="3072" t="s">
        <v>3109</v>
      </c>
      <c r="F280" s="3072" t="s">
        <v>3235</v>
      </c>
      <c r="G280" s="3464" t="s">
        <v>3380</v>
      </c>
      <c r="H280" s="3465"/>
      <c r="I280" s="3074">
        <v>5686</v>
      </c>
      <c r="J280" s="3464" t="s">
        <v>3381</v>
      </c>
      <c r="K280" s="3465"/>
    </row>
    <row r="281" spans="1:11" ht="26.25" thickBot="1">
      <c r="A281" s="3073">
        <v>257</v>
      </c>
      <c r="B281" s="3074">
        <v>11</v>
      </c>
      <c r="C281" s="3074" t="s">
        <v>3545</v>
      </c>
      <c r="D281" s="3074" t="s">
        <v>3551</v>
      </c>
      <c r="E281" s="3072" t="s">
        <v>3109</v>
      </c>
      <c r="F281" s="3072" t="s">
        <v>3235</v>
      </c>
      <c r="G281" s="3464" t="s">
        <v>3388</v>
      </c>
      <c r="H281" s="3465"/>
      <c r="I281" s="3074">
        <v>5686</v>
      </c>
      <c r="J281" s="3464" t="s">
        <v>3389</v>
      </c>
      <c r="K281" s="3465"/>
    </row>
    <row r="282" spans="1:11" ht="26.25" thickBot="1">
      <c r="A282" s="3073">
        <v>258</v>
      </c>
      <c r="B282" s="3074">
        <v>11</v>
      </c>
      <c r="C282" s="3074" t="s">
        <v>3552</v>
      </c>
      <c r="D282" s="3074" t="s">
        <v>3553</v>
      </c>
      <c r="E282" s="3072" t="s">
        <v>3109</v>
      </c>
      <c r="F282" s="3072" t="s">
        <v>3235</v>
      </c>
      <c r="G282" s="3464" t="s">
        <v>3388</v>
      </c>
      <c r="H282" s="3465"/>
      <c r="I282" s="3074">
        <v>5686</v>
      </c>
      <c r="J282" s="3464" t="s">
        <v>3391</v>
      </c>
      <c r="K282" s="3465"/>
    </row>
    <row r="283" spans="1:11" ht="26.25" thickBot="1">
      <c r="A283" s="3073">
        <v>259</v>
      </c>
      <c r="B283" s="3074">
        <v>11</v>
      </c>
      <c r="C283" s="3074" t="s">
        <v>3552</v>
      </c>
      <c r="D283" s="3074" t="s">
        <v>3554</v>
      </c>
      <c r="E283" s="3072" t="s">
        <v>3109</v>
      </c>
      <c r="F283" s="3072" t="s">
        <v>3235</v>
      </c>
      <c r="G283" s="3464" t="s">
        <v>3380</v>
      </c>
      <c r="H283" s="3465"/>
      <c r="I283" s="3074">
        <v>5686</v>
      </c>
      <c r="J283" s="3464" t="s">
        <v>3381</v>
      </c>
      <c r="K283" s="3465"/>
    </row>
    <row r="284" spans="1:11" ht="26.25" thickBot="1">
      <c r="A284" s="3073">
        <v>260</v>
      </c>
      <c r="B284" s="3074">
        <v>11</v>
      </c>
      <c r="C284" s="3074" t="s">
        <v>3552</v>
      </c>
      <c r="D284" s="3074" t="s">
        <v>3555</v>
      </c>
      <c r="E284" s="3072" t="s">
        <v>3109</v>
      </c>
      <c r="F284" s="3072" t="s">
        <v>3235</v>
      </c>
      <c r="G284" s="3464" t="s">
        <v>3383</v>
      </c>
      <c r="H284" s="3465"/>
      <c r="I284" s="3074">
        <v>5686</v>
      </c>
      <c r="J284" s="3464" t="s">
        <v>3370</v>
      </c>
      <c r="K284" s="3465"/>
    </row>
    <row r="285" spans="1:11" ht="26.25" thickBot="1">
      <c r="A285" s="3073">
        <v>261</v>
      </c>
      <c r="B285" s="3074">
        <v>11</v>
      </c>
      <c r="C285" s="3074" t="s">
        <v>3552</v>
      </c>
      <c r="D285" s="3074" t="s">
        <v>3556</v>
      </c>
      <c r="E285" s="3072" t="s">
        <v>3109</v>
      </c>
      <c r="F285" s="3072" t="s">
        <v>3235</v>
      </c>
      <c r="G285" s="3464" t="s">
        <v>3383</v>
      </c>
      <c r="H285" s="3465"/>
      <c r="I285" s="3074">
        <v>5686</v>
      </c>
      <c r="J285" s="3464" t="s">
        <v>3370</v>
      </c>
      <c r="K285" s="3465"/>
    </row>
    <row r="286" spans="1:11" ht="26.25" thickBot="1">
      <c r="A286" s="3073">
        <v>262</v>
      </c>
      <c r="B286" s="3074">
        <v>11</v>
      </c>
      <c r="C286" s="3074" t="s">
        <v>3552</v>
      </c>
      <c r="D286" s="3074" t="s">
        <v>3557</v>
      </c>
      <c r="E286" s="3072" t="s">
        <v>3109</v>
      </c>
      <c r="F286" s="3072" t="s">
        <v>3235</v>
      </c>
      <c r="G286" s="3080">
        <v>118</v>
      </c>
      <c r="H286" s="3074">
        <v>23</v>
      </c>
      <c r="I286" s="3074">
        <v>5686</v>
      </c>
      <c r="J286" s="3081">
        <v>6</v>
      </c>
      <c r="K286" s="3074" t="s">
        <v>3396</v>
      </c>
    </row>
    <row r="287" spans="1:11" ht="26.25" thickBot="1">
      <c r="A287" s="3073">
        <v>263</v>
      </c>
      <c r="B287" s="3074">
        <v>11</v>
      </c>
      <c r="C287" s="3074" t="s">
        <v>3552</v>
      </c>
      <c r="D287" s="3074" t="s">
        <v>3558</v>
      </c>
      <c r="E287" s="3072" t="s">
        <v>3109</v>
      </c>
      <c r="F287" s="3072" t="s">
        <v>3235</v>
      </c>
      <c r="G287" s="3464" t="s">
        <v>3388</v>
      </c>
      <c r="H287" s="3465"/>
      <c r="I287" s="3074">
        <v>5686</v>
      </c>
      <c r="J287" s="3464" t="s">
        <v>3389</v>
      </c>
      <c r="K287" s="3465"/>
    </row>
    <row r="288" spans="1:11" ht="26.25" thickBot="1">
      <c r="A288" s="3073">
        <v>264</v>
      </c>
      <c r="B288" s="3074">
        <v>11</v>
      </c>
      <c r="C288" s="3074" t="s">
        <v>3559</v>
      </c>
      <c r="D288" s="3074" t="s">
        <v>3560</v>
      </c>
      <c r="E288" s="3072" t="s">
        <v>3109</v>
      </c>
      <c r="F288" s="3072" t="s">
        <v>3235</v>
      </c>
      <c r="G288" s="3464" t="s">
        <v>3388</v>
      </c>
      <c r="H288" s="3465"/>
      <c r="I288" s="3074">
        <v>5686</v>
      </c>
      <c r="J288" s="3464" t="s">
        <v>3389</v>
      </c>
      <c r="K288" s="3465"/>
    </row>
    <row r="289" spans="1:11" ht="26.25" thickBot="1">
      <c r="A289" s="3073">
        <v>265</v>
      </c>
      <c r="B289" s="3074">
        <v>11</v>
      </c>
      <c r="C289" s="3074" t="s">
        <v>3559</v>
      </c>
      <c r="D289" s="3074" t="s">
        <v>3561</v>
      </c>
      <c r="E289" s="3072" t="s">
        <v>3109</v>
      </c>
      <c r="F289" s="3072" t="s">
        <v>3235</v>
      </c>
      <c r="G289" s="3464" t="s">
        <v>3380</v>
      </c>
      <c r="H289" s="3465"/>
      <c r="I289" s="3074">
        <v>5686</v>
      </c>
      <c r="J289" s="3464" t="s">
        <v>3400</v>
      </c>
      <c r="K289" s="3465"/>
    </row>
    <row r="290" spans="1:11" ht="26.25" thickBot="1">
      <c r="A290" s="3073">
        <v>266</v>
      </c>
      <c r="B290" s="3074">
        <v>11</v>
      </c>
      <c r="C290" s="3074" t="s">
        <v>3559</v>
      </c>
      <c r="D290" s="3074" t="s">
        <v>3562</v>
      </c>
      <c r="E290" s="3072" t="s">
        <v>3109</v>
      </c>
      <c r="F290" s="3072" t="s">
        <v>3235</v>
      </c>
      <c r="G290" s="3464" t="s">
        <v>3383</v>
      </c>
      <c r="H290" s="3465"/>
      <c r="I290" s="3074">
        <v>5686</v>
      </c>
      <c r="J290" s="3464" t="s">
        <v>3370</v>
      </c>
      <c r="K290" s="3465"/>
    </row>
    <row r="291" spans="1:11" ht="26.25" thickBot="1">
      <c r="A291" s="3073">
        <v>267</v>
      </c>
      <c r="B291" s="3074">
        <v>11</v>
      </c>
      <c r="C291" s="3074" t="s">
        <v>3559</v>
      </c>
      <c r="D291" s="3074" t="s">
        <v>3563</v>
      </c>
      <c r="E291" s="3072" t="s">
        <v>3109</v>
      </c>
      <c r="F291" s="3072" t="s">
        <v>3235</v>
      </c>
      <c r="G291" s="3464" t="s">
        <v>3383</v>
      </c>
      <c r="H291" s="3465"/>
      <c r="I291" s="3074">
        <v>5686</v>
      </c>
      <c r="J291" s="3464" t="s">
        <v>3370</v>
      </c>
      <c r="K291" s="3465"/>
    </row>
    <row r="292" spans="1:11" ht="26.25" thickBot="1">
      <c r="A292" s="3073">
        <v>268</v>
      </c>
      <c r="B292" s="3074">
        <v>11</v>
      </c>
      <c r="C292" s="3074" t="s">
        <v>3559</v>
      </c>
      <c r="D292" s="3074" t="s">
        <v>3564</v>
      </c>
      <c r="E292" s="3072" t="s">
        <v>3109</v>
      </c>
      <c r="F292" s="3072" t="s">
        <v>3235</v>
      </c>
      <c r="G292" s="3464" t="s">
        <v>3380</v>
      </c>
      <c r="H292" s="3465"/>
      <c r="I292" s="3074">
        <v>5686</v>
      </c>
      <c r="J292" s="3464" t="s">
        <v>3400</v>
      </c>
      <c r="K292" s="3465"/>
    </row>
    <row r="293" spans="1:11" ht="26.25" thickBot="1">
      <c r="A293" s="3073">
        <v>269</v>
      </c>
      <c r="B293" s="3074">
        <v>11</v>
      </c>
      <c r="C293" s="3074" t="s">
        <v>3559</v>
      </c>
      <c r="D293" s="3074" t="s">
        <v>3565</v>
      </c>
      <c r="E293" s="3072" t="s">
        <v>3109</v>
      </c>
      <c r="F293" s="3072" t="s">
        <v>3235</v>
      </c>
      <c r="G293" s="3464" t="s">
        <v>3388</v>
      </c>
      <c r="H293" s="3465"/>
      <c r="I293" s="3074">
        <v>5686</v>
      </c>
      <c r="J293" s="3464" t="s">
        <v>3389</v>
      </c>
      <c r="K293" s="3465"/>
    </row>
    <row r="294" spans="1:11" ht="14.25" thickBot="1">
      <c r="A294" s="3084" t="s">
        <v>37</v>
      </c>
      <c r="B294" s="3086"/>
      <c r="C294" s="3086"/>
      <c r="D294" s="3086"/>
      <c r="E294" s="3086"/>
      <c r="F294" s="3086"/>
      <c r="G294" s="3464" t="s">
        <v>3566</v>
      </c>
      <c r="H294" s="3465"/>
      <c r="I294" s="3086"/>
      <c r="J294" s="3464" t="s">
        <v>3567</v>
      </c>
      <c r="K294" s="3465"/>
    </row>
    <row r="295" spans="1:11">
      <c r="A295" s="3070"/>
    </row>
    <row r="297" spans="1:11" ht="14.25">
      <c r="A297" s="3069" t="s">
        <v>3568</v>
      </c>
    </row>
    <row r="298" spans="1:11" ht="14.25" thickBot="1">
      <c r="A298" s="3070"/>
    </row>
    <row r="299" spans="1:11">
      <c r="A299" s="3458" t="s">
        <v>3223</v>
      </c>
      <c r="B299" s="3458" t="s">
        <v>3224</v>
      </c>
      <c r="C299" s="3071" t="s">
        <v>3225</v>
      </c>
      <c r="D299" s="3458" t="s">
        <v>3227</v>
      </c>
      <c r="E299" s="3458" t="s">
        <v>1341</v>
      </c>
      <c r="F299" s="3458" t="s">
        <v>3228</v>
      </c>
      <c r="G299" s="3460" t="s">
        <v>3229</v>
      </c>
      <c r="H299" s="3461"/>
      <c r="I299" s="3458" t="s">
        <v>3231</v>
      </c>
      <c r="J299" s="3458" t="s">
        <v>3232</v>
      </c>
    </row>
    <row r="300" spans="1:11" ht="14.25" thickBot="1">
      <c r="A300" s="3459"/>
      <c r="B300" s="3459"/>
      <c r="C300" s="3072" t="s">
        <v>3226</v>
      </c>
      <c r="D300" s="3459"/>
      <c r="E300" s="3459"/>
      <c r="F300" s="3459"/>
      <c r="G300" s="3462" t="s">
        <v>3230</v>
      </c>
      <c r="H300" s="3463"/>
      <c r="I300" s="3459"/>
      <c r="J300" s="3459"/>
    </row>
    <row r="301" spans="1:11" ht="24.75" thickBot="1">
      <c r="A301" s="3073">
        <v>1</v>
      </c>
      <c r="B301" s="3074">
        <v>12</v>
      </c>
      <c r="C301" s="3074">
        <f t="shared" ref="C301:C332" si="4">-2/28</f>
        <v>-7.1428571428571425E-2</v>
      </c>
      <c r="D301" s="3072" t="s">
        <v>3299</v>
      </c>
      <c r="E301" s="3072" t="s">
        <v>3234</v>
      </c>
      <c r="F301" s="3072" t="s">
        <v>3235</v>
      </c>
      <c r="G301" s="3464" t="s">
        <v>3569</v>
      </c>
      <c r="H301" s="3465"/>
      <c r="I301" s="3074">
        <v>2016</v>
      </c>
      <c r="J301" s="3074">
        <v>4.55</v>
      </c>
    </row>
    <row r="302" spans="1:11" ht="24.75" thickBot="1">
      <c r="A302" s="3073">
        <v>2</v>
      </c>
      <c r="B302" s="3074">
        <v>12</v>
      </c>
      <c r="C302" s="3074">
        <f t="shared" si="4"/>
        <v>-7.1428571428571425E-2</v>
      </c>
      <c r="D302" s="3072" t="s">
        <v>3300</v>
      </c>
      <c r="E302" s="3072" t="s">
        <v>3234</v>
      </c>
      <c r="F302" s="3072" t="s">
        <v>3235</v>
      </c>
      <c r="G302" s="3075">
        <v>1</v>
      </c>
      <c r="H302" s="3082" t="s">
        <v>3570</v>
      </c>
      <c r="I302" s="3074">
        <v>2016</v>
      </c>
      <c r="J302" s="3074">
        <v>3.17</v>
      </c>
    </row>
    <row r="303" spans="1:11" ht="24.75" thickBot="1">
      <c r="A303" s="3073">
        <v>3</v>
      </c>
      <c r="B303" s="3074">
        <v>12</v>
      </c>
      <c r="C303" s="3074">
        <f t="shared" si="4"/>
        <v>-7.1428571428571425E-2</v>
      </c>
      <c r="D303" s="3072" t="s">
        <v>3301</v>
      </c>
      <c r="E303" s="3072" t="s">
        <v>3234</v>
      </c>
      <c r="F303" s="3072" t="s">
        <v>3235</v>
      </c>
      <c r="G303" s="3464" t="s">
        <v>3571</v>
      </c>
      <c r="H303" s="3465"/>
      <c r="I303" s="3074">
        <v>2016</v>
      </c>
      <c r="J303" s="3074">
        <v>3.09</v>
      </c>
    </row>
    <row r="304" spans="1:11" ht="24.75" thickBot="1">
      <c r="A304" s="3073">
        <v>4</v>
      </c>
      <c r="B304" s="3074">
        <v>12</v>
      </c>
      <c r="C304" s="3074">
        <f t="shared" si="4"/>
        <v>-7.1428571428571425E-2</v>
      </c>
      <c r="D304" s="3072" t="s">
        <v>3302</v>
      </c>
      <c r="E304" s="3072" t="s">
        <v>3234</v>
      </c>
      <c r="F304" s="3072" t="s">
        <v>3235</v>
      </c>
      <c r="G304" s="3464" t="s">
        <v>3572</v>
      </c>
      <c r="H304" s="3465"/>
      <c r="I304" s="3074">
        <v>2016</v>
      </c>
      <c r="J304" s="3074">
        <v>3.07</v>
      </c>
    </row>
    <row r="305" spans="1:10" ht="24.75" thickBot="1">
      <c r="A305" s="3073">
        <v>5</v>
      </c>
      <c r="B305" s="3074">
        <v>12</v>
      </c>
      <c r="C305" s="3074">
        <f t="shared" si="4"/>
        <v>-7.1428571428571425E-2</v>
      </c>
      <c r="D305" s="3072" t="s">
        <v>3303</v>
      </c>
      <c r="E305" s="3072" t="s">
        <v>3234</v>
      </c>
      <c r="F305" s="3072" t="s">
        <v>3235</v>
      </c>
      <c r="G305" s="3464" t="s">
        <v>3573</v>
      </c>
      <c r="H305" s="3465"/>
      <c r="I305" s="3074">
        <v>2016</v>
      </c>
      <c r="J305" s="3074">
        <v>2.57</v>
      </c>
    </row>
    <row r="306" spans="1:10" ht="24.75" thickBot="1">
      <c r="A306" s="3073">
        <v>6</v>
      </c>
      <c r="B306" s="3074">
        <v>12</v>
      </c>
      <c r="C306" s="3074">
        <f t="shared" si="4"/>
        <v>-7.1428571428571425E-2</v>
      </c>
      <c r="D306" s="3072" t="s">
        <v>3304</v>
      </c>
      <c r="E306" s="3072" t="s">
        <v>3234</v>
      </c>
      <c r="F306" s="3072" t="s">
        <v>3235</v>
      </c>
      <c r="G306" s="3464" t="s">
        <v>3574</v>
      </c>
      <c r="H306" s="3465"/>
      <c r="I306" s="3074">
        <v>2016</v>
      </c>
      <c r="J306" s="3074">
        <v>2.13</v>
      </c>
    </row>
    <row r="307" spans="1:10" ht="24.75" thickBot="1">
      <c r="A307" s="3073">
        <v>7</v>
      </c>
      <c r="B307" s="3074">
        <v>12</v>
      </c>
      <c r="C307" s="3074">
        <f t="shared" si="4"/>
        <v>-7.1428571428571425E-2</v>
      </c>
      <c r="D307" s="3072" t="s">
        <v>3305</v>
      </c>
      <c r="E307" s="3072" t="s">
        <v>3234</v>
      </c>
      <c r="F307" s="3072" t="s">
        <v>3235</v>
      </c>
      <c r="G307" s="3464" t="s">
        <v>3575</v>
      </c>
      <c r="H307" s="3465"/>
      <c r="I307" s="3074">
        <v>2016</v>
      </c>
      <c r="J307" s="3074">
        <v>2.15</v>
      </c>
    </row>
    <row r="308" spans="1:10" ht="24.75" thickBot="1">
      <c r="A308" s="3073">
        <v>8</v>
      </c>
      <c r="B308" s="3074">
        <v>12</v>
      </c>
      <c r="C308" s="3074">
        <f t="shared" si="4"/>
        <v>-7.1428571428571425E-2</v>
      </c>
      <c r="D308" s="3072" t="s">
        <v>3306</v>
      </c>
      <c r="E308" s="3072" t="s">
        <v>3234</v>
      </c>
      <c r="F308" s="3072" t="s">
        <v>3235</v>
      </c>
      <c r="G308" s="3464" t="s">
        <v>3576</v>
      </c>
      <c r="H308" s="3465"/>
      <c r="I308" s="3074">
        <v>2016</v>
      </c>
      <c r="J308" s="3074">
        <v>2.2200000000000002</v>
      </c>
    </row>
    <row r="309" spans="1:10" ht="24.75" thickBot="1">
      <c r="A309" s="3073">
        <v>9</v>
      </c>
      <c r="B309" s="3074">
        <v>12</v>
      </c>
      <c r="C309" s="3074">
        <f t="shared" si="4"/>
        <v>-7.1428571428571425E-2</v>
      </c>
      <c r="D309" s="3072" t="s">
        <v>3307</v>
      </c>
      <c r="E309" s="3072" t="s">
        <v>3234</v>
      </c>
      <c r="F309" s="3072" t="s">
        <v>3235</v>
      </c>
      <c r="G309" s="3464" t="s">
        <v>3577</v>
      </c>
      <c r="H309" s="3465"/>
      <c r="I309" s="3074">
        <v>2016</v>
      </c>
      <c r="J309" s="3074">
        <v>2.57</v>
      </c>
    </row>
    <row r="310" spans="1:10" ht="24.75" thickBot="1">
      <c r="A310" s="3073">
        <v>10</v>
      </c>
      <c r="B310" s="3074">
        <v>12</v>
      </c>
      <c r="C310" s="3074">
        <f t="shared" si="4"/>
        <v>-7.1428571428571425E-2</v>
      </c>
      <c r="D310" s="3072" t="s">
        <v>3308</v>
      </c>
      <c r="E310" s="3072" t="s">
        <v>3234</v>
      </c>
      <c r="F310" s="3072" t="s">
        <v>3235</v>
      </c>
      <c r="G310" s="3464" t="s">
        <v>3572</v>
      </c>
      <c r="H310" s="3465"/>
      <c r="I310" s="3074">
        <v>2016</v>
      </c>
      <c r="J310" s="3074">
        <v>3.07</v>
      </c>
    </row>
    <row r="311" spans="1:10" ht="24.75" thickBot="1">
      <c r="A311" s="3073">
        <v>11</v>
      </c>
      <c r="B311" s="3074">
        <v>12</v>
      </c>
      <c r="C311" s="3074">
        <f t="shared" si="4"/>
        <v>-7.1428571428571425E-2</v>
      </c>
      <c r="D311" s="3072" t="s">
        <v>3309</v>
      </c>
      <c r="E311" s="3072" t="s">
        <v>3234</v>
      </c>
      <c r="F311" s="3072" t="s">
        <v>3235</v>
      </c>
      <c r="G311" s="3464" t="s">
        <v>3571</v>
      </c>
      <c r="H311" s="3465"/>
      <c r="I311" s="3074">
        <v>2016</v>
      </c>
      <c r="J311" s="3074">
        <v>3.09</v>
      </c>
    </row>
    <row r="312" spans="1:10" ht="24.75" thickBot="1">
      <c r="A312" s="3073">
        <v>12</v>
      </c>
      <c r="B312" s="3074">
        <v>12</v>
      </c>
      <c r="C312" s="3074">
        <f t="shared" si="4"/>
        <v>-7.1428571428571425E-2</v>
      </c>
      <c r="D312" s="3072" t="s">
        <v>3310</v>
      </c>
      <c r="E312" s="3072" t="s">
        <v>3234</v>
      </c>
      <c r="F312" s="3072" t="s">
        <v>3235</v>
      </c>
      <c r="G312" s="3075">
        <v>1</v>
      </c>
      <c r="H312" s="3082" t="s">
        <v>3570</v>
      </c>
      <c r="I312" s="3074">
        <v>2016</v>
      </c>
      <c r="J312" s="3074">
        <v>3.17</v>
      </c>
    </row>
    <row r="313" spans="1:10" ht="24.75" thickBot="1">
      <c r="A313" s="3073">
        <v>13</v>
      </c>
      <c r="B313" s="3074">
        <v>12</v>
      </c>
      <c r="C313" s="3074">
        <f t="shared" si="4"/>
        <v>-7.1428571428571425E-2</v>
      </c>
      <c r="D313" s="3072" t="s">
        <v>3311</v>
      </c>
      <c r="E313" s="3072" t="s">
        <v>3234</v>
      </c>
      <c r="F313" s="3072" t="s">
        <v>3235</v>
      </c>
      <c r="G313" s="3464" t="s">
        <v>3569</v>
      </c>
      <c r="H313" s="3465"/>
      <c r="I313" s="3074">
        <v>2016</v>
      </c>
      <c r="J313" s="3074">
        <v>4.55</v>
      </c>
    </row>
    <row r="314" spans="1:10" ht="24.75" thickBot="1">
      <c r="A314" s="3073">
        <v>14</v>
      </c>
      <c r="B314" s="3074">
        <v>12</v>
      </c>
      <c r="C314" s="3074">
        <f t="shared" si="4"/>
        <v>-7.1428571428571425E-2</v>
      </c>
      <c r="D314" s="3072" t="s">
        <v>3313</v>
      </c>
      <c r="E314" s="3072" t="s">
        <v>3234</v>
      </c>
      <c r="F314" s="3072" t="s">
        <v>3235</v>
      </c>
      <c r="G314" s="3464">
        <v>13</v>
      </c>
      <c r="H314" s="3465"/>
      <c r="I314" s="3074">
        <v>2016</v>
      </c>
      <c r="J314" s="3074">
        <v>2.62</v>
      </c>
    </row>
    <row r="315" spans="1:10" ht="24.75" thickBot="1">
      <c r="A315" s="3073">
        <v>15</v>
      </c>
      <c r="B315" s="3074">
        <v>12</v>
      </c>
      <c r="C315" s="3074">
        <f t="shared" si="4"/>
        <v>-7.1428571428571425E-2</v>
      </c>
      <c r="D315" s="3072" t="s">
        <v>3578</v>
      </c>
      <c r="E315" s="3072" t="s">
        <v>3234</v>
      </c>
      <c r="F315" s="3072" t="s">
        <v>3235</v>
      </c>
      <c r="G315" s="3464" t="s">
        <v>3579</v>
      </c>
      <c r="H315" s="3465"/>
      <c r="I315" s="3074">
        <v>2016</v>
      </c>
      <c r="J315" s="3074">
        <v>4.33</v>
      </c>
    </row>
    <row r="316" spans="1:10" ht="24.75" thickBot="1">
      <c r="A316" s="3073">
        <v>16</v>
      </c>
      <c r="B316" s="3074">
        <v>12</v>
      </c>
      <c r="C316" s="3074">
        <f t="shared" si="4"/>
        <v>-7.1428571428571425E-2</v>
      </c>
      <c r="D316" s="3072" t="s">
        <v>3233</v>
      </c>
      <c r="E316" s="3072" t="s">
        <v>3234</v>
      </c>
      <c r="F316" s="3072" t="s">
        <v>3235</v>
      </c>
      <c r="G316" s="3464" t="s">
        <v>3580</v>
      </c>
      <c r="H316" s="3465"/>
      <c r="I316" s="3074">
        <v>2016</v>
      </c>
      <c r="J316" s="3074">
        <v>2.69</v>
      </c>
    </row>
    <row r="317" spans="1:10" ht="24.75" thickBot="1">
      <c r="A317" s="3073">
        <v>17</v>
      </c>
      <c r="B317" s="3074">
        <v>12</v>
      </c>
      <c r="C317" s="3074">
        <f t="shared" si="4"/>
        <v>-7.1428571428571425E-2</v>
      </c>
      <c r="D317" s="3072" t="s">
        <v>3237</v>
      </c>
      <c r="E317" s="3072" t="s">
        <v>3234</v>
      </c>
      <c r="F317" s="3072" t="s">
        <v>3235</v>
      </c>
      <c r="G317" s="3464">
        <v>12.01</v>
      </c>
      <c r="H317" s="3465"/>
      <c r="I317" s="3074">
        <v>2016</v>
      </c>
      <c r="J317" s="3074">
        <v>2.42</v>
      </c>
    </row>
    <row r="318" spans="1:10" ht="24.75" thickBot="1">
      <c r="A318" s="3073">
        <v>18</v>
      </c>
      <c r="B318" s="3074">
        <v>12</v>
      </c>
      <c r="C318" s="3074">
        <f t="shared" si="4"/>
        <v>-7.1428571428571425E-2</v>
      </c>
      <c r="D318" s="3072" t="s">
        <v>3238</v>
      </c>
      <c r="E318" s="3072" t="s">
        <v>3234</v>
      </c>
      <c r="F318" s="3072" t="s">
        <v>3235</v>
      </c>
      <c r="G318" s="3464" t="s">
        <v>3581</v>
      </c>
      <c r="H318" s="3465"/>
      <c r="I318" s="3074">
        <v>2016</v>
      </c>
      <c r="J318" s="3074">
        <v>2.31</v>
      </c>
    </row>
    <row r="319" spans="1:10" ht="24.75" thickBot="1">
      <c r="A319" s="3073">
        <v>19</v>
      </c>
      <c r="B319" s="3074">
        <v>12</v>
      </c>
      <c r="C319" s="3074">
        <f t="shared" si="4"/>
        <v>-7.1428571428571425E-2</v>
      </c>
      <c r="D319" s="3072" t="s">
        <v>3240</v>
      </c>
      <c r="E319" s="3072" t="s">
        <v>3234</v>
      </c>
      <c r="F319" s="3072" t="s">
        <v>3235</v>
      </c>
      <c r="G319" s="3464">
        <v>12.5</v>
      </c>
      <c r="H319" s="3465"/>
      <c r="I319" s="3074">
        <v>2016</v>
      </c>
      <c r="J319" s="3074">
        <v>2.52</v>
      </c>
    </row>
    <row r="320" spans="1:10" ht="24.75" thickBot="1">
      <c r="A320" s="3073">
        <v>20</v>
      </c>
      <c r="B320" s="3074">
        <v>12</v>
      </c>
      <c r="C320" s="3074">
        <f t="shared" si="4"/>
        <v>-7.1428571428571425E-2</v>
      </c>
      <c r="D320" s="3072" t="s">
        <v>3242</v>
      </c>
      <c r="E320" s="3072" t="s">
        <v>3234</v>
      </c>
      <c r="F320" s="3072" t="s">
        <v>3235</v>
      </c>
      <c r="G320" s="3464">
        <v>12.5</v>
      </c>
      <c r="H320" s="3465"/>
      <c r="I320" s="3074">
        <v>2016</v>
      </c>
      <c r="J320" s="3074">
        <v>2.52</v>
      </c>
    </row>
    <row r="321" spans="1:10" ht="24.75" thickBot="1">
      <c r="A321" s="3073">
        <v>21</v>
      </c>
      <c r="B321" s="3074">
        <v>12</v>
      </c>
      <c r="C321" s="3074">
        <f t="shared" si="4"/>
        <v>-7.1428571428571425E-2</v>
      </c>
      <c r="D321" s="3072" t="s">
        <v>3244</v>
      </c>
      <c r="E321" s="3072" t="s">
        <v>3234</v>
      </c>
      <c r="F321" s="3072" t="s">
        <v>3235</v>
      </c>
      <c r="G321" s="3464" t="s">
        <v>3582</v>
      </c>
      <c r="H321" s="3465"/>
      <c r="I321" s="3074">
        <v>2016</v>
      </c>
      <c r="J321" s="3074">
        <v>2.17</v>
      </c>
    </row>
    <row r="322" spans="1:10" ht="24.75" thickBot="1">
      <c r="A322" s="3073">
        <v>22</v>
      </c>
      <c r="B322" s="3074">
        <v>12</v>
      </c>
      <c r="C322" s="3074">
        <f t="shared" si="4"/>
        <v>-7.1428571428571425E-2</v>
      </c>
      <c r="D322" s="3072" t="s">
        <v>3246</v>
      </c>
      <c r="E322" s="3072" t="s">
        <v>3234</v>
      </c>
      <c r="F322" s="3072" t="s">
        <v>3235</v>
      </c>
      <c r="G322" s="3464" t="s">
        <v>3583</v>
      </c>
      <c r="H322" s="3465"/>
      <c r="I322" s="3074">
        <v>2016</v>
      </c>
      <c r="J322" s="3074">
        <v>2.17</v>
      </c>
    </row>
    <row r="323" spans="1:10" ht="24.75" thickBot="1">
      <c r="A323" s="3073">
        <v>23</v>
      </c>
      <c r="B323" s="3074">
        <v>12</v>
      </c>
      <c r="C323" s="3074">
        <f t="shared" si="4"/>
        <v>-7.1428571428571425E-2</v>
      </c>
      <c r="D323" s="3072" t="s">
        <v>3248</v>
      </c>
      <c r="E323" s="3072" t="s">
        <v>3234</v>
      </c>
      <c r="F323" s="3072" t="s">
        <v>3235</v>
      </c>
      <c r="G323" s="3464">
        <v>9.8699999999999992</v>
      </c>
      <c r="H323" s="3465"/>
      <c r="I323" s="3074">
        <v>2016</v>
      </c>
      <c r="J323" s="3074">
        <v>1.99</v>
      </c>
    </row>
    <row r="324" spans="1:10" ht="24.75" thickBot="1">
      <c r="A324" s="3073">
        <v>24</v>
      </c>
      <c r="B324" s="3074">
        <v>12</v>
      </c>
      <c r="C324" s="3074">
        <f t="shared" si="4"/>
        <v>-7.1428571428571425E-2</v>
      </c>
      <c r="D324" s="3072" t="s">
        <v>3249</v>
      </c>
      <c r="E324" s="3072" t="s">
        <v>3234</v>
      </c>
      <c r="F324" s="3072" t="s">
        <v>3235</v>
      </c>
      <c r="G324" s="3464">
        <v>9.66</v>
      </c>
      <c r="H324" s="3465"/>
      <c r="I324" s="3074">
        <v>2016</v>
      </c>
      <c r="J324" s="3074">
        <v>1.95</v>
      </c>
    </row>
    <row r="325" spans="1:10" ht="24.75" thickBot="1">
      <c r="A325" s="3073">
        <v>25</v>
      </c>
      <c r="B325" s="3074">
        <v>12</v>
      </c>
      <c r="C325" s="3074">
        <f t="shared" si="4"/>
        <v>-7.1428571428571425E-2</v>
      </c>
      <c r="D325" s="3072" t="s">
        <v>3251</v>
      </c>
      <c r="E325" s="3072" t="s">
        <v>3234</v>
      </c>
      <c r="F325" s="3072" t="s">
        <v>3235</v>
      </c>
      <c r="G325" s="3464" t="s">
        <v>3584</v>
      </c>
      <c r="H325" s="3465"/>
      <c r="I325" s="3074">
        <v>2016</v>
      </c>
      <c r="J325" s="3074">
        <v>5.82</v>
      </c>
    </row>
    <row r="326" spans="1:10" ht="24.75" thickBot="1">
      <c r="A326" s="3073">
        <v>26</v>
      </c>
      <c r="B326" s="3074">
        <v>12</v>
      </c>
      <c r="C326" s="3074">
        <f t="shared" si="4"/>
        <v>-7.1428571428571425E-2</v>
      </c>
      <c r="D326" s="3072" t="s">
        <v>3252</v>
      </c>
      <c r="E326" s="3072" t="s">
        <v>3234</v>
      </c>
      <c r="F326" s="3072" t="s">
        <v>3235</v>
      </c>
      <c r="G326" s="3464" t="s">
        <v>3585</v>
      </c>
      <c r="H326" s="3465"/>
      <c r="I326" s="3074">
        <v>2016</v>
      </c>
      <c r="J326" s="3074">
        <v>4.1500000000000004</v>
      </c>
    </row>
    <row r="327" spans="1:10" ht="24.75" thickBot="1">
      <c r="A327" s="3073">
        <v>27</v>
      </c>
      <c r="B327" s="3074">
        <v>12</v>
      </c>
      <c r="C327" s="3074">
        <f t="shared" si="4"/>
        <v>-7.1428571428571425E-2</v>
      </c>
      <c r="D327" s="3072" t="s">
        <v>3254</v>
      </c>
      <c r="E327" s="3072" t="s">
        <v>3234</v>
      </c>
      <c r="F327" s="3072" t="s">
        <v>3235</v>
      </c>
      <c r="G327" s="3464" t="s">
        <v>3586</v>
      </c>
      <c r="H327" s="3465"/>
      <c r="I327" s="3074">
        <v>2016</v>
      </c>
      <c r="J327" s="3074">
        <v>3.77</v>
      </c>
    </row>
    <row r="328" spans="1:10" ht="24.75" thickBot="1">
      <c r="A328" s="3073">
        <v>28</v>
      </c>
      <c r="B328" s="3074">
        <v>12</v>
      </c>
      <c r="C328" s="3074">
        <f t="shared" si="4"/>
        <v>-7.1428571428571425E-2</v>
      </c>
      <c r="D328" s="3072" t="s">
        <v>3255</v>
      </c>
      <c r="E328" s="3072" t="s">
        <v>3234</v>
      </c>
      <c r="F328" s="3072" t="s">
        <v>3235</v>
      </c>
      <c r="G328" s="3464" t="s">
        <v>3587</v>
      </c>
      <c r="H328" s="3465"/>
      <c r="I328" s="3074">
        <v>2016</v>
      </c>
      <c r="J328" s="3074">
        <v>2.67</v>
      </c>
    </row>
    <row r="329" spans="1:10" ht="24.75" thickBot="1">
      <c r="A329" s="3073">
        <v>29</v>
      </c>
      <c r="B329" s="3074">
        <v>12</v>
      </c>
      <c r="C329" s="3074">
        <f t="shared" si="4"/>
        <v>-7.1428571428571425E-2</v>
      </c>
      <c r="D329" s="3072" t="s">
        <v>3257</v>
      </c>
      <c r="E329" s="3072" t="s">
        <v>3234</v>
      </c>
      <c r="F329" s="3072" t="s">
        <v>3235</v>
      </c>
      <c r="G329" s="3075">
        <v>2</v>
      </c>
      <c r="H329" s="3074" t="s">
        <v>3588</v>
      </c>
      <c r="I329" s="3074">
        <v>2016</v>
      </c>
      <c r="J329" s="3074">
        <v>4.43</v>
      </c>
    </row>
    <row r="330" spans="1:10" ht="24.75" thickBot="1">
      <c r="A330" s="3073">
        <v>30</v>
      </c>
      <c r="B330" s="3074">
        <v>12</v>
      </c>
      <c r="C330" s="3074">
        <f t="shared" si="4"/>
        <v>-7.1428571428571425E-2</v>
      </c>
      <c r="D330" s="3072" t="s">
        <v>3259</v>
      </c>
      <c r="E330" s="3072" t="s">
        <v>3234</v>
      </c>
      <c r="F330" s="3072" t="s">
        <v>3235</v>
      </c>
      <c r="G330" s="3464" t="s">
        <v>3589</v>
      </c>
      <c r="H330" s="3465"/>
      <c r="I330" s="3074">
        <v>2016</v>
      </c>
      <c r="J330" s="3074">
        <v>3.14</v>
      </c>
    </row>
    <row r="331" spans="1:10" ht="24.75" thickBot="1">
      <c r="A331" s="3073">
        <v>31</v>
      </c>
      <c r="B331" s="3074">
        <v>12</v>
      </c>
      <c r="C331" s="3074">
        <f t="shared" si="4"/>
        <v>-7.1428571428571425E-2</v>
      </c>
      <c r="D331" s="3072" t="s">
        <v>3261</v>
      </c>
      <c r="E331" s="3072" t="s">
        <v>3234</v>
      </c>
      <c r="F331" s="3072" t="s">
        <v>3235</v>
      </c>
      <c r="G331" s="3464" t="s">
        <v>3590</v>
      </c>
      <c r="H331" s="3465"/>
      <c r="I331" s="3074">
        <v>2016</v>
      </c>
      <c r="J331" s="3074">
        <v>2.5099999999999998</v>
      </c>
    </row>
    <row r="332" spans="1:10" ht="24.75" thickBot="1">
      <c r="A332" s="3073">
        <v>32</v>
      </c>
      <c r="B332" s="3074">
        <v>12</v>
      </c>
      <c r="C332" s="3074">
        <f t="shared" si="4"/>
        <v>-7.1428571428571425E-2</v>
      </c>
      <c r="D332" s="3072" t="s">
        <v>3263</v>
      </c>
      <c r="E332" s="3072" t="s">
        <v>3234</v>
      </c>
      <c r="F332" s="3072" t="s">
        <v>3235</v>
      </c>
      <c r="G332" s="3464" t="s">
        <v>3591</v>
      </c>
      <c r="H332" s="3465"/>
      <c r="I332" s="3074">
        <v>2016</v>
      </c>
      <c r="J332" s="3074">
        <v>2.2000000000000002</v>
      </c>
    </row>
    <row r="333" spans="1:10" ht="24.75" thickBot="1">
      <c r="A333" s="3073">
        <v>33</v>
      </c>
      <c r="B333" s="3074">
        <v>12</v>
      </c>
      <c r="C333" s="3074">
        <f t="shared" ref="C333:C353" si="5">-2/28</f>
        <v>-7.1428571428571425E-2</v>
      </c>
      <c r="D333" s="3072" t="s">
        <v>3265</v>
      </c>
      <c r="E333" s="3072" t="s">
        <v>3234</v>
      </c>
      <c r="F333" s="3072" t="s">
        <v>3235</v>
      </c>
      <c r="G333" s="3464" t="s">
        <v>3592</v>
      </c>
      <c r="H333" s="3465"/>
      <c r="I333" s="3074">
        <v>2016</v>
      </c>
      <c r="J333" s="3074">
        <v>2.2000000000000002</v>
      </c>
    </row>
    <row r="334" spans="1:10" ht="24.75" thickBot="1">
      <c r="A334" s="3073">
        <v>34</v>
      </c>
      <c r="B334" s="3074">
        <v>12</v>
      </c>
      <c r="C334" s="3074">
        <f t="shared" si="5"/>
        <v>-7.1428571428571425E-2</v>
      </c>
      <c r="D334" s="3072" t="s">
        <v>3267</v>
      </c>
      <c r="E334" s="3072" t="s">
        <v>3234</v>
      </c>
      <c r="F334" s="3072" t="s">
        <v>3235</v>
      </c>
      <c r="G334" s="3464" t="s">
        <v>3592</v>
      </c>
      <c r="H334" s="3465"/>
      <c r="I334" s="3074">
        <v>2016</v>
      </c>
      <c r="J334" s="3074">
        <v>2.2000000000000002</v>
      </c>
    </row>
    <row r="335" spans="1:10" ht="24.75" thickBot="1">
      <c r="A335" s="3073">
        <v>35</v>
      </c>
      <c r="B335" s="3074">
        <v>12</v>
      </c>
      <c r="C335" s="3074">
        <f t="shared" si="5"/>
        <v>-7.1428571428571425E-2</v>
      </c>
      <c r="D335" s="3072" t="s">
        <v>3268</v>
      </c>
      <c r="E335" s="3072" t="s">
        <v>3234</v>
      </c>
      <c r="F335" s="3072" t="s">
        <v>3235</v>
      </c>
      <c r="G335" s="3464" t="s">
        <v>3593</v>
      </c>
      <c r="H335" s="3465"/>
      <c r="I335" s="3074">
        <v>2016</v>
      </c>
      <c r="J335" s="3074">
        <v>2.19</v>
      </c>
    </row>
    <row r="336" spans="1:10" ht="24.75" thickBot="1">
      <c r="A336" s="3073">
        <v>36</v>
      </c>
      <c r="B336" s="3074">
        <v>12</v>
      </c>
      <c r="C336" s="3074">
        <f t="shared" si="5"/>
        <v>-7.1428571428571425E-2</v>
      </c>
      <c r="D336" s="3072" t="s">
        <v>3270</v>
      </c>
      <c r="E336" s="3072" t="s">
        <v>3234</v>
      </c>
      <c r="F336" s="3072" t="s">
        <v>3235</v>
      </c>
      <c r="G336" s="3464">
        <v>8.39</v>
      </c>
      <c r="H336" s="3465"/>
      <c r="I336" s="3074">
        <v>2016</v>
      </c>
      <c r="J336" s="3074">
        <v>1.69</v>
      </c>
    </row>
    <row r="337" spans="1:10" ht="24.75" thickBot="1">
      <c r="A337" s="3073">
        <v>37</v>
      </c>
      <c r="B337" s="3074">
        <v>12</v>
      </c>
      <c r="C337" s="3074">
        <f t="shared" si="5"/>
        <v>-7.1428571428571425E-2</v>
      </c>
      <c r="D337" s="3072" t="s">
        <v>3272</v>
      </c>
      <c r="E337" s="3072" t="s">
        <v>3234</v>
      </c>
      <c r="F337" s="3072" t="s">
        <v>3235</v>
      </c>
      <c r="G337" s="3464">
        <v>8.6</v>
      </c>
      <c r="H337" s="3465"/>
      <c r="I337" s="3074">
        <v>2016</v>
      </c>
      <c r="J337" s="3074">
        <v>1.73</v>
      </c>
    </row>
    <row r="338" spans="1:10" ht="24.75" thickBot="1">
      <c r="A338" s="3073">
        <v>38</v>
      </c>
      <c r="B338" s="3074">
        <v>12</v>
      </c>
      <c r="C338" s="3074">
        <f t="shared" si="5"/>
        <v>-7.1428571428571425E-2</v>
      </c>
      <c r="D338" s="3072" t="s">
        <v>3273</v>
      </c>
      <c r="E338" s="3072" t="s">
        <v>3234</v>
      </c>
      <c r="F338" s="3072" t="s">
        <v>3235</v>
      </c>
      <c r="G338" s="3464">
        <v>10.06</v>
      </c>
      <c r="H338" s="3465"/>
      <c r="I338" s="3074">
        <v>2016</v>
      </c>
      <c r="J338" s="3074">
        <v>2.0299999999999998</v>
      </c>
    </row>
    <row r="339" spans="1:10" ht="24.75" thickBot="1">
      <c r="A339" s="3073">
        <v>39</v>
      </c>
      <c r="B339" s="3074">
        <v>12</v>
      </c>
      <c r="C339" s="3074">
        <f t="shared" si="5"/>
        <v>-7.1428571428571425E-2</v>
      </c>
      <c r="D339" s="3072" t="s">
        <v>3274</v>
      </c>
      <c r="E339" s="3072" t="s">
        <v>3234</v>
      </c>
      <c r="F339" s="3072" t="s">
        <v>3235</v>
      </c>
      <c r="G339" s="3075">
        <v>1</v>
      </c>
      <c r="H339" s="3082" t="s">
        <v>3594</v>
      </c>
      <c r="I339" s="3074">
        <v>2016</v>
      </c>
      <c r="J339" s="3074">
        <v>2.0699999999999998</v>
      </c>
    </row>
    <row r="340" spans="1:10" ht="24.75" thickBot="1">
      <c r="A340" s="3073">
        <v>40</v>
      </c>
      <c r="B340" s="3074">
        <v>12</v>
      </c>
      <c r="C340" s="3074">
        <f t="shared" si="5"/>
        <v>-7.1428571428571425E-2</v>
      </c>
      <c r="D340" s="3072" t="s">
        <v>3276</v>
      </c>
      <c r="E340" s="3072" t="s">
        <v>3234</v>
      </c>
      <c r="F340" s="3072" t="s">
        <v>3235</v>
      </c>
      <c r="G340" s="3464" t="s">
        <v>3592</v>
      </c>
      <c r="H340" s="3465"/>
      <c r="I340" s="3074">
        <v>2016</v>
      </c>
      <c r="J340" s="3074">
        <v>2.2000000000000002</v>
      </c>
    </row>
    <row r="341" spans="1:10" ht="24.75" thickBot="1">
      <c r="A341" s="3073">
        <v>41</v>
      </c>
      <c r="B341" s="3074">
        <v>12</v>
      </c>
      <c r="C341" s="3074">
        <f t="shared" si="5"/>
        <v>-7.1428571428571425E-2</v>
      </c>
      <c r="D341" s="3072" t="s">
        <v>3277</v>
      </c>
      <c r="E341" s="3072" t="s">
        <v>3234</v>
      </c>
      <c r="F341" s="3072" t="s">
        <v>3235</v>
      </c>
      <c r="G341" s="3464" t="s">
        <v>3592</v>
      </c>
      <c r="H341" s="3465"/>
      <c r="I341" s="3074">
        <v>2016</v>
      </c>
      <c r="J341" s="3074">
        <v>2.2000000000000002</v>
      </c>
    </row>
    <row r="342" spans="1:10" ht="24.75" thickBot="1">
      <c r="A342" s="3073">
        <v>42</v>
      </c>
      <c r="B342" s="3074">
        <v>12</v>
      </c>
      <c r="C342" s="3074">
        <f t="shared" si="5"/>
        <v>-7.1428571428571425E-2</v>
      </c>
      <c r="D342" s="3072" t="s">
        <v>3278</v>
      </c>
      <c r="E342" s="3072" t="s">
        <v>3234</v>
      </c>
      <c r="F342" s="3072" t="s">
        <v>3235</v>
      </c>
      <c r="G342" s="3464" t="s">
        <v>3591</v>
      </c>
      <c r="H342" s="3465"/>
      <c r="I342" s="3074">
        <v>2016</v>
      </c>
      <c r="J342" s="3074">
        <v>2.2000000000000002</v>
      </c>
    </row>
    <row r="343" spans="1:10" ht="24.75" thickBot="1">
      <c r="A343" s="3073">
        <v>43</v>
      </c>
      <c r="B343" s="3074">
        <v>12</v>
      </c>
      <c r="C343" s="3074">
        <f t="shared" si="5"/>
        <v>-7.1428571428571425E-2</v>
      </c>
      <c r="D343" s="3072" t="s">
        <v>3280</v>
      </c>
      <c r="E343" s="3072" t="s">
        <v>3234</v>
      </c>
      <c r="F343" s="3072" t="s">
        <v>3235</v>
      </c>
      <c r="G343" s="3464" t="s">
        <v>3590</v>
      </c>
      <c r="H343" s="3465"/>
      <c r="I343" s="3074">
        <v>2016</v>
      </c>
      <c r="J343" s="3074">
        <v>2.5099999999999998</v>
      </c>
    </row>
    <row r="344" spans="1:10" ht="24.75" thickBot="1">
      <c r="A344" s="3073">
        <v>44</v>
      </c>
      <c r="B344" s="3074">
        <v>12</v>
      </c>
      <c r="C344" s="3074">
        <f t="shared" si="5"/>
        <v>-7.1428571428571425E-2</v>
      </c>
      <c r="D344" s="3072" t="s">
        <v>3281</v>
      </c>
      <c r="E344" s="3072" t="s">
        <v>3234</v>
      </c>
      <c r="F344" s="3072" t="s">
        <v>3235</v>
      </c>
      <c r="G344" s="3464" t="s">
        <v>3587</v>
      </c>
      <c r="H344" s="3465"/>
      <c r="I344" s="3074">
        <v>2016</v>
      </c>
      <c r="J344" s="3074">
        <v>2.67</v>
      </c>
    </row>
    <row r="345" spans="1:10" ht="24.75" thickBot="1">
      <c r="A345" s="3073">
        <v>45</v>
      </c>
      <c r="B345" s="3074">
        <v>12</v>
      </c>
      <c r="C345" s="3074">
        <f t="shared" si="5"/>
        <v>-7.1428571428571425E-2</v>
      </c>
      <c r="D345" s="3072" t="s">
        <v>3282</v>
      </c>
      <c r="E345" s="3072" t="s">
        <v>3234</v>
      </c>
      <c r="F345" s="3072" t="s">
        <v>3235</v>
      </c>
      <c r="G345" s="3464" t="s">
        <v>3589</v>
      </c>
      <c r="H345" s="3465"/>
      <c r="I345" s="3074">
        <v>2016</v>
      </c>
      <c r="J345" s="3074">
        <v>3.14</v>
      </c>
    </row>
    <row r="346" spans="1:10" ht="24.75" thickBot="1">
      <c r="A346" s="3073">
        <v>46</v>
      </c>
      <c r="B346" s="3074">
        <v>12</v>
      </c>
      <c r="C346" s="3074">
        <f t="shared" si="5"/>
        <v>-7.1428571428571425E-2</v>
      </c>
      <c r="D346" s="3072" t="s">
        <v>3284</v>
      </c>
      <c r="E346" s="3072" t="s">
        <v>3234</v>
      </c>
      <c r="F346" s="3072" t="s">
        <v>3235</v>
      </c>
      <c r="G346" s="3075">
        <v>2</v>
      </c>
      <c r="H346" s="3074" t="s">
        <v>3588</v>
      </c>
      <c r="I346" s="3074">
        <v>2016</v>
      </c>
      <c r="J346" s="3074">
        <v>4.43</v>
      </c>
    </row>
    <row r="347" spans="1:10" ht="24.75" thickBot="1">
      <c r="A347" s="3073">
        <v>47</v>
      </c>
      <c r="B347" s="3074">
        <v>12</v>
      </c>
      <c r="C347" s="3074">
        <f t="shared" si="5"/>
        <v>-7.1428571428571425E-2</v>
      </c>
      <c r="D347" s="3072" t="s">
        <v>3285</v>
      </c>
      <c r="E347" s="3072" t="s">
        <v>3234</v>
      </c>
      <c r="F347" s="3072" t="s">
        <v>3235</v>
      </c>
      <c r="G347" s="3464" t="s">
        <v>3585</v>
      </c>
      <c r="H347" s="3465"/>
      <c r="I347" s="3074">
        <v>2016</v>
      </c>
      <c r="J347" s="3074">
        <v>4.1500000000000004</v>
      </c>
    </row>
    <row r="348" spans="1:10" ht="24.75" thickBot="1">
      <c r="A348" s="3073">
        <v>48</v>
      </c>
      <c r="B348" s="3074">
        <v>12</v>
      </c>
      <c r="C348" s="3074">
        <f t="shared" si="5"/>
        <v>-7.1428571428571425E-2</v>
      </c>
      <c r="D348" s="3072" t="s">
        <v>3286</v>
      </c>
      <c r="E348" s="3072" t="s">
        <v>3234</v>
      </c>
      <c r="F348" s="3072" t="s">
        <v>3235</v>
      </c>
      <c r="G348" s="3464" t="s">
        <v>3586</v>
      </c>
      <c r="H348" s="3465"/>
      <c r="I348" s="3074">
        <v>2016</v>
      </c>
      <c r="J348" s="3074">
        <v>3.77</v>
      </c>
    </row>
    <row r="349" spans="1:10" ht="24.75" thickBot="1">
      <c r="A349" s="3073">
        <v>49</v>
      </c>
      <c r="B349" s="3074">
        <v>12</v>
      </c>
      <c r="C349" s="3074">
        <f t="shared" si="5"/>
        <v>-7.1428571428571425E-2</v>
      </c>
      <c r="D349" s="3072" t="s">
        <v>3288</v>
      </c>
      <c r="E349" s="3072" t="s">
        <v>3234</v>
      </c>
      <c r="F349" s="3072" t="s">
        <v>3235</v>
      </c>
      <c r="G349" s="3464">
        <v>9.66</v>
      </c>
      <c r="H349" s="3465"/>
      <c r="I349" s="3074">
        <v>2016</v>
      </c>
      <c r="J349" s="3074">
        <v>1.95</v>
      </c>
    </row>
    <row r="350" spans="1:10" ht="24.75" thickBot="1">
      <c r="A350" s="3073">
        <v>50</v>
      </c>
      <c r="B350" s="3074">
        <v>12</v>
      </c>
      <c r="C350" s="3074">
        <f t="shared" si="5"/>
        <v>-7.1428571428571425E-2</v>
      </c>
      <c r="D350" s="3072" t="s">
        <v>3289</v>
      </c>
      <c r="E350" s="3072" t="s">
        <v>3234</v>
      </c>
      <c r="F350" s="3072" t="s">
        <v>3235</v>
      </c>
      <c r="G350" s="3464">
        <v>9.8699999999999992</v>
      </c>
      <c r="H350" s="3465"/>
      <c r="I350" s="3074">
        <v>2016</v>
      </c>
      <c r="J350" s="3074">
        <v>1.99</v>
      </c>
    </row>
    <row r="351" spans="1:10" ht="24.75" thickBot="1">
      <c r="A351" s="3073">
        <v>51</v>
      </c>
      <c r="B351" s="3074">
        <v>12</v>
      </c>
      <c r="C351" s="3074">
        <f t="shared" si="5"/>
        <v>-7.1428571428571425E-2</v>
      </c>
      <c r="D351" s="3072" t="s">
        <v>3290</v>
      </c>
      <c r="E351" s="3072" t="s">
        <v>3234</v>
      </c>
      <c r="F351" s="3072" t="s">
        <v>3235</v>
      </c>
      <c r="G351" s="3464" t="s">
        <v>3595</v>
      </c>
      <c r="H351" s="3465"/>
      <c r="I351" s="3074">
        <v>2016</v>
      </c>
      <c r="J351" s="3074">
        <v>5.82</v>
      </c>
    </row>
    <row r="352" spans="1:10" ht="24.75" thickBot="1">
      <c r="A352" s="3073">
        <v>52</v>
      </c>
      <c r="B352" s="3074">
        <v>12</v>
      </c>
      <c r="C352" s="3074">
        <f t="shared" si="5"/>
        <v>-7.1428571428571425E-2</v>
      </c>
      <c r="D352" s="3072" t="s">
        <v>3291</v>
      </c>
      <c r="E352" s="3072" t="s">
        <v>3234</v>
      </c>
      <c r="F352" s="3072" t="s">
        <v>3235</v>
      </c>
      <c r="G352" s="3464" t="s">
        <v>3583</v>
      </c>
      <c r="H352" s="3465"/>
      <c r="I352" s="3074">
        <v>2016</v>
      </c>
      <c r="J352" s="3074">
        <v>2.17</v>
      </c>
    </row>
    <row r="353" spans="1:10" ht="24.75" thickBot="1">
      <c r="A353" s="3073">
        <v>53</v>
      </c>
      <c r="B353" s="3074">
        <v>12</v>
      </c>
      <c r="C353" s="3074">
        <f t="shared" si="5"/>
        <v>-7.1428571428571425E-2</v>
      </c>
      <c r="D353" s="3072" t="s">
        <v>3292</v>
      </c>
      <c r="E353" s="3072" t="s">
        <v>3234</v>
      </c>
      <c r="F353" s="3072" t="s">
        <v>3235</v>
      </c>
      <c r="G353" s="3464" t="s">
        <v>3582</v>
      </c>
      <c r="H353" s="3465"/>
      <c r="I353" s="3074">
        <v>2016</v>
      </c>
      <c r="J353" s="3074">
        <v>2.17</v>
      </c>
    </row>
    <row r="354" spans="1:10">
      <c r="A354" s="3070"/>
    </row>
    <row r="356" spans="1:10" ht="14.25" thickBot="1">
      <c r="A356" s="3078"/>
    </row>
    <row r="357" spans="1:10">
      <c r="A357" s="3458" t="s">
        <v>3223</v>
      </c>
      <c r="B357" s="3458" t="s">
        <v>3224</v>
      </c>
      <c r="C357" s="3071" t="s">
        <v>3225</v>
      </c>
      <c r="D357" s="3458" t="s">
        <v>3227</v>
      </c>
      <c r="E357" s="3458" t="s">
        <v>1341</v>
      </c>
      <c r="F357" s="3458" t="s">
        <v>3228</v>
      </c>
      <c r="G357" s="3460" t="s">
        <v>3229</v>
      </c>
      <c r="H357" s="3461"/>
      <c r="I357" s="3458" t="s">
        <v>3231</v>
      </c>
      <c r="J357" s="3458" t="s">
        <v>3232</v>
      </c>
    </row>
    <row r="358" spans="1:10" ht="14.25" thickBot="1">
      <c r="A358" s="3459"/>
      <c r="B358" s="3459"/>
      <c r="C358" s="3072" t="s">
        <v>3226</v>
      </c>
      <c r="D358" s="3459"/>
      <c r="E358" s="3459"/>
      <c r="F358" s="3459"/>
      <c r="G358" s="3462" t="s">
        <v>3230</v>
      </c>
      <c r="H358" s="3463"/>
      <c r="I358" s="3459"/>
      <c r="J358" s="3459"/>
    </row>
    <row r="359" spans="1:10" ht="24.75" thickBot="1">
      <c r="A359" s="3073">
        <v>54</v>
      </c>
      <c r="B359" s="3074">
        <v>12</v>
      </c>
      <c r="C359" s="3074">
        <f>-2/28</f>
        <v>-7.1428571428571425E-2</v>
      </c>
      <c r="D359" s="3072" t="s">
        <v>3293</v>
      </c>
      <c r="E359" s="3072" t="s">
        <v>3234</v>
      </c>
      <c r="F359" s="3072" t="s">
        <v>3235</v>
      </c>
      <c r="G359" s="3464">
        <v>12.5</v>
      </c>
      <c r="H359" s="3465"/>
      <c r="I359" s="3074">
        <v>2016</v>
      </c>
      <c r="J359" s="3074">
        <v>2.52</v>
      </c>
    </row>
    <row r="360" spans="1:10" ht="24.75" thickBot="1">
      <c r="A360" s="3073">
        <v>55</v>
      </c>
      <c r="B360" s="3074">
        <v>12</v>
      </c>
      <c r="C360" s="3074">
        <f>-2/28</f>
        <v>-7.1428571428571425E-2</v>
      </c>
      <c r="D360" s="3072" t="s">
        <v>3295</v>
      </c>
      <c r="E360" s="3072" t="s">
        <v>3234</v>
      </c>
      <c r="F360" s="3072" t="s">
        <v>3235</v>
      </c>
      <c r="G360" s="3464">
        <v>12.5</v>
      </c>
      <c r="H360" s="3465"/>
      <c r="I360" s="3074">
        <v>2016</v>
      </c>
      <c r="J360" s="3074">
        <v>2.52</v>
      </c>
    </row>
    <row r="361" spans="1:10" ht="24.75" thickBot="1">
      <c r="A361" s="3073">
        <v>56</v>
      </c>
      <c r="B361" s="3074">
        <v>12</v>
      </c>
      <c r="C361" s="3074">
        <f>-2/28</f>
        <v>-7.1428571428571425E-2</v>
      </c>
      <c r="D361" s="3072" t="s">
        <v>3296</v>
      </c>
      <c r="E361" s="3072" t="s">
        <v>3234</v>
      </c>
      <c r="F361" s="3072" t="s">
        <v>3235</v>
      </c>
      <c r="G361" s="3464" t="s">
        <v>3580</v>
      </c>
      <c r="H361" s="3465"/>
      <c r="I361" s="3074">
        <v>2016</v>
      </c>
      <c r="J361" s="3074">
        <v>2.69</v>
      </c>
    </row>
    <row r="362" spans="1:10" ht="24.75" thickBot="1">
      <c r="A362" s="3073">
        <v>57</v>
      </c>
      <c r="B362" s="3074">
        <v>12</v>
      </c>
      <c r="C362" s="3074">
        <f>-2/28</f>
        <v>-7.1428571428571425E-2</v>
      </c>
      <c r="D362" s="3072" t="s">
        <v>3297</v>
      </c>
      <c r="E362" s="3072" t="s">
        <v>3234</v>
      </c>
      <c r="F362" s="3072" t="s">
        <v>3235</v>
      </c>
      <c r="G362" s="3464">
        <v>12.01</v>
      </c>
      <c r="H362" s="3465"/>
      <c r="I362" s="3074">
        <v>2016</v>
      </c>
      <c r="J362" s="3074">
        <v>2.42</v>
      </c>
    </row>
    <row r="363" spans="1:10" ht="24.75" thickBot="1">
      <c r="A363" s="3073">
        <v>58</v>
      </c>
      <c r="B363" s="3074">
        <v>12</v>
      </c>
      <c r="C363" s="3074">
        <f>-2/28</f>
        <v>-7.1428571428571425E-2</v>
      </c>
      <c r="D363" s="3072" t="s">
        <v>3298</v>
      </c>
      <c r="E363" s="3072" t="s">
        <v>3234</v>
      </c>
      <c r="F363" s="3072" t="s">
        <v>3235</v>
      </c>
      <c r="G363" s="3464" t="s">
        <v>3581</v>
      </c>
      <c r="H363" s="3465"/>
      <c r="I363" s="3074">
        <v>2016</v>
      </c>
      <c r="J363" s="3074">
        <v>2.31</v>
      </c>
    </row>
    <row r="364" spans="1:10" ht="24.75" thickBot="1">
      <c r="A364" s="3073">
        <v>59</v>
      </c>
      <c r="B364" s="3074">
        <v>12</v>
      </c>
      <c r="C364" s="3074">
        <f t="shared" ref="C364:C409" si="6">-1/28</f>
        <v>-3.5714285714285712E-2</v>
      </c>
      <c r="D364" s="3072" t="s">
        <v>3314</v>
      </c>
      <c r="E364" s="3072" t="s">
        <v>3234</v>
      </c>
      <c r="F364" s="3072" t="s">
        <v>3235</v>
      </c>
      <c r="G364" s="3464" t="s">
        <v>3580</v>
      </c>
      <c r="H364" s="3465"/>
      <c r="I364" s="3074">
        <v>2016</v>
      </c>
      <c r="J364" s="3074">
        <v>2.69</v>
      </c>
    </row>
    <row r="365" spans="1:10" ht="24.75" thickBot="1">
      <c r="A365" s="3073">
        <v>60</v>
      </c>
      <c r="B365" s="3074">
        <v>12</v>
      </c>
      <c r="C365" s="3074">
        <f t="shared" si="6"/>
        <v>-3.5714285714285712E-2</v>
      </c>
      <c r="D365" s="3072" t="s">
        <v>3315</v>
      </c>
      <c r="E365" s="3072" t="s">
        <v>3234</v>
      </c>
      <c r="F365" s="3072" t="s">
        <v>3235</v>
      </c>
      <c r="G365" s="3464">
        <v>12.01</v>
      </c>
      <c r="H365" s="3465"/>
      <c r="I365" s="3074">
        <v>2016</v>
      </c>
      <c r="J365" s="3074">
        <v>2.42</v>
      </c>
    </row>
    <row r="366" spans="1:10" ht="24.75" thickBot="1">
      <c r="A366" s="3073">
        <v>61</v>
      </c>
      <c r="B366" s="3074">
        <v>12</v>
      </c>
      <c r="C366" s="3074">
        <f t="shared" si="6"/>
        <v>-3.5714285714285712E-2</v>
      </c>
      <c r="D366" s="3072" t="s">
        <v>3316</v>
      </c>
      <c r="E366" s="3072" t="s">
        <v>3234</v>
      </c>
      <c r="F366" s="3072" t="s">
        <v>3235</v>
      </c>
      <c r="G366" s="3464" t="s">
        <v>3581</v>
      </c>
      <c r="H366" s="3465"/>
      <c r="I366" s="3074">
        <v>2016</v>
      </c>
      <c r="J366" s="3074">
        <v>2.31</v>
      </c>
    </row>
    <row r="367" spans="1:10" ht="24.75" thickBot="1">
      <c r="A367" s="3073">
        <v>62</v>
      </c>
      <c r="B367" s="3074">
        <v>12</v>
      </c>
      <c r="C367" s="3074">
        <f t="shared" si="6"/>
        <v>-3.5714285714285712E-2</v>
      </c>
      <c r="D367" s="3072" t="s">
        <v>3317</v>
      </c>
      <c r="E367" s="3072" t="s">
        <v>3234</v>
      </c>
      <c r="F367" s="3072" t="s">
        <v>3235</v>
      </c>
      <c r="G367" s="3464">
        <v>12.5</v>
      </c>
      <c r="H367" s="3465"/>
      <c r="I367" s="3074">
        <v>2016</v>
      </c>
      <c r="J367" s="3074">
        <v>2.52</v>
      </c>
    </row>
    <row r="368" spans="1:10" ht="24.75" thickBot="1">
      <c r="A368" s="3073">
        <v>63</v>
      </c>
      <c r="B368" s="3074">
        <v>12</v>
      </c>
      <c r="C368" s="3074">
        <f t="shared" si="6"/>
        <v>-3.5714285714285712E-2</v>
      </c>
      <c r="D368" s="3072" t="s">
        <v>3318</v>
      </c>
      <c r="E368" s="3072" t="s">
        <v>3234</v>
      </c>
      <c r="F368" s="3072" t="s">
        <v>3235</v>
      </c>
      <c r="G368" s="3464">
        <v>12.5</v>
      </c>
      <c r="H368" s="3465"/>
      <c r="I368" s="3074">
        <v>2016</v>
      </c>
      <c r="J368" s="3074">
        <v>2.52</v>
      </c>
    </row>
    <row r="369" spans="1:10" ht="24.75" thickBot="1">
      <c r="A369" s="3073">
        <v>64</v>
      </c>
      <c r="B369" s="3074">
        <v>12</v>
      </c>
      <c r="C369" s="3074">
        <f t="shared" si="6"/>
        <v>-3.5714285714285712E-2</v>
      </c>
      <c r="D369" s="3072" t="s">
        <v>3319</v>
      </c>
      <c r="E369" s="3072" t="s">
        <v>3234</v>
      </c>
      <c r="F369" s="3072" t="s">
        <v>3235</v>
      </c>
      <c r="G369" s="3464" t="s">
        <v>3582</v>
      </c>
      <c r="H369" s="3465"/>
      <c r="I369" s="3074">
        <v>2016</v>
      </c>
      <c r="J369" s="3074">
        <v>2.17</v>
      </c>
    </row>
    <row r="370" spans="1:10" ht="24.75" thickBot="1">
      <c r="A370" s="3073">
        <v>65</v>
      </c>
      <c r="B370" s="3074">
        <v>12</v>
      </c>
      <c r="C370" s="3074">
        <f t="shared" si="6"/>
        <v>-3.5714285714285712E-2</v>
      </c>
      <c r="D370" s="3072" t="s">
        <v>3320</v>
      </c>
      <c r="E370" s="3072" t="s">
        <v>3234</v>
      </c>
      <c r="F370" s="3072" t="s">
        <v>3235</v>
      </c>
      <c r="G370" s="3075">
        <v>1</v>
      </c>
      <c r="H370" s="3082" t="s">
        <v>3596</v>
      </c>
      <c r="I370" s="3074">
        <v>2016</v>
      </c>
      <c r="J370" s="3074">
        <v>2.17</v>
      </c>
    </row>
    <row r="371" spans="1:10" ht="24.75" thickBot="1">
      <c r="A371" s="3073">
        <v>66</v>
      </c>
      <c r="B371" s="3074">
        <v>12</v>
      </c>
      <c r="C371" s="3074">
        <f t="shared" si="6"/>
        <v>-3.5714285714285712E-2</v>
      </c>
      <c r="D371" s="3072" t="s">
        <v>3321</v>
      </c>
      <c r="E371" s="3072" t="s">
        <v>3234</v>
      </c>
      <c r="F371" s="3072" t="s">
        <v>3235</v>
      </c>
      <c r="G371" s="3464">
        <v>9.8699999999999992</v>
      </c>
      <c r="H371" s="3465"/>
      <c r="I371" s="3074">
        <v>2016</v>
      </c>
      <c r="J371" s="3074">
        <v>1.99</v>
      </c>
    </row>
    <row r="372" spans="1:10" ht="24.75" thickBot="1">
      <c r="A372" s="3073">
        <v>67</v>
      </c>
      <c r="B372" s="3074">
        <v>12</v>
      </c>
      <c r="C372" s="3074">
        <f t="shared" si="6"/>
        <v>-3.5714285714285712E-2</v>
      </c>
      <c r="D372" s="3072" t="s">
        <v>3322</v>
      </c>
      <c r="E372" s="3072" t="s">
        <v>3234</v>
      </c>
      <c r="F372" s="3072" t="s">
        <v>3235</v>
      </c>
      <c r="G372" s="3464">
        <v>9.66</v>
      </c>
      <c r="H372" s="3465"/>
      <c r="I372" s="3074">
        <v>2016</v>
      </c>
      <c r="J372" s="3074">
        <v>1.95</v>
      </c>
    </row>
    <row r="373" spans="1:10" ht="24.75" thickBot="1">
      <c r="A373" s="3073">
        <v>68</v>
      </c>
      <c r="B373" s="3074">
        <v>12</v>
      </c>
      <c r="C373" s="3074">
        <f t="shared" si="6"/>
        <v>-3.5714285714285712E-2</v>
      </c>
      <c r="D373" s="3072" t="s">
        <v>3323</v>
      </c>
      <c r="E373" s="3072" t="s">
        <v>3234</v>
      </c>
      <c r="F373" s="3072" t="s">
        <v>3235</v>
      </c>
      <c r="G373" s="3464" t="s">
        <v>3584</v>
      </c>
      <c r="H373" s="3465"/>
      <c r="I373" s="3074">
        <v>2016</v>
      </c>
      <c r="J373" s="3074">
        <v>5.82</v>
      </c>
    </row>
    <row r="374" spans="1:10" ht="24.75" thickBot="1">
      <c r="A374" s="3073">
        <v>69</v>
      </c>
      <c r="B374" s="3074">
        <v>12</v>
      </c>
      <c r="C374" s="3074">
        <f t="shared" si="6"/>
        <v>-3.5714285714285712E-2</v>
      </c>
      <c r="D374" s="3072" t="s">
        <v>3325</v>
      </c>
      <c r="E374" s="3072" t="s">
        <v>3234</v>
      </c>
      <c r="F374" s="3072" t="s">
        <v>3235</v>
      </c>
      <c r="G374" s="3464" t="s">
        <v>3585</v>
      </c>
      <c r="H374" s="3465"/>
      <c r="I374" s="3074">
        <v>2016</v>
      </c>
      <c r="J374" s="3074">
        <v>4.1500000000000004</v>
      </c>
    </row>
    <row r="375" spans="1:10" ht="24.75" thickBot="1">
      <c r="A375" s="3073">
        <v>70</v>
      </c>
      <c r="B375" s="3074">
        <v>12</v>
      </c>
      <c r="C375" s="3074">
        <f t="shared" si="6"/>
        <v>-3.5714285714285712E-2</v>
      </c>
      <c r="D375" s="3072" t="s">
        <v>3326</v>
      </c>
      <c r="E375" s="3072" t="s">
        <v>3234</v>
      </c>
      <c r="F375" s="3072" t="s">
        <v>3235</v>
      </c>
      <c r="G375" s="3464" t="s">
        <v>3586</v>
      </c>
      <c r="H375" s="3465"/>
      <c r="I375" s="3074">
        <v>2016</v>
      </c>
      <c r="J375" s="3074">
        <v>3.77</v>
      </c>
    </row>
    <row r="376" spans="1:10" ht="24.75" thickBot="1">
      <c r="A376" s="3073">
        <v>71</v>
      </c>
      <c r="B376" s="3074">
        <v>12</v>
      </c>
      <c r="C376" s="3074">
        <f t="shared" si="6"/>
        <v>-3.5714285714285712E-2</v>
      </c>
      <c r="D376" s="3072" t="s">
        <v>3327</v>
      </c>
      <c r="E376" s="3072" t="s">
        <v>3234</v>
      </c>
      <c r="F376" s="3072" t="s">
        <v>3235</v>
      </c>
      <c r="G376" s="3464" t="s">
        <v>3597</v>
      </c>
      <c r="H376" s="3465"/>
      <c r="I376" s="3074">
        <v>2016</v>
      </c>
      <c r="J376" s="3074">
        <v>3.07</v>
      </c>
    </row>
    <row r="377" spans="1:10" ht="24.75" thickBot="1">
      <c r="A377" s="3073">
        <v>72</v>
      </c>
      <c r="B377" s="3074">
        <v>12</v>
      </c>
      <c r="C377" s="3074">
        <f t="shared" si="6"/>
        <v>-3.5714285714285712E-2</v>
      </c>
      <c r="D377" s="3072" t="s">
        <v>3328</v>
      </c>
      <c r="E377" s="3072" t="s">
        <v>3234</v>
      </c>
      <c r="F377" s="3072" t="s">
        <v>3235</v>
      </c>
      <c r="G377" s="3464" t="s">
        <v>3587</v>
      </c>
      <c r="H377" s="3465"/>
      <c r="I377" s="3074">
        <v>2016</v>
      </c>
      <c r="J377" s="3074">
        <v>2.67</v>
      </c>
    </row>
    <row r="378" spans="1:10" ht="24.75" thickBot="1">
      <c r="A378" s="3073">
        <v>73</v>
      </c>
      <c r="B378" s="3074">
        <v>12</v>
      </c>
      <c r="C378" s="3074">
        <f t="shared" si="6"/>
        <v>-3.5714285714285712E-2</v>
      </c>
      <c r="D378" s="3072" t="s">
        <v>3329</v>
      </c>
      <c r="E378" s="3072" t="s">
        <v>3234</v>
      </c>
      <c r="F378" s="3072" t="s">
        <v>3235</v>
      </c>
      <c r="G378" s="3464" t="s">
        <v>3598</v>
      </c>
      <c r="H378" s="3465"/>
      <c r="I378" s="3074">
        <v>2016</v>
      </c>
      <c r="J378" s="3074">
        <v>4.43</v>
      </c>
    </row>
    <row r="379" spans="1:10" ht="24.75" thickBot="1">
      <c r="A379" s="3073">
        <v>74</v>
      </c>
      <c r="B379" s="3074">
        <v>12</v>
      </c>
      <c r="C379" s="3074">
        <f t="shared" si="6"/>
        <v>-3.5714285714285712E-2</v>
      </c>
      <c r="D379" s="3072" t="s">
        <v>3330</v>
      </c>
      <c r="E379" s="3072" t="s">
        <v>3234</v>
      </c>
      <c r="F379" s="3072" t="s">
        <v>3235</v>
      </c>
      <c r="G379" s="3464" t="s">
        <v>3589</v>
      </c>
      <c r="H379" s="3465"/>
      <c r="I379" s="3074">
        <v>2016</v>
      </c>
      <c r="J379" s="3074">
        <v>3.14</v>
      </c>
    </row>
    <row r="380" spans="1:10" ht="24.75" thickBot="1">
      <c r="A380" s="3073">
        <v>75</v>
      </c>
      <c r="B380" s="3074">
        <v>12</v>
      </c>
      <c r="C380" s="3074">
        <f t="shared" si="6"/>
        <v>-3.5714285714285712E-2</v>
      </c>
      <c r="D380" s="3072" t="s">
        <v>3331</v>
      </c>
      <c r="E380" s="3072" t="s">
        <v>3234</v>
      </c>
      <c r="F380" s="3072" t="s">
        <v>3235</v>
      </c>
      <c r="G380" s="3464" t="s">
        <v>3599</v>
      </c>
      <c r="H380" s="3465"/>
      <c r="I380" s="3074">
        <v>2016</v>
      </c>
      <c r="J380" s="3074">
        <v>2.31</v>
      </c>
    </row>
    <row r="381" spans="1:10" ht="24.75" thickBot="1">
      <c r="A381" s="3073">
        <v>76</v>
      </c>
      <c r="B381" s="3074">
        <v>12</v>
      </c>
      <c r="C381" s="3074">
        <f t="shared" si="6"/>
        <v>-3.5714285714285712E-2</v>
      </c>
      <c r="D381" s="3072" t="s">
        <v>3332</v>
      </c>
      <c r="E381" s="3072" t="s">
        <v>3234</v>
      </c>
      <c r="F381" s="3072" t="s">
        <v>3235</v>
      </c>
      <c r="G381" s="3464">
        <v>8.6</v>
      </c>
      <c r="H381" s="3465"/>
      <c r="I381" s="3074">
        <v>2016</v>
      </c>
      <c r="J381" s="3074">
        <v>1.73</v>
      </c>
    </row>
    <row r="382" spans="1:10" ht="24.75" thickBot="1">
      <c r="A382" s="3073">
        <v>77</v>
      </c>
      <c r="B382" s="3074">
        <v>12</v>
      </c>
      <c r="C382" s="3074">
        <f t="shared" si="6"/>
        <v>-3.5714285714285712E-2</v>
      </c>
      <c r="D382" s="3072" t="s">
        <v>3334</v>
      </c>
      <c r="E382" s="3072" t="s">
        <v>3234</v>
      </c>
      <c r="F382" s="3072" t="s">
        <v>3235</v>
      </c>
      <c r="G382" s="3464" t="s">
        <v>3600</v>
      </c>
      <c r="H382" s="3465"/>
      <c r="I382" s="3074">
        <v>2016</v>
      </c>
      <c r="J382" s="3074">
        <v>2.19</v>
      </c>
    </row>
    <row r="383" spans="1:10" ht="24.75" thickBot="1">
      <c r="A383" s="3073">
        <v>78</v>
      </c>
      <c r="B383" s="3074">
        <v>12</v>
      </c>
      <c r="C383" s="3074">
        <f t="shared" si="6"/>
        <v>-3.5714285714285712E-2</v>
      </c>
      <c r="D383" s="3072" t="s">
        <v>3335</v>
      </c>
      <c r="E383" s="3072" t="s">
        <v>3234</v>
      </c>
      <c r="F383" s="3072" t="s">
        <v>3235</v>
      </c>
      <c r="G383" s="3464" t="s">
        <v>3258</v>
      </c>
      <c r="H383" s="3465"/>
      <c r="I383" s="3074">
        <v>2016</v>
      </c>
      <c r="J383" s="3074">
        <v>2.0299999999999998</v>
      </c>
    </row>
    <row r="384" spans="1:10" ht="24.75" thickBot="1">
      <c r="A384" s="3073">
        <v>79</v>
      </c>
      <c r="B384" s="3074">
        <v>12</v>
      </c>
      <c r="C384" s="3074">
        <f t="shared" si="6"/>
        <v>-3.5714285714285712E-2</v>
      </c>
      <c r="D384" s="3072" t="s">
        <v>3336</v>
      </c>
      <c r="E384" s="3072" t="s">
        <v>3234</v>
      </c>
      <c r="F384" s="3072" t="s">
        <v>3235</v>
      </c>
      <c r="G384" s="3464">
        <v>8.6</v>
      </c>
      <c r="H384" s="3465"/>
      <c r="I384" s="3074">
        <v>2016</v>
      </c>
      <c r="J384" s="3074">
        <v>1.73</v>
      </c>
    </row>
    <row r="385" spans="1:10" ht="24.75" thickBot="1">
      <c r="A385" s="3073">
        <v>80</v>
      </c>
      <c r="B385" s="3074">
        <v>12</v>
      </c>
      <c r="C385" s="3074">
        <f t="shared" si="6"/>
        <v>-3.5714285714285712E-2</v>
      </c>
      <c r="D385" s="3072" t="s">
        <v>3337</v>
      </c>
      <c r="E385" s="3072" t="s">
        <v>3234</v>
      </c>
      <c r="F385" s="3072" t="s">
        <v>3235</v>
      </c>
      <c r="G385" s="3464" t="s">
        <v>3601</v>
      </c>
      <c r="H385" s="3465"/>
      <c r="I385" s="3074">
        <v>2016</v>
      </c>
      <c r="J385" s="3074">
        <v>2.0699999999999998</v>
      </c>
    </row>
    <row r="386" spans="1:10" ht="24.75" thickBot="1">
      <c r="A386" s="3073">
        <v>81</v>
      </c>
      <c r="B386" s="3074">
        <v>12</v>
      </c>
      <c r="C386" s="3074">
        <f t="shared" si="6"/>
        <v>-3.5714285714285712E-2</v>
      </c>
      <c r="D386" s="3072" t="s">
        <v>3339</v>
      </c>
      <c r="E386" s="3072" t="s">
        <v>3234</v>
      </c>
      <c r="F386" s="3072" t="s">
        <v>3235</v>
      </c>
      <c r="G386" s="3464" t="s">
        <v>3602</v>
      </c>
      <c r="H386" s="3465"/>
      <c r="I386" s="3074">
        <v>2016</v>
      </c>
      <c r="J386" s="3074">
        <v>2.31</v>
      </c>
    </row>
    <row r="387" spans="1:10" ht="24.75" thickBot="1">
      <c r="A387" s="3073">
        <v>82</v>
      </c>
      <c r="B387" s="3074">
        <v>12</v>
      </c>
      <c r="C387" s="3074">
        <f t="shared" si="6"/>
        <v>-3.5714285714285712E-2</v>
      </c>
      <c r="D387" s="3072" t="s">
        <v>3340</v>
      </c>
      <c r="E387" s="3072" t="s">
        <v>3234</v>
      </c>
      <c r="F387" s="3072" t="s">
        <v>3235</v>
      </c>
      <c r="G387" s="3075">
        <v>1</v>
      </c>
      <c r="H387" s="3082" t="s">
        <v>3603</v>
      </c>
      <c r="I387" s="3074">
        <v>2016</v>
      </c>
      <c r="J387" s="3074">
        <v>3.07</v>
      </c>
    </row>
    <row r="388" spans="1:10" ht="24.75" thickBot="1">
      <c r="A388" s="3073">
        <v>83</v>
      </c>
      <c r="B388" s="3074">
        <v>12</v>
      </c>
      <c r="C388" s="3074">
        <f t="shared" si="6"/>
        <v>-3.5714285714285712E-2</v>
      </c>
      <c r="D388" s="3072" t="s">
        <v>3341</v>
      </c>
      <c r="E388" s="3072" t="s">
        <v>3234</v>
      </c>
      <c r="F388" s="3072" t="s">
        <v>3235</v>
      </c>
      <c r="G388" s="3464" t="s">
        <v>3587</v>
      </c>
      <c r="H388" s="3465"/>
      <c r="I388" s="3074">
        <v>2016</v>
      </c>
      <c r="J388" s="3074">
        <v>2.67</v>
      </c>
    </row>
    <row r="389" spans="1:10" ht="24.75" thickBot="1">
      <c r="A389" s="3073">
        <v>84</v>
      </c>
      <c r="B389" s="3074">
        <v>12</v>
      </c>
      <c r="C389" s="3074">
        <f t="shared" si="6"/>
        <v>-3.5714285714285712E-2</v>
      </c>
      <c r="D389" s="3072" t="s">
        <v>3342</v>
      </c>
      <c r="E389" s="3072" t="s">
        <v>3234</v>
      </c>
      <c r="F389" s="3072" t="s">
        <v>3235</v>
      </c>
      <c r="G389" s="3464" t="s">
        <v>3589</v>
      </c>
      <c r="H389" s="3465"/>
      <c r="I389" s="3074">
        <v>2016</v>
      </c>
      <c r="J389" s="3074">
        <v>3.14</v>
      </c>
    </row>
    <row r="390" spans="1:10" ht="24.75" thickBot="1">
      <c r="A390" s="3073">
        <v>85</v>
      </c>
      <c r="B390" s="3074">
        <v>12</v>
      </c>
      <c r="C390" s="3074">
        <f t="shared" si="6"/>
        <v>-3.5714285714285712E-2</v>
      </c>
      <c r="D390" s="3072" t="s">
        <v>3343</v>
      </c>
      <c r="E390" s="3072" t="s">
        <v>3234</v>
      </c>
      <c r="F390" s="3072" t="s">
        <v>3235</v>
      </c>
      <c r="G390" s="3464" t="s">
        <v>3604</v>
      </c>
      <c r="H390" s="3465"/>
      <c r="I390" s="3074">
        <v>2016</v>
      </c>
      <c r="J390" s="3074">
        <v>4.43</v>
      </c>
    </row>
    <row r="391" spans="1:10" ht="24.75" thickBot="1">
      <c r="A391" s="3073">
        <v>86</v>
      </c>
      <c r="B391" s="3074">
        <v>12</v>
      </c>
      <c r="C391" s="3074">
        <f t="shared" si="6"/>
        <v>-3.5714285714285712E-2</v>
      </c>
      <c r="D391" s="3072" t="s">
        <v>3344</v>
      </c>
      <c r="E391" s="3072" t="s">
        <v>3234</v>
      </c>
      <c r="F391" s="3072" t="s">
        <v>3235</v>
      </c>
      <c r="G391" s="3464" t="s">
        <v>3586</v>
      </c>
      <c r="H391" s="3465"/>
      <c r="I391" s="3074">
        <v>2016</v>
      </c>
      <c r="J391" s="3074">
        <v>3.77</v>
      </c>
    </row>
    <row r="392" spans="1:10" ht="24.75" thickBot="1">
      <c r="A392" s="3073">
        <v>87</v>
      </c>
      <c r="B392" s="3074">
        <v>12</v>
      </c>
      <c r="C392" s="3074">
        <f t="shared" si="6"/>
        <v>-3.5714285714285712E-2</v>
      </c>
      <c r="D392" s="3072" t="s">
        <v>3345</v>
      </c>
      <c r="E392" s="3072" t="s">
        <v>3234</v>
      </c>
      <c r="F392" s="3072" t="s">
        <v>3235</v>
      </c>
      <c r="G392" s="3464" t="s">
        <v>3585</v>
      </c>
      <c r="H392" s="3465"/>
      <c r="I392" s="3074">
        <v>2016</v>
      </c>
      <c r="J392" s="3074">
        <v>4.1500000000000004</v>
      </c>
    </row>
    <row r="393" spans="1:10" ht="24.75" thickBot="1">
      <c r="A393" s="3073">
        <v>88</v>
      </c>
      <c r="B393" s="3074">
        <v>12</v>
      </c>
      <c r="C393" s="3074">
        <f t="shared" si="6"/>
        <v>-3.5714285714285712E-2</v>
      </c>
      <c r="D393" s="3072" t="s">
        <v>3346</v>
      </c>
      <c r="E393" s="3072" t="s">
        <v>3234</v>
      </c>
      <c r="F393" s="3072" t="s">
        <v>3235</v>
      </c>
      <c r="G393" s="3464" t="s">
        <v>3584</v>
      </c>
      <c r="H393" s="3465"/>
      <c r="I393" s="3074">
        <v>2016</v>
      </c>
      <c r="J393" s="3074">
        <v>5.82</v>
      </c>
    </row>
    <row r="394" spans="1:10" ht="24.75" thickBot="1">
      <c r="A394" s="3073">
        <v>89</v>
      </c>
      <c r="B394" s="3074">
        <v>12</v>
      </c>
      <c r="C394" s="3074">
        <f t="shared" si="6"/>
        <v>-3.5714285714285712E-2</v>
      </c>
      <c r="D394" s="3072" t="s">
        <v>3347</v>
      </c>
      <c r="E394" s="3072" t="s">
        <v>3234</v>
      </c>
      <c r="F394" s="3072" t="s">
        <v>3235</v>
      </c>
      <c r="G394" s="3464">
        <v>9.66</v>
      </c>
      <c r="H394" s="3465"/>
      <c r="I394" s="3074">
        <v>2016</v>
      </c>
      <c r="J394" s="3074">
        <v>1.95</v>
      </c>
    </row>
    <row r="395" spans="1:10" ht="24.75" thickBot="1">
      <c r="A395" s="3073">
        <v>90</v>
      </c>
      <c r="B395" s="3074">
        <v>12</v>
      </c>
      <c r="C395" s="3074">
        <f t="shared" si="6"/>
        <v>-3.5714285714285712E-2</v>
      </c>
      <c r="D395" s="3072" t="s">
        <v>3348</v>
      </c>
      <c r="E395" s="3072" t="s">
        <v>3234</v>
      </c>
      <c r="F395" s="3072" t="s">
        <v>3235</v>
      </c>
      <c r="G395" s="3464">
        <v>9.8699999999999992</v>
      </c>
      <c r="H395" s="3465"/>
      <c r="I395" s="3074">
        <v>2016</v>
      </c>
      <c r="J395" s="3074">
        <v>1.99</v>
      </c>
    </row>
    <row r="396" spans="1:10" ht="24.75" thickBot="1">
      <c r="A396" s="3073">
        <v>91</v>
      </c>
      <c r="B396" s="3074">
        <v>12</v>
      </c>
      <c r="C396" s="3074">
        <f t="shared" si="6"/>
        <v>-3.5714285714285712E-2</v>
      </c>
      <c r="D396" s="3072" t="s">
        <v>3349</v>
      </c>
      <c r="E396" s="3072" t="s">
        <v>3234</v>
      </c>
      <c r="F396" s="3072" t="s">
        <v>3235</v>
      </c>
      <c r="G396" s="3464" t="s">
        <v>3582</v>
      </c>
      <c r="H396" s="3465"/>
      <c r="I396" s="3074">
        <v>2016</v>
      </c>
      <c r="J396" s="3074">
        <v>2.17</v>
      </c>
    </row>
    <row r="397" spans="1:10" ht="24.75" thickBot="1">
      <c r="A397" s="3073">
        <v>92</v>
      </c>
      <c r="B397" s="3074">
        <v>12</v>
      </c>
      <c r="C397" s="3074">
        <f t="shared" si="6"/>
        <v>-3.5714285714285712E-2</v>
      </c>
      <c r="D397" s="3072" t="s">
        <v>3350</v>
      </c>
      <c r="E397" s="3072" t="s">
        <v>3234</v>
      </c>
      <c r="F397" s="3072" t="s">
        <v>3235</v>
      </c>
      <c r="G397" s="3075">
        <v>1</v>
      </c>
      <c r="H397" s="3082" t="s">
        <v>3596</v>
      </c>
      <c r="I397" s="3074">
        <v>2016</v>
      </c>
      <c r="J397" s="3074">
        <v>2.17</v>
      </c>
    </row>
    <row r="398" spans="1:10" ht="24.75" thickBot="1">
      <c r="A398" s="3073">
        <v>93</v>
      </c>
      <c r="B398" s="3074">
        <v>12</v>
      </c>
      <c r="C398" s="3074">
        <f t="shared" si="6"/>
        <v>-3.5714285714285712E-2</v>
      </c>
      <c r="D398" s="3072" t="s">
        <v>3351</v>
      </c>
      <c r="E398" s="3072" t="s">
        <v>3234</v>
      </c>
      <c r="F398" s="3072" t="s">
        <v>3235</v>
      </c>
      <c r="G398" s="3464">
        <v>12.5</v>
      </c>
      <c r="H398" s="3465"/>
      <c r="I398" s="3074">
        <v>2016</v>
      </c>
      <c r="J398" s="3074">
        <v>2.52</v>
      </c>
    </row>
    <row r="399" spans="1:10" ht="24.75" thickBot="1">
      <c r="A399" s="3073">
        <v>94</v>
      </c>
      <c r="B399" s="3074">
        <v>12</v>
      </c>
      <c r="C399" s="3074">
        <f t="shared" si="6"/>
        <v>-3.5714285714285712E-2</v>
      </c>
      <c r="D399" s="3072" t="s">
        <v>3352</v>
      </c>
      <c r="E399" s="3072" t="s">
        <v>3234</v>
      </c>
      <c r="F399" s="3072" t="s">
        <v>3235</v>
      </c>
      <c r="G399" s="3464">
        <v>12.5</v>
      </c>
      <c r="H399" s="3465"/>
      <c r="I399" s="3074">
        <v>2016</v>
      </c>
      <c r="J399" s="3074">
        <v>2.52</v>
      </c>
    </row>
    <row r="400" spans="1:10" ht="24.75" thickBot="1">
      <c r="A400" s="3073">
        <v>95</v>
      </c>
      <c r="B400" s="3074">
        <v>12</v>
      </c>
      <c r="C400" s="3074">
        <f t="shared" si="6"/>
        <v>-3.5714285714285712E-2</v>
      </c>
      <c r="D400" s="3072" t="s">
        <v>3353</v>
      </c>
      <c r="E400" s="3072" t="s">
        <v>3234</v>
      </c>
      <c r="F400" s="3072" t="s">
        <v>3235</v>
      </c>
      <c r="G400" s="3464" t="s">
        <v>3605</v>
      </c>
      <c r="H400" s="3465"/>
      <c r="I400" s="3074">
        <v>2016</v>
      </c>
      <c r="J400" s="3074">
        <v>2.69</v>
      </c>
    </row>
    <row r="401" spans="1:10" ht="24.75" thickBot="1">
      <c r="A401" s="3073">
        <v>96</v>
      </c>
      <c r="B401" s="3074">
        <v>12</v>
      </c>
      <c r="C401" s="3074">
        <f t="shared" si="6"/>
        <v>-3.5714285714285712E-2</v>
      </c>
      <c r="D401" s="3072" t="s">
        <v>3354</v>
      </c>
      <c r="E401" s="3072" t="s">
        <v>3234</v>
      </c>
      <c r="F401" s="3072" t="s">
        <v>3235</v>
      </c>
      <c r="G401" s="3464">
        <v>12.01</v>
      </c>
      <c r="H401" s="3465"/>
      <c r="I401" s="3074">
        <v>2016</v>
      </c>
      <c r="J401" s="3074">
        <v>2.42</v>
      </c>
    </row>
    <row r="402" spans="1:10" ht="24.75" thickBot="1">
      <c r="A402" s="3073">
        <v>97</v>
      </c>
      <c r="B402" s="3074">
        <v>12</v>
      </c>
      <c r="C402" s="3074">
        <f t="shared" si="6"/>
        <v>-3.5714285714285712E-2</v>
      </c>
      <c r="D402" s="3072" t="s">
        <v>3355</v>
      </c>
      <c r="E402" s="3072" t="s">
        <v>3234</v>
      </c>
      <c r="F402" s="3072" t="s">
        <v>3235</v>
      </c>
      <c r="G402" s="3464" t="s">
        <v>3606</v>
      </c>
      <c r="H402" s="3465"/>
      <c r="I402" s="3074">
        <v>2016</v>
      </c>
      <c r="J402" s="3074">
        <v>2.31</v>
      </c>
    </row>
    <row r="403" spans="1:10" ht="24.75" thickBot="1">
      <c r="A403" s="3073">
        <v>98</v>
      </c>
      <c r="B403" s="3074">
        <v>12</v>
      </c>
      <c r="C403" s="3074">
        <f t="shared" si="6"/>
        <v>-3.5714285714285712E-2</v>
      </c>
      <c r="D403" s="3072" t="s">
        <v>3356</v>
      </c>
      <c r="E403" s="3072" t="s">
        <v>3234</v>
      </c>
      <c r="F403" s="3072" t="s">
        <v>3235</v>
      </c>
      <c r="G403" s="3464" t="s">
        <v>3569</v>
      </c>
      <c r="H403" s="3465"/>
      <c r="I403" s="3074">
        <v>2016</v>
      </c>
      <c r="J403" s="3074">
        <v>4.55</v>
      </c>
    </row>
    <row r="404" spans="1:10" ht="24.75" thickBot="1">
      <c r="A404" s="3073">
        <v>99</v>
      </c>
      <c r="B404" s="3074">
        <v>12</v>
      </c>
      <c r="C404" s="3074">
        <f t="shared" si="6"/>
        <v>-3.5714285714285712E-2</v>
      </c>
      <c r="D404" s="3072" t="s">
        <v>3357</v>
      </c>
      <c r="E404" s="3072" t="s">
        <v>3234</v>
      </c>
      <c r="F404" s="3072" t="s">
        <v>3235</v>
      </c>
      <c r="G404" s="3075">
        <v>1</v>
      </c>
      <c r="H404" s="3074" t="s">
        <v>3607</v>
      </c>
      <c r="I404" s="3074">
        <v>2016</v>
      </c>
      <c r="J404" s="3074">
        <v>2.57</v>
      </c>
    </row>
    <row r="405" spans="1:10" ht="24.75" thickBot="1">
      <c r="A405" s="3073">
        <v>100</v>
      </c>
      <c r="B405" s="3074">
        <v>12</v>
      </c>
      <c r="C405" s="3074">
        <f t="shared" si="6"/>
        <v>-3.5714285714285712E-2</v>
      </c>
      <c r="D405" s="3072" t="s">
        <v>3359</v>
      </c>
      <c r="E405" s="3072" t="s">
        <v>3234</v>
      </c>
      <c r="F405" s="3072" t="s">
        <v>3235</v>
      </c>
      <c r="G405" s="3464" t="s">
        <v>3575</v>
      </c>
      <c r="H405" s="3465"/>
      <c r="I405" s="3074">
        <v>2016</v>
      </c>
      <c r="J405" s="3074">
        <v>2.15</v>
      </c>
    </row>
    <row r="406" spans="1:10" ht="24.75" thickBot="1">
      <c r="A406" s="3073">
        <v>101</v>
      </c>
      <c r="B406" s="3074">
        <v>12</v>
      </c>
      <c r="C406" s="3074">
        <f t="shared" si="6"/>
        <v>-3.5714285714285712E-2</v>
      </c>
      <c r="D406" s="3072" t="s">
        <v>3360</v>
      </c>
      <c r="E406" s="3072" t="s">
        <v>3234</v>
      </c>
      <c r="F406" s="3072" t="s">
        <v>3235</v>
      </c>
      <c r="G406" s="3464" t="s">
        <v>3577</v>
      </c>
      <c r="H406" s="3465"/>
      <c r="I406" s="3074">
        <v>2016</v>
      </c>
      <c r="J406" s="3074">
        <v>2.57</v>
      </c>
    </row>
    <row r="407" spans="1:10" ht="24.75" thickBot="1">
      <c r="A407" s="3073">
        <v>102</v>
      </c>
      <c r="B407" s="3074">
        <v>12</v>
      </c>
      <c r="C407" s="3074">
        <f t="shared" si="6"/>
        <v>-3.5714285714285712E-2</v>
      </c>
      <c r="D407" s="3072" t="s">
        <v>3361</v>
      </c>
      <c r="E407" s="3072" t="s">
        <v>3234</v>
      </c>
      <c r="F407" s="3072" t="s">
        <v>3235</v>
      </c>
      <c r="G407" s="3464" t="s">
        <v>3608</v>
      </c>
      <c r="H407" s="3465"/>
      <c r="I407" s="3074">
        <v>2016</v>
      </c>
      <c r="J407" s="3074">
        <v>4.55</v>
      </c>
    </row>
    <row r="408" spans="1:10" ht="24.75" thickBot="1">
      <c r="A408" s="3073">
        <v>103</v>
      </c>
      <c r="B408" s="3074">
        <v>12</v>
      </c>
      <c r="C408" s="3074">
        <f t="shared" si="6"/>
        <v>-3.5714285714285712E-2</v>
      </c>
      <c r="D408" s="3072" t="s">
        <v>3609</v>
      </c>
      <c r="E408" s="3072" t="s">
        <v>3234</v>
      </c>
      <c r="F408" s="3072" t="s">
        <v>3235</v>
      </c>
      <c r="G408" s="3464">
        <v>13</v>
      </c>
      <c r="H408" s="3465"/>
      <c r="I408" s="3074">
        <v>2016</v>
      </c>
      <c r="J408" s="3074">
        <v>2.62</v>
      </c>
    </row>
    <row r="409" spans="1:10" ht="24.75" thickBot="1">
      <c r="A409" s="3073">
        <v>104</v>
      </c>
      <c r="B409" s="3074">
        <v>12</v>
      </c>
      <c r="C409" s="3074">
        <f t="shared" si="6"/>
        <v>-3.5714285714285712E-2</v>
      </c>
      <c r="D409" s="3072" t="s">
        <v>3610</v>
      </c>
      <c r="E409" s="3072" t="s">
        <v>3234</v>
      </c>
      <c r="F409" s="3072" t="s">
        <v>3235</v>
      </c>
      <c r="G409" s="3464" t="s">
        <v>3611</v>
      </c>
      <c r="H409" s="3465"/>
      <c r="I409" s="3074">
        <v>2016</v>
      </c>
      <c r="J409" s="3074">
        <v>4.33</v>
      </c>
    </row>
    <row r="410" spans="1:10" ht="26.25" thickBot="1">
      <c r="A410" s="3073">
        <v>105</v>
      </c>
      <c r="B410" s="3074">
        <v>12</v>
      </c>
      <c r="C410" s="3079">
        <v>44224</v>
      </c>
      <c r="D410" s="3074" t="s">
        <v>3362</v>
      </c>
      <c r="E410" s="3072" t="s">
        <v>3109</v>
      </c>
      <c r="F410" s="3072" t="s">
        <v>3235</v>
      </c>
      <c r="G410" s="3464" t="s">
        <v>3612</v>
      </c>
      <c r="H410" s="3465"/>
      <c r="I410" s="3074">
        <v>5764</v>
      </c>
      <c r="J410" s="3074" t="s">
        <v>3613</v>
      </c>
    </row>
    <row r="411" spans="1:10" ht="26.25" thickBot="1">
      <c r="A411" s="3073">
        <v>106</v>
      </c>
      <c r="B411" s="3074">
        <v>12</v>
      </c>
      <c r="C411" s="3079">
        <v>44224</v>
      </c>
      <c r="D411" s="3074" t="s">
        <v>3365</v>
      </c>
      <c r="E411" s="3072" t="s">
        <v>3109</v>
      </c>
      <c r="F411" s="3072" t="s">
        <v>3235</v>
      </c>
      <c r="G411" s="3464" t="s">
        <v>3614</v>
      </c>
      <c r="H411" s="3465"/>
      <c r="I411" s="3074">
        <v>5764</v>
      </c>
      <c r="J411" s="3074" t="s">
        <v>3615</v>
      </c>
    </row>
    <row r="412" spans="1:10" ht="26.25" thickBot="1">
      <c r="A412" s="3073">
        <v>107</v>
      </c>
      <c r="B412" s="3074">
        <v>12</v>
      </c>
      <c r="C412" s="3079">
        <v>44224</v>
      </c>
      <c r="D412" s="3074" t="s">
        <v>3368</v>
      </c>
      <c r="E412" s="3072" t="s">
        <v>3109</v>
      </c>
      <c r="F412" s="3072" t="s">
        <v>3235</v>
      </c>
      <c r="G412" s="3464" t="s">
        <v>3616</v>
      </c>
      <c r="H412" s="3465"/>
      <c r="I412" s="3074">
        <v>5764</v>
      </c>
      <c r="J412" s="3074" t="s">
        <v>3617</v>
      </c>
    </row>
    <row r="413" spans="1:10" ht="26.25" thickBot="1">
      <c r="A413" s="3073">
        <v>108</v>
      </c>
      <c r="B413" s="3074">
        <v>12</v>
      </c>
      <c r="C413" s="3079">
        <v>44224</v>
      </c>
      <c r="D413" s="3074" t="s">
        <v>3371</v>
      </c>
      <c r="E413" s="3072" t="s">
        <v>3109</v>
      </c>
      <c r="F413" s="3072" t="s">
        <v>3235</v>
      </c>
      <c r="G413" s="3464" t="s">
        <v>3616</v>
      </c>
      <c r="H413" s="3465"/>
      <c r="I413" s="3074">
        <v>5764</v>
      </c>
      <c r="J413" s="3074" t="s">
        <v>3617</v>
      </c>
    </row>
    <row r="414" spans="1:10">
      <c r="A414" s="3070"/>
    </row>
    <row r="416" spans="1:10" ht="14.25" thickBot="1">
      <c r="A416" s="3078"/>
    </row>
    <row r="417" spans="1:11">
      <c r="A417" s="3458" t="s">
        <v>3223</v>
      </c>
      <c r="B417" s="3458" t="s">
        <v>3224</v>
      </c>
      <c r="C417" s="3071" t="s">
        <v>3225</v>
      </c>
      <c r="D417" s="3458" t="s">
        <v>3227</v>
      </c>
      <c r="E417" s="3458" t="s">
        <v>1341</v>
      </c>
      <c r="F417" s="3458" t="s">
        <v>3228</v>
      </c>
      <c r="G417" s="3460" t="s">
        <v>3229</v>
      </c>
      <c r="H417" s="3461"/>
      <c r="I417" s="3458" t="s">
        <v>3231</v>
      </c>
      <c r="J417" s="3460" t="s">
        <v>3232</v>
      </c>
      <c r="K417" s="3461"/>
    </row>
    <row r="418" spans="1:11" ht="14.25" thickBot="1">
      <c r="A418" s="3459"/>
      <c r="B418" s="3459"/>
      <c r="C418" s="3072" t="s">
        <v>3226</v>
      </c>
      <c r="D418" s="3459"/>
      <c r="E418" s="3459"/>
      <c r="F418" s="3459"/>
      <c r="G418" s="3462" t="s">
        <v>3230</v>
      </c>
      <c r="H418" s="3463"/>
      <c r="I418" s="3459"/>
      <c r="J418" s="3462"/>
      <c r="K418" s="3463"/>
    </row>
    <row r="419" spans="1:11" ht="26.25" thickBot="1">
      <c r="A419" s="3073">
        <v>109</v>
      </c>
      <c r="B419" s="3074">
        <v>12</v>
      </c>
      <c r="C419" s="3079">
        <v>44224</v>
      </c>
      <c r="D419" s="3074" t="s">
        <v>3372</v>
      </c>
      <c r="E419" s="3072" t="s">
        <v>3109</v>
      </c>
      <c r="F419" s="3072" t="s">
        <v>3235</v>
      </c>
      <c r="G419" s="3464" t="s">
        <v>3618</v>
      </c>
      <c r="H419" s="3465"/>
      <c r="I419" s="3074">
        <v>5764</v>
      </c>
      <c r="J419" s="3464" t="s">
        <v>3615</v>
      </c>
      <c r="K419" s="3465"/>
    </row>
    <row r="420" spans="1:11" ht="26.25" thickBot="1">
      <c r="A420" s="3073">
        <v>110</v>
      </c>
      <c r="B420" s="3074">
        <v>12</v>
      </c>
      <c r="C420" s="3079">
        <v>44224</v>
      </c>
      <c r="D420" s="3074" t="s">
        <v>3375</v>
      </c>
      <c r="E420" s="3072" t="s">
        <v>3109</v>
      </c>
      <c r="F420" s="3072" t="s">
        <v>3235</v>
      </c>
      <c r="G420" s="3087">
        <v>150</v>
      </c>
      <c r="H420" s="3074">
        <v>68</v>
      </c>
      <c r="I420" s="3074">
        <v>5764</v>
      </c>
      <c r="J420" s="3076"/>
      <c r="K420" s="3074" t="s">
        <v>3619</v>
      </c>
    </row>
    <row r="421" spans="1:11" ht="26.25" thickBot="1">
      <c r="A421" s="3073">
        <v>111</v>
      </c>
      <c r="B421" s="3074">
        <v>12</v>
      </c>
      <c r="C421" s="3079">
        <v>44255</v>
      </c>
      <c r="D421" s="3074" t="s">
        <v>3377</v>
      </c>
      <c r="E421" s="3072" t="s">
        <v>3109</v>
      </c>
      <c r="F421" s="3072" t="s">
        <v>3235</v>
      </c>
      <c r="G421" s="3464" t="s">
        <v>3620</v>
      </c>
      <c r="H421" s="3465"/>
      <c r="I421" s="3074">
        <v>5764</v>
      </c>
      <c r="J421" s="3464" t="s">
        <v>3621</v>
      </c>
      <c r="K421" s="3465"/>
    </row>
    <row r="422" spans="1:11" ht="23.25" thickBot="1">
      <c r="A422" s="3073">
        <v>112</v>
      </c>
      <c r="B422" s="3074">
        <v>12</v>
      </c>
      <c r="C422" s="3079">
        <v>44255</v>
      </c>
      <c r="D422" s="3082" t="s">
        <v>3622</v>
      </c>
      <c r="E422" s="3083" t="s">
        <v>3109</v>
      </c>
      <c r="F422" s="3083" t="s">
        <v>3235</v>
      </c>
      <c r="G422" s="3464" t="s">
        <v>3623</v>
      </c>
      <c r="H422" s="3465"/>
      <c r="I422" s="3074">
        <v>5764</v>
      </c>
      <c r="J422" s="3464" t="s">
        <v>3624</v>
      </c>
      <c r="K422" s="3465"/>
    </row>
    <row r="423" spans="1:11" ht="23.25" thickBot="1">
      <c r="A423" s="3073">
        <v>113</v>
      </c>
      <c r="B423" s="3074">
        <v>12</v>
      </c>
      <c r="C423" s="3079">
        <v>44255</v>
      </c>
      <c r="D423" s="3082" t="s">
        <v>3382</v>
      </c>
      <c r="E423" s="3083" t="s">
        <v>3109</v>
      </c>
      <c r="F423" s="3083" t="s">
        <v>3235</v>
      </c>
      <c r="G423" s="3464" t="s">
        <v>3625</v>
      </c>
      <c r="H423" s="3465"/>
      <c r="I423" s="3074">
        <v>5764</v>
      </c>
      <c r="J423" s="3464" t="s">
        <v>3626</v>
      </c>
      <c r="K423" s="3465"/>
    </row>
    <row r="424" spans="1:11" ht="26.25" thickBot="1">
      <c r="A424" s="3073">
        <v>114</v>
      </c>
      <c r="B424" s="3074">
        <v>12</v>
      </c>
      <c r="C424" s="3079">
        <v>44255</v>
      </c>
      <c r="D424" s="3074" t="s">
        <v>3627</v>
      </c>
      <c r="E424" s="3072" t="s">
        <v>3109</v>
      </c>
      <c r="F424" s="3072" t="s">
        <v>3235</v>
      </c>
      <c r="G424" s="3464" t="s">
        <v>3625</v>
      </c>
      <c r="H424" s="3465"/>
      <c r="I424" s="3074">
        <v>5764</v>
      </c>
      <c r="J424" s="3464" t="s">
        <v>3628</v>
      </c>
      <c r="K424" s="3465"/>
    </row>
    <row r="425" spans="1:11" ht="26.25" thickBot="1">
      <c r="A425" s="3073">
        <v>115</v>
      </c>
      <c r="B425" s="3074">
        <v>12</v>
      </c>
      <c r="C425" s="3079">
        <v>44255</v>
      </c>
      <c r="D425" s="3074" t="s">
        <v>3386</v>
      </c>
      <c r="E425" s="3072" t="s">
        <v>3109</v>
      </c>
      <c r="F425" s="3072" t="s">
        <v>3235</v>
      </c>
      <c r="G425" s="3464" t="s">
        <v>3623</v>
      </c>
      <c r="H425" s="3465"/>
      <c r="I425" s="3074">
        <v>5764</v>
      </c>
      <c r="J425" s="3464" t="s">
        <v>3624</v>
      </c>
      <c r="K425" s="3465"/>
    </row>
    <row r="426" spans="1:11" ht="26.25" thickBot="1">
      <c r="A426" s="3073">
        <v>116</v>
      </c>
      <c r="B426" s="3074">
        <v>12</v>
      </c>
      <c r="C426" s="3079">
        <v>44255</v>
      </c>
      <c r="D426" s="3074" t="s">
        <v>3387</v>
      </c>
      <c r="E426" s="3072" t="s">
        <v>3109</v>
      </c>
      <c r="F426" s="3072" t="s">
        <v>3235</v>
      </c>
      <c r="G426" s="3464" t="s">
        <v>3620</v>
      </c>
      <c r="H426" s="3465"/>
      <c r="I426" s="3074">
        <v>5764</v>
      </c>
      <c r="J426" s="3464" t="s">
        <v>3613</v>
      </c>
      <c r="K426" s="3465"/>
    </row>
    <row r="427" spans="1:11" ht="26.25" thickBot="1">
      <c r="A427" s="3073">
        <v>117</v>
      </c>
      <c r="B427" s="3074">
        <v>12</v>
      </c>
      <c r="C427" s="3079">
        <v>44283</v>
      </c>
      <c r="D427" s="3074" t="s">
        <v>3390</v>
      </c>
      <c r="E427" s="3072" t="s">
        <v>3109</v>
      </c>
      <c r="F427" s="3072" t="s">
        <v>3235</v>
      </c>
      <c r="G427" s="3464" t="s">
        <v>3620</v>
      </c>
      <c r="H427" s="3465"/>
      <c r="I427" s="3074">
        <v>5764</v>
      </c>
      <c r="J427" s="3464" t="s">
        <v>3621</v>
      </c>
      <c r="K427" s="3465"/>
    </row>
    <row r="428" spans="1:11" ht="26.25" thickBot="1">
      <c r="A428" s="3073">
        <v>118</v>
      </c>
      <c r="B428" s="3074">
        <v>12</v>
      </c>
      <c r="C428" s="3079">
        <v>44283</v>
      </c>
      <c r="D428" s="3074" t="s">
        <v>3392</v>
      </c>
      <c r="E428" s="3072" t="s">
        <v>3109</v>
      </c>
      <c r="F428" s="3072" t="s">
        <v>3235</v>
      </c>
      <c r="G428" s="3464" t="s">
        <v>3623</v>
      </c>
      <c r="H428" s="3465"/>
      <c r="I428" s="3074">
        <v>5764</v>
      </c>
      <c r="J428" s="3464" t="s">
        <v>3624</v>
      </c>
      <c r="K428" s="3465"/>
    </row>
    <row r="429" spans="1:11" ht="26.25" thickBot="1">
      <c r="A429" s="3073">
        <v>119</v>
      </c>
      <c r="B429" s="3074">
        <v>12</v>
      </c>
      <c r="C429" s="3079">
        <v>44283</v>
      </c>
      <c r="D429" s="3074" t="s">
        <v>3393</v>
      </c>
      <c r="E429" s="3072" t="s">
        <v>3109</v>
      </c>
      <c r="F429" s="3072" t="s">
        <v>3235</v>
      </c>
      <c r="G429" s="3464" t="s">
        <v>3625</v>
      </c>
      <c r="H429" s="3465"/>
      <c r="I429" s="3074">
        <v>5764</v>
      </c>
      <c r="J429" s="3464" t="s">
        <v>3628</v>
      </c>
      <c r="K429" s="3465"/>
    </row>
    <row r="430" spans="1:11" ht="26.25" thickBot="1">
      <c r="A430" s="3073">
        <v>120</v>
      </c>
      <c r="B430" s="3074">
        <v>12</v>
      </c>
      <c r="C430" s="3079">
        <v>44283</v>
      </c>
      <c r="D430" s="3074" t="s">
        <v>3394</v>
      </c>
      <c r="E430" s="3072" t="s">
        <v>3109</v>
      </c>
      <c r="F430" s="3072" t="s">
        <v>3235</v>
      </c>
      <c r="G430" s="3087">
        <v>133</v>
      </c>
      <c r="H430" s="3074">
        <v>49</v>
      </c>
      <c r="I430" s="3074">
        <v>5764</v>
      </c>
      <c r="J430" s="3076"/>
      <c r="K430" s="3074" t="s">
        <v>3629</v>
      </c>
    </row>
    <row r="431" spans="1:11" ht="26.25" thickBot="1">
      <c r="A431" s="3073">
        <v>121</v>
      </c>
      <c r="B431" s="3074">
        <v>12</v>
      </c>
      <c r="C431" s="3079">
        <v>44283</v>
      </c>
      <c r="D431" s="3074" t="s">
        <v>3395</v>
      </c>
      <c r="E431" s="3072" t="s">
        <v>3109</v>
      </c>
      <c r="F431" s="3072" t="s">
        <v>3235</v>
      </c>
      <c r="G431" s="3464" t="s">
        <v>3623</v>
      </c>
      <c r="H431" s="3465"/>
      <c r="I431" s="3074">
        <v>5764</v>
      </c>
      <c r="J431" s="3464" t="s">
        <v>3624</v>
      </c>
      <c r="K431" s="3465"/>
    </row>
    <row r="432" spans="1:11" ht="26.25" thickBot="1">
      <c r="A432" s="3073">
        <v>122</v>
      </c>
      <c r="B432" s="3074">
        <v>12</v>
      </c>
      <c r="C432" s="3079">
        <v>44283</v>
      </c>
      <c r="D432" s="3074" t="s">
        <v>3397</v>
      </c>
      <c r="E432" s="3072" t="s">
        <v>3109</v>
      </c>
      <c r="F432" s="3072" t="s">
        <v>3235</v>
      </c>
      <c r="G432" s="3464" t="s">
        <v>3620</v>
      </c>
      <c r="H432" s="3465"/>
      <c r="I432" s="3074">
        <v>5764</v>
      </c>
      <c r="J432" s="3464" t="s">
        <v>3621</v>
      </c>
      <c r="K432" s="3465"/>
    </row>
    <row r="433" spans="1:11" ht="23.25" thickBot="1">
      <c r="A433" s="3073">
        <v>123</v>
      </c>
      <c r="B433" s="3074">
        <v>12</v>
      </c>
      <c r="C433" s="3079">
        <v>44314</v>
      </c>
      <c r="D433" s="3082" t="s">
        <v>3630</v>
      </c>
      <c r="E433" s="3083" t="s">
        <v>3109</v>
      </c>
      <c r="F433" s="3083" t="s">
        <v>3235</v>
      </c>
      <c r="G433" s="3464" t="s">
        <v>3620</v>
      </c>
      <c r="H433" s="3465"/>
      <c r="I433" s="3074">
        <v>5764</v>
      </c>
      <c r="J433" s="3464" t="s">
        <v>3613</v>
      </c>
      <c r="K433" s="3465"/>
    </row>
    <row r="434" spans="1:11" ht="26.25" thickBot="1">
      <c r="A434" s="3073">
        <v>124</v>
      </c>
      <c r="B434" s="3074">
        <v>12</v>
      </c>
      <c r="C434" s="3079">
        <v>44314</v>
      </c>
      <c r="D434" s="3074" t="s">
        <v>3631</v>
      </c>
      <c r="E434" s="3072" t="s">
        <v>3109</v>
      </c>
      <c r="F434" s="3072" t="s">
        <v>3235</v>
      </c>
      <c r="G434" s="3464" t="s">
        <v>3623</v>
      </c>
      <c r="H434" s="3465"/>
      <c r="I434" s="3074">
        <v>5764</v>
      </c>
      <c r="J434" s="3464" t="s">
        <v>3624</v>
      </c>
      <c r="K434" s="3465"/>
    </row>
    <row r="435" spans="1:11" ht="26.25" thickBot="1">
      <c r="A435" s="3073">
        <v>125</v>
      </c>
      <c r="B435" s="3074">
        <v>12</v>
      </c>
      <c r="C435" s="3079">
        <v>44314</v>
      </c>
      <c r="D435" s="3074" t="s">
        <v>3401</v>
      </c>
      <c r="E435" s="3072" t="s">
        <v>3109</v>
      </c>
      <c r="F435" s="3072" t="s">
        <v>3235</v>
      </c>
      <c r="G435" s="3464" t="s">
        <v>3625</v>
      </c>
      <c r="H435" s="3465"/>
      <c r="I435" s="3074">
        <v>5764</v>
      </c>
      <c r="J435" s="3464" t="s">
        <v>3628</v>
      </c>
      <c r="K435" s="3465"/>
    </row>
    <row r="436" spans="1:11" ht="26.25" thickBot="1">
      <c r="A436" s="3073">
        <v>126</v>
      </c>
      <c r="B436" s="3074">
        <v>12</v>
      </c>
      <c r="C436" s="3079">
        <v>44314</v>
      </c>
      <c r="D436" s="3074" t="s">
        <v>3402</v>
      </c>
      <c r="E436" s="3072" t="s">
        <v>3109</v>
      </c>
      <c r="F436" s="3072" t="s">
        <v>3235</v>
      </c>
      <c r="G436" s="3464" t="s">
        <v>3625</v>
      </c>
      <c r="H436" s="3465"/>
      <c r="I436" s="3074">
        <v>5764</v>
      </c>
      <c r="J436" s="3464" t="s">
        <v>3626</v>
      </c>
      <c r="K436" s="3465"/>
    </row>
    <row r="437" spans="1:11" ht="26.25" thickBot="1">
      <c r="A437" s="3073">
        <v>127</v>
      </c>
      <c r="B437" s="3074">
        <v>12</v>
      </c>
      <c r="C437" s="3079">
        <v>44314</v>
      </c>
      <c r="D437" s="3074" t="s">
        <v>3403</v>
      </c>
      <c r="E437" s="3072" t="s">
        <v>3109</v>
      </c>
      <c r="F437" s="3072" t="s">
        <v>3235</v>
      </c>
      <c r="G437" s="3464" t="s">
        <v>3623</v>
      </c>
      <c r="H437" s="3465"/>
      <c r="I437" s="3074">
        <v>5764</v>
      </c>
      <c r="J437" s="3464" t="s">
        <v>3624</v>
      </c>
      <c r="K437" s="3465"/>
    </row>
    <row r="438" spans="1:11" ht="26.25" thickBot="1">
      <c r="A438" s="3073">
        <v>128</v>
      </c>
      <c r="B438" s="3074">
        <v>12</v>
      </c>
      <c r="C438" s="3079">
        <v>44314</v>
      </c>
      <c r="D438" s="3074" t="s">
        <v>3404</v>
      </c>
      <c r="E438" s="3072" t="s">
        <v>3109</v>
      </c>
      <c r="F438" s="3072" t="s">
        <v>3235</v>
      </c>
      <c r="G438" s="3464" t="s">
        <v>3620</v>
      </c>
      <c r="H438" s="3465"/>
      <c r="I438" s="3074">
        <v>5764</v>
      </c>
      <c r="J438" s="3464" t="s">
        <v>3621</v>
      </c>
      <c r="K438" s="3465"/>
    </row>
    <row r="439" spans="1:11" ht="26.25" thickBot="1">
      <c r="A439" s="3073">
        <v>129</v>
      </c>
      <c r="B439" s="3074">
        <v>12</v>
      </c>
      <c r="C439" s="3079">
        <v>44344</v>
      </c>
      <c r="D439" s="3074" t="s">
        <v>3405</v>
      </c>
      <c r="E439" s="3072" t="s">
        <v>3109</v>
      </c>
      <c r="F439" s="3072" t="s">
        <v>3235</v>
      </c>
      <c r="G439" s="3464" t="s">
        <v>3620</v>
      </c>
      <c r="H439" s="3465"/>
      <c r="I439" s="3074">
        <v>5764</v>
      </c>
      <c r="J439" s="3464" t="s">
        <v>3621</v>
      </c>
      <c r="K439" s="3465"/>
    </row>
    <row r="440" spans="1:11" ht="26.25" thickBot="1">
      <c r="A440" s="3073">
        <v>130</v>
      </c>
      <c r="B440" s="3074">
        <v>12</v>
      </c>
      <c r="C440" s="3079">
        <v>44344</v>
      </c>
      <c r="D440" s="3074" t="s">
        <v>3406</v>
      </c>
      <c r="E440" s="3072" t="s">
        <v>3109</v>
      </c>
      <c r="F440" s="3072" t="s">
        <v>3235</v>
      </c>
      <c r="G440" s="3464" t="s">
        <v>3623</v>
      </c>
      <c r="H440" s="3465"/>
      <c r="I440" s="3074">
        <v>5764</v>
      </c>
      <c r="J440" s="3464" t="s">
        <v>3632</v>
      </c>
      <c r="K440" s="3465"/>
    </row>
    <row r="441" spans="1:11" ht="26.25" thickBot="1">
      <c r="A441" s="3073">
        <v>131</v>
      </c>
      <c r="B441" s="3074">
        <v>12</v>
      </c>
      <c r="C441" s="3079">
        <v>44344</v>
      </c>
      <c r="D441" s="3074" t="s">
        <v>3407</v>
      </c>
      <c r="E441" s="3072" t="s">
        <v>3109</v>
      </c>
      <c r="F441" s="3072" t="s">
        <v>3235</v>
      </c>
      <c r="G441" s="3464" t="s">
        <v>3625</v>
      </c>
      <c r="H441" s="3465"/>
      <c r="I441" s="3074">
        <v>5764</v>
      </c>
      <c r="J441" s="3464" t="s">
        <v>3628</v>
      </c>
      <c r="K441" s="3465"/>
    </row>
    <row r="442" spans="1:11" ht="26.25" thickBot="1">
      <c r="A442" s="3073">
        <v>132</v>
      </c>
      <c r="B442" s="3074">
        <v>12</v>
      </c>
      <c r="C442" s="3079">
        <v>44344</v>
      </c>
      <c r="D442" s="3074" t="s">
        <v>3408</v>
      </c>
      <c r="E442" s="3072" t="s">
        <v>3109</v>
      </c>
      <c r="F442" s="3072" t="s">
        <v>3235</v>
      </c>
      <c r="G442" s="3464" t="s">
        <v>3625</v>
      </c>
      <c r="H442" s="3465"/>
      <c r="I442" s="3074">
        <v>5764</v>
      </c>
      <c r="J442" s="3464" t="s">
        <v>3628</v>
      </c>
      <c r="K442" s="3465"/>
    </row>
    <row r="443" spans="1:11" ht="26.25" thickBot="1">
      <c r="A443" s="3073">
        <v>133</v>
      </c>
      <c r="B443" s="3074">
        <v>12</v>
      </c>
      <c r="C443" s="3079">
        <v>44344</v>
      </c>
      <c r="D443" s="3074" t="s">
        <v>3409</v>
      </c>
      <c r="E443" s="3072" t="s">
        <v>3109</v>
      </c>
      <c r="F443" s="3072" t="s">
        <v>3235</v>
      </c>
      <c r="G443" s="3464" t="s">
        <v>3623</v>
      </c>
      <c r="H443" s="3465"/>
      <c r="I443" s="3074">
        <v>5764</v>
      </c>
      <c r="J443" s="3464" t="s">
        <v>3632</v>
      </c>
      <c r="K443" s="3465"/>
    </row>
    <row r="444" spans="1:11" ht="26.25" thickBot="1">
      <c r="A444" s="3073">
        <v>134</v>
      </c>
      <c r="B444" s="3074">
        <v>12</v>
      </c>
      <c r="C444" s="3079">
        <v>44344</v>
      </c>
      <c r="D444" s="3074" t="s">
        <v>3410</v>
      </c>
      <c r="E444" s="3072" t="s">
        <v>3109</v>
      </c>
      <c r="F444" s="3072" t="s">
        <v>3235</v>
      </c>
      <c r="G444" s="3464" t="s">
        <v>3620</v>
      </c>
      <c r="H444" s="3465"/>
      <c r="I444" s="3074">
        <v>5764</v>
      </c>
      <c r="J444" s="3464" t="s">
        <v>3621</v>
      </c>
      <c r="K444" s="3465"/>
    </row>
    <row r="445" spans="1:11" ht="26.25" thickBot="1">
      <c r="A445" s="3073">
        <v>135</v>
      </c>
      <c r="B445" s="3074">
        <v>12</v>
      </c>
      <c r="C445" s="3079">
        <v>44375</v>
      </c>
      <c r="D445" s="3074" t="s">
        <v>3411</v>
      </c>
      <c r="E445" s="3072" t="s">
        <v>3109</v>
      </c>
      <c r="F445" s="3072" t="s">
        <v>3235</v>
      </c>
      <c r="G445" s="3464" t="s">
        <v>3620</v>
      </c>
      <c r="H445" s="3465"/>
      <c r="I445" s="3074">
        <v>5764</v>
      </c>
      <c r="J445" s="3464" t="s">
        <v>3621</v>
      </c>
      <c r="K445" s="3465"/>
    </row>
    <row r="446" spans="1:11" ht="26.25" thickBot="1">
      <c r="A446" s="3073">
        <v>136</v>
      </c>
      <c r="B446" s="3074">
        <v>12</v>
      </c>
      <c r="C446" s="3079">
        <v>44375</v>
      </c>
      <c r="D446" s="3074" t="s">
        <v>3412</v>
      </c>
      <c r="E446" s="3072" t="s">
        <v>3109</v>
      </c>
      <c r="F446" s="3072" t="s">
        <v>3235</v>
      </c>
      <c r="G446" s="3464" t="s">
        <v>3623</v>
      </c>
      <c r="H446" s="3465"/>
      <c r="I446" s="3074">
        <v>5764</v>
      </c>
      <c r="J446" s="3464" t="s">
        <v>3624</v>
      </c>
      <c r="K446" s="3465"/>
    </row>
    <row r="447" spans="1:11" ht="26.25" thickBot="1">
      <c r="A447" s="3073">
        <v>137</v>
      </c>
      <c r="B447" s="3074">
        <v>12</v>
      </c>
      <c r="C447" s="3079">
        <v>44375</v>
      </c>
      <c r="D447" s="3074" t="s">
        <v>3413</v>
      </c>
      <c r="E447" s="3072" t="s">
        <v>3109</v>
      </c>
      <c r="F447" s="3072" t="s">
        <v>3235</v>
      </c>
      <c r="G447" s="3087">
        <v>133</v>
      </c>
      <c r="H447" s="3074">
        <v>49</v>
      </c>
      <c r="I447" s="3074">
        <v>5764</v>
      </c>
      <c r="J447" s="3076"/>
      <c r="K447" s="3074" t="s">
        <v>3629</v>
      </c>
    </row>
    <row r="448" spans="1:11" ht="26.25" thickBot="1">
      <c r="A448" s="3073">
        <v>138</v>
      </c>
      <c r="B448" s="3074">
        <v>12</v>
      </c>
      <c r="C448" s="3079">
        <v>44375</v>
      </c>
      <c r="D448" s="3074" t="s">
        <v>3414</v>
      </c>
      <c r="E448" s="3072" t="s">
        <v>3109</v>
      </c>
      <c r="F448" s="3072" t="s">
        <v>3235</v>
      </c>
      <c r="G448" s="3464" t="s">
        <v>3625</v>
      </c>
      <c r="H448" s="3465"/>
      <c r="I448" s="3074">
        <v>5764</v>
      </c>
      <c r="J448" s="3464" t="s">
        <v>3628</v>
      </c>
      <c r="K448" s="3465"/>
    </row>
    <row r="449" spans="1:11" ht="26.25" thickBot="1">
      <c r="A449" s="3073">
        <v>139</v>
      </c>
      <c r="B449" s="3074">
        <v>12</v>
      </c>
      <c r="C449" s="3079">
        <v>44375</v>
      </c>
      <c r="D449" s="3074" t="s">
        <v>3416</v>
      </c>
      <c r="E449" s="3072" t="s">
        <v>3109</v>
      </c>
      <c r="F449" s="3072" t="s">
        <v>3235</v>
      </c>
      <c r="G449" s="3464" t="s">
        <v>3623</v>
      </c>
      <c r="H449" s="3465"/>
      <c r="I449" s="3074">
        <v>5764</v>
      </c>
      <c r="J449" s="3464" t="s">
        <v>3624</v>
      </c>
      <c r="K449" s="3465"/>
    </row>
    <row r="450" spans="1:11" ht="26.25" thickBot="1">
      <c r="A450" s="3073">
        <v>140</v>
      </c>
      <c r="B450" s="3074">
        <v>12</v>
      </c>
      <c r="C450" s="3079">
        <v>44375</v>
      </c>
      <c r="D450" s="3074" t="s">
        <v>3417</v>
      </c>
      <c r="E450" s="3072" t="s">
        <v>3109</v>
      </c>
      <c r="F450" s="3072" t="s">
        <v>3235</v>
      </c>
      <c r="G450" s="3464" t="s">
        <v>3620</v>
      </c>
      <c r="H450" s="3465"/>
      <c r="I450" s="3074">
        <v>5764</v>
      </c>
      <c r="J450" s="3464" t="s">
        <v>3613</v>
      </c>
      <c r="K450" s="3465"/>
    </row>
    <row r="451" spans="1:11" ht="26.25" thickBot="1">
      <c r="A451" s="3073">
        <v>141</v>
      </c>
      <c r="B451" s="3074">
        <v>12</v>
      </c>
      <c r="C451" s="3079">
        <v>44405</v>
      </c>
      <c r="D451" s="3074" t="s">
        <v>3418</v>
      </c>
      <c r="E451" s="3072" t="s">
        <v>3109</v>
      </c>
      <c r="F451" s="3072" t="s">
        <v>3235</v>
      </c>
      <c r="G451" s="3464" t="s">
        <v>3620</v>
      </c>
      <c r="H451" s="3465"/>
      <c r="I451" s="3074">
        <v>5764</v>
      </c>
      <c r="J451" s="3464" t="s">
        <v>3621</v>
      </c>
      <c r="K451" s="3465"/>
    </row>
    <row r="452" spans="1:11" ht="26.25" thickBot="1">
      <c r="A452" s="3073">
        <v>142</v>
      </c>
      <c r="B452" s="3074">
        <v>12</v>
      </c>
      <c r="C452" s="3079">
        <v>44405</v>
      </c>
      <c r="D452" s="3074" t="s">
        <v>3419</v>
      </c>
      <c r="E452" s="3072" t="s">
        <v>3109</v>
      </c>
      <c r="F452" s="3072" t="s">
        <v>3235</v>
      </c>
      <c r="G452" s="3464" t="s">
        <v>3623</v>
      </c>
      <c r="H452" s="3465"/>
      <c r="I452" s="3074">
        <v>5764</v>
      </c>
      <c r="J452" s="3464" t="s">
        <v>3624</v>
      </c>
      <c r="K452" s="3465"/>
    </row>
    <row r="453" spans="1:11" ht="26.25" thickBot="1">
      <c r="A453" s="3073">
        <v>143</v>
      </c>
      <c r="B453" s="3074">
        <v>12</v>
      </c>
      <c r="C453" s="3079">
        <v>44405</v>
      </c>
      <c r="D453" s="3074" t="s">
        <v>3420</v>
      </c>
      <c r="E453" s="3072" t="s">
        <v>3109</v>
      </c>
      <c r="F453" s="3072" t="s">
        <v>3235</v>
      </c>
      <c r="G453" s="3464" t="s">
        <v>3625</v>
      </c>
      <c r="H453" s="3465"/>
      <c r="I453" s="3074">
        <v>5764</v>
      </c>
      <c r="J453" s="3464" t="s">
        <v>3626</v>
      </c>
      <c r="K453" s="3465"/>
    </row>
    <row r="454" spans="1:11" ht="26.25" thickBot="1">
      <c r="A454" s="3073">
        <v>144</v>
      </c>
      <c r="B454" s="3074">
        <v>12</v>
      </c>
      <c r="C454" s="3079">
        <v>44405</v>
      </c>
      <c r="D454" s="3074" t="s">
        <v>3421</v>
      </c>
      <c r="E454" s="3072" t="s">
        <v>3109</v>
      </c>
      <c r="F454" s="3072" t="s">
        <v>3235</v>
      </c>
      <c r="G454" s="3464" t="s">
        <v>3625</v>
      </c>
      <c r="H454" s="3465"/>
      <c r="I454" s="3074">
        <v>5764</v>
      </c>
      <c r="J454" s="3464" t="s">
        <v>3628</v>
      </c>
      <c r="K454" s="3465"/>
    </row>
    <row r="455" spans="1:11" ht="26.25" thickBot="1">
      <c r="A455" s="3073">
        <v>145</v>
      </c>
      <c r="B455" s="3074">
        <v>12</v>
      </c>
      <c r="C455" s="3079">
        <v>44405</v>
      </c>
      <c r="D455" s="3074" t="s">
        <v>3422</v>
      </c>
      <c r="E455" s="3072" t="s">
        <v>3109</v>
      </c>
      <c r="F455" s="3072" t="s">
        <v>3235</v>
      </c>
      <c r="G455" s="3464" t="s">
        <v>3623</v>
      </c>
      <c r="H455" s="3465"/>
      <c r="I455" s="3074">
        <v>5764</v>
      </c>
      <c r="J455" s="3464" t="s">
        <v>3624</v>
      </c>
      <c r="K455" s="3465"/>
    </row>
    <row r="456" spans="1:11" ht="26.25" thickBot="1">
      <c r="A456" s="3073">
        <v>146</v>
      </c>
      <c r="B456" s="3074">
        <v>12</v>
      </c>
      <c r="C456" s="3079">
        <v>44405</v>
      </c>
      <c r="D456" s="3074" t="s">
        <v>3423</v>
      </c>
      <c r="E456" s="3072" t="s">
        <v>3109</v>
      </c>
      <c r="F456" s="3072" t="s">
        <v>3235</v>
      </c>
      <c r="G456" s="3464" t="s">
        <v>3620</v>
      </c>
      <c r="H456" s="3465"/>
      <c r="I456" s="3074">
        <v>5764</v>
      </c>
      <c r="J456" s="3464" t="s">
        <v>3621</v>
      </c>
      <c r="K456" s="3465"/>
    </row>
    <row r="457" spans="1:11" ht="26.25" thickBot="1">
      <c r="A457" s="3073">
        <v>147</v>
      </c>
      <c r="B457" s="3074">
        <v>12</v>
      </c>
      <c r="C457" s="3079">
        <v>44436</v>
      </c>
      <c r="D457" s="3074" t="s">
        <v>3424</v>
      </c>
      <c r="E457" s="3072" t="s">
        <v>3109</v>
      </c>
      <c r="F457" s="3072" t="s">
        <v>3235</v>
      </c>
      <c r="G457" s="3087">
        <v>150</v>
      </c>
      <c r="H457" s="3074">
        <v>67</v>
      </c>
      <c r="I457" s="3074">
        <v>5764</v>
      </c>
      <c r="J457" s="3076"/>
      <c r="K457" s="3074" t="s">
        <v>3619</v>
      </c>
    </row>
    <row r="458" spans="1:11" ht="26.25" thickBot="1">
      <c r="A458" s="3073">
        <v>148</v>
      </c>
      <c r="B458" s="3074">
        <v>12</v>
      </c>
      <c r="C458" s="3079">
        <v>44436</v>
      </c>
      <c r="D458" s="3074" t="s">
        <v>3425</v>
      </c>
      <c r="E458" s="3072" t="s">
        <v>3109</v>
      </c>
      <c r="F458" s="3072" t="s">
        <v>3235</v>
      </c>
      <c r="G458" s="3464" t="s">
        <v>3623</v>
      </c>
      <c r="H458" s="3465"/>
      <c r="I458" s="3074">
        <v>5764</v>
      </c>
      <c r="J458" s="3464" t="s">
        <v>3624</v>
      </c>
      <c r="K458" s="3465"/>
    </row>
    <row r="459" spans="1:11" ht="26.25" thickBot="1">
      <c r="A459" s="3073">
        <v>149</v>
      </c>
      <c r="B459" s="3074">
        <v>12</v>
      </c>
      <c r="C459" s="3079">
        <v>44436</v>
      </c>
      <c r="D459" s="3074" t="s">
        <v>3426</v>
      </c>
      <c r="E459" s="3072" t="s">
        <v>3109</v>
      </c>
      <c r="F459" s="3072" t="s">
        <v>3235</v>
      </c>
      <c r="G459" s="3464" t="s">
        <v>3625</v>
      </c>
      <c r="H459" s="3465"/>
      <c r="I459" s="3074">
        <v>5764</v>
      </c>
      <c r="J459" s="3464" t="s">
        <v>3628</v>
      </c>
      <c r="K459" s="3465"/>
    </row>
    <row r="460" spans="1:11" ht="26.25" thickBot="1">
      <c r="A460" s="3073">
        <v>150</v>
      </c>
      <c r="B460" s="3074">
        <v>12</v>
      </c>
      <c r="C460" s="3079">
        <v>44436</v>
      </c>
      <c r="D460" s="3074" t="s">
        <v>3427</v>
      </c>
      <c r="E460" s="3072" t="s">
        <v>3109</v>
      </c>
      <c r="F460" s="3072" t="s">
        <v>3235</v>
      </c>
      <c r="G460" s="3464" t="s">
        <v>3625</v>
      </c>
      <c r="H460" s="3465"/>
      <c r="I460" s="3074">
        <v>5764</v>
      </c>
      <c r="J460" s="3464" t="s">
        <v>3626</v>
      </c>
      <c r="K460" s="3465"/>
    </row>
    <row r="461" spans="1:11" ht="26.25" thickBot="1">
      <c r="A461" s="3073">
        <v>151</v>
      </c>
      <c r="B461" s="3074">
        <v>12</v>
      </c>
      <c r="C461" s="3079">
        <v>44436</v>
      </c>
      <c r="D461" s="3074" t="s">
        <v>3428</v>
      </c>
      <c r="E461" s="3072" t="s">
        <v>3109</v>
      </c>
      <c r="F461" s="3072" t="s">
        <v>3235</v>
      </c>
      <c r="G461" s="3464" t="s">
        <v>3623</v>
      </c>
      <c r="H461" s="3465"/>
      <c r="I461" s="3074">
        <v>5764</v>
      </c>
      <c r="J461" s="3464" t="s">
        <v>3624</v>
      </c>
      <c r="K461" s="3465"/>
    </row>
    <row r="462" spans="1:11" ht="26.25" thickBot="1">
      <c r="A462" s="3073">
        <v>152</v>
      </c>
      <c r="B462" s="3074">
        <v>12</v>
      </c>
      <c r="C462" s="3079">
        <v>44436</v>
      </c>
      <c r="D462" s="3074" t="s">
        <v>3429</v>
      </c>
      <c r="E462" s="3072" t="s">
        <v>3109</v>
      </c>
      <c r="F462" s="3072" t="s">
        <v>3235</v>
      </c>
      <c r="G462" s="3464" t="s">
        <v>3620</v>
      </c>
      <c r="H462" s="3465"/>
      <c r="I462" s="3074">
        <v>5764</v>
      </c>
      <c r="J462" s="3464" t="s">
        <v>3621</v>
      </c>
      <c r="K462" s="3465"/>
    </row>
    <row r="463" spans="1:11" ht="26.25" thickBot="1">
      <c r="A463" s="3073">
        <v>153</v>
      </c>
      <c r="B463" s="3074">
        <v>12</v>
      </c>
      <c r="C463" s="3079">
        <v>44467</v>
      </c>
      <c r="D463" s="3074" t="s">
        <v>3430</v>
      </c>
      <c r="E463" s="3072" t="s">
        <v>3109</v>
      </c>
      <c r="F463" s="3072" t="s">
        <v>3235</v>
      </c>
      <c r="G463" s="3464" t="s">
        <v>3620</v>
      </c>
      <c r="H463" s="3465"/>
      <c r="I463" s="3074">
        <v>5764</v>
      </c>
      <c r="J463" s="3464" t="s">
        <v>3621</v>
      </c>
      <c r="K463" s="3465"/>
    </row>
    <row r="464" spans="1:11" ht="26.25" thickBot="1">
      <c r="A464" s="3073">
        <v>154</v>
      </c>
      <c r="B464" s="3074">
        <v>12</v>
      </c>
      <c r="C464" s="3079">
        <v>44467</v>
      </c>
      <c r="D464" s="3074" t="s">
        <v>3431</v>
      </c>
      <c r="E464" s="3072" t="s">
        <v>3109</v>
      </c>
      <c r="F464" s="3072" t="s">
        <v>3235</v>
      </c>
      <c r="G464" s="3087">
        <v>118</v>
      </c>
      <c r="H464" s="3074">
        <v>49</v>
      </c>
      <c r="I464" s="3074">
        <v>5764</v>
      </c>
      <c r="J464" s="3076"/>
      <c r="K464" s="3074" t="s">
        <v>3633</v>
      </c>
    </row>
    <row r="465" spans="1:11" ht="26.25" thickBot="1">
      <c r="A465" s="3073">
        <v>155</v>
      </c>
      <c r="B465" s="3074">
        <v>12</v>
      </c>
      <c r="C465" s="3079">
        <v>44467</v>
      </c>
      <c r="D465" s="3074" t="s">
        <v>3432</v>
      </c>
      <c r="E465" s="3072" t="s">
        <v>3109</v>
      </c>
      <c r="F465" s="3072" t="s">
        <v>3235</v>
      </c>
      <c r="G465" s="3464" t="s">
        <v>3625</v>
      </c>
      <c r="H465" s="3465"/>
      <c r="I465" s="3074">
        <v>5764</v>
      </c>
      <c r="J465" s="3464" t="s">
        <v>3628</v>
      </c>
      <c r="K465" s="3465"/>
    </row>
    <row r="466" spans="1:11" ht="26.25" thickBot="1">
      <c r="A466" s="3073">
        <v>156</v>
      </c>
      <c r="B466" s="3074">
        <v>12</v>
      </c>
      <c r="C466" s="3079">
        <v>44467</v>
      </c>
      <c r="D466" s="3074" t="s">
        <v>3433</v>
      </c>
      <c r="E466" s="3072" t="s">
        <v>3109</v>
      </c>
      <c r="F466" s="3072" t="s">
        <v>3235</v>
      </c>
      <c r="G466" s="3464" t="s">
        <v>3625</v>
      </c>
      <c r="H466" s="3465"/>
      <c r="I466" s="3074">
        <v>5764</v>
      </c>
      <c r="J466" s="3464" t="s">
        <v>3628</v>
      </c>
      <c r="K466" s="3465"/>
    </row>
    <row r="467" spans="1:11" ht="26.25" thickBot="1">
      <c r="A467" s="3073">
        <v>157</v>
      </c>
      <c r="B467" s="3074">
        <v>12</v>
      </c>
      <c r="C467" s="3079">
        <v>44467</v>
      </c>
      <c r="D467" s="3074" t="s">
        <v>3434</v>
      </c>
      <c r="E467" s="3072" t="s">
        <v>3109</v>
      </c>
      <c r="F467" s="3072" t="s">
        <v>3235</v>
      </c>
      <c r="G467" s="3464" t="s">
        <v>3623</v>
      </c>
      <c r="H467" s="3465"/>
      <c r="I467" s="3074">
        <v>5764</v>
      </c>
      <c r="J467" s="3464" t="s">
        <v>3632</v>
      </c>
      <c r="K467" s="3465"/>
    </row>
    <row r="468" spans="1:11" ht="26.25" thickBot="1">
      <c r="A468" s="3073">
        <v>158</v>
      </c>
      <c r="B468" s="3074">
        <v>12</v>
      </c>
      <c r="C468" s="3079">
        <v>44467</v>
      </c>
      <c r="D468" s="3074" t="s">
        <v>3435</v>
      </c>
      <c r="E468" s="3072" t="s">
        <v>3109</v>
      </c>
      <c r="F468" s="3072" t="s">
        <v>3235</v>
      </c>
      <c r="G468" s="3464" t="s">
        <v>3620</v>
      </c>
      <c r="H468" s="3465"/>
      <c r="I468" s="3074">
        <v>5764</v>
      </c>
      <c r="J468" s="3464" t="s">
        <v>3621</v>
      </c>
      <c r="K468" s="3465"/>
    </row>
    <row r="469" spans="1:11" ht="26.25" thickBot="1">
      <c r="A469" s="3073">
        <v>159</v>
      </c>
      <c r="B469" s="3074">
        <v>12</v>
      </c>
      <c r="C469" s="3079">
        <v>44497</v>
      </c>
      <c r="D469" s="3074" t="s">
        <v>3436</v>
      </c>
      <c r="E469" s="3072" t="s">
        <v>3109</v>
      </c>
      <c r="F469" s="3072" t="s">
        <v>3235</v>
      </c>
      <c r="G469" s="3464" t="s">
        <v>3620</v>
      </c>
      <c r="H469" s="3465"/>
      <c r="I469" s="3074">
        <v>5764</v>
      </c>
      <c r="J469" s="3464" t="s">
        <v>3621</v>
      </c>
      <c r="K469" s="3465"/>
    </row>
    <row r="470" spans="1:11" ht="26.25" thickBot="1">
      <c r="A470" s="3073">
        <v>160</v>
      </c>
      <c r="B470" s="3074">
        <v>12</v>
      </c>
      <c r="C470" s="3079">
        <v>44497</v>
      </c>
      <c r="D470" s="3074" t="s">
        <v>3437</v>
      </c>
      <c r="E470" s="3072" t="s">
        <v>3109</v>
      </c>
      <c r="F470" s="3072" t="s">
        <v>3235</v>
      </c>
      <c r="G470" s="3464" t="s">
        <v>3623</v>
      </c>
      <c r="H470" s="3465"/>
      <c r="I470" s="3074">
        <v>5764</v>
      </c>
      <c r="J470" s="3464" t="s">
        <v>3632</v>
      </c>
      <c r="K470" s="3465"/>
    </row>
    <row r="471" spans="1:11" ht="26.25" thickBot="1">
      <c r="A471" s="3073">
        <v>161</v>
      </c>
      <c r="B471" s="3074">
        <v>12</v>
      </c>
      <c r="C471" s="3079">
        <v>44497</v>
      </c>
      <c r="D471" s="3074" t="s">
        <v>3438</v>
      </c>
      <c r="E471" s="3072" t="s">
        <v>3109</v>
      </c>
      <c r="F471" s="3072" t="s">
        <v>3235</v>
      </c>
      <c r="G471" s="3464" t="s">
        <v>3625</v>
      </c>
      <c r="H471" s="3465"/>
      <c r="I471" s="3074">
        <v>5764</v>
      </c>
      <c r="J471" s="3464" t="s">
        <v>3628</v>
      </c>
      <c r="K471" s="3465"/>
    </row>
    <row r="472" spans="1:11" ht="26.25" thickBot="1">
      <c r="A472" s="3073">
        <v>162</v>
      </c>
      <c r="B472" s="3074">
        <v>12</v>
      </c>
      <c r="C472" s="3079">
        <v>44497</v>
      </c>
      <c r="D472" s="3074" t="s">
        <v>3439</v>
      </c>
      <c r="E472" s="3072" t="s">
        <v>3109</v>
      </c>
      <c r="F472" s="3072" t="s">
        <v>3235</v>
      </c>
      <c r="G472" s="3464" t="s">
        <v>3625</v>
      </c>
      <c r="H472" s="3465"/>
      <c r="I472" s="3074">
        <v>5764</v>
      </c>
      <c r="J472" s="3464" t="s">
        <v>3628</v>
      </c>
      <c r="K472" s="3465"/>
    </row>
    <row r="473" spans="1:11" ht="26.25" thickBot="1">
      <c r="A473" s="3073">
        <v>163</v>
      </c>
      <c r="B473" s="3074">
        <v>12</v>
      </c>
      <c r="C473" s="3079">
        <v>44497</v>
      </c>
      <c r="D473" s="3074" t="s">
        <v>3440</v>
      </c>
      <c r="E473" s="3072" t="s">
        <v>3109</v>
      </c>
      <c r="F473" s="3072" t="s">
        <v>3235</v>
      </c>
      <c r="G473" s="3464" t="s">
        <v>3623</v>
      </c>
      <c r="H473" s="3465"/>
      <c r="I473" s="3074">
        <v>5764</v>
      </c>
      <c r="J473" s="3464" t="s">
        <v>3624</v>
      </c>
      <c r="K473" s="3465"/>
    </row>
    <row r="474" spans="1:11">
      <c r="A474" s="3070"/>
    </row>
    <row r="476" spans="1:11" ht="14.25" thickBot="1">
      <c r="A476" s="3078"/>
    </row>
    <row r="477" spans="1:11">
      <c r="A477" s="3458" t="s">
        <v>3223</v>
      </c>
      <c r="B477" s="3458" t="s">
        <v>3224</v>
      </c>
      <c r="C477" s="3071" t="s">
        <v>3225</v>
      </c>
      <c r="D477" s="3458" t="s">
        <v>3227</v>
      </c>
      <c r="E477" s="3458" t="s">
        <v>1341</v>
      </c>
      <c r="F477" s="3458" t="s">
        <v>3228</v>
      </c>
      <c r="G477" s="3460" t="s">
        <v>3229</v>
      </c>
      <c r="H477" s="3461"/>
      <c r="I477" s="3458" t="s">
        <v>3231</v>
      </c>
      <c r="J477" s="3460" t="s">
        <v>3232</v>
      </c>
      <c r="K477" s="3461"/>
    </row>
    <row r="478" spans="1:11" ht="14.25" thickBot="1">
      <c r="A478" s="3459"/>
      <c r="B478" s="3459"/>
      <c r="C478" s="3072" t="s">
        <v>3226</v>
      </c>
      <c r="D478" s="3459"/>
      <c r="E478" s="3459"/>
      <c r="F478" s="3459"/>
      <c r="G478" s="3462" t="s">
        <v>3230</v>
      </c>
      <c r="H478" s="3463"/>
      <c r="I478" s="3459"/>
      <c r="J478" s="3462"/>
      <c r="K478" s="3463"/>
    </row>
    <row r="479" spans="1:11" ht="26.25" thickBot="1">
      <c r="A479" s="3073">
        <v>164</v>
      </c>
      <c r="B479" s="3074">
        <v>12</v>
      </c>
      <c r="C479" s="3079">
        <v>44497</v>
      </c>
      <c r="D479" s="3074" t="s">
        <v>3441</v>
      </c>
      <c r="E479" s="3072" t="s">
        <v>3109</v>
      </c>
      <c r="F479" s="3072" t="s">
        <v>3235</v>
      </c>
      <c r="G479" s="3464" t="s">
        <v>3620</v>
      </c>
      <c r="H479" s="3465"/>
      <c r="I479" s="3074">
        <v>5764</v>
      </c>
      <c r="J479" s="3464" t="s">
        <v>3621</v>
      </c>
      <c r="K479" s="3465"/>
    </row>
    <row r="480" spans="1:11" ht="26.25" thickBot="1">
      <c r="A480" s="3073">
        <v>165</v>
      </c>
      <c r="B480" s="3074">
        <v>12</v>
      </c>
      <c r="C480" s="3079">
        <v>44528</v>
      </c>
      <c r="D480" s="3074" t="s">
        <v>3442</v>
      </c>
      <c r="E480" s="3072" t="s">
        <v>3109</v>
      </c>
      <c r="F480" s="3072" t="s">
        <v>3235</v>
      </c>
      <c r="G480" s="3087">
        <v>150</v>
      </c>
      <c r="H480" s="3074">
        <v>67</v>
      </c>
      <c r="I480" s="3074">
        <v>5764</v>
      </c>
      <c r="J480" s="3076"/>
      <c r="K480" s="3074" t="s">
        <v>3619</v>
      </c>
    </row>
    <row r="481" spans="1:11" ht="26.25" thickBot="1">
      <c r="A481" s="3073">
        <v>166</v>
      </c>
      <c r="B481" s="3074">
        <v>12</v>
      </c>
      <c r="C481" s="3079">
        <v>44528</v>
      </c>
      <c r="D481" s="3074" t="s">
        <v>3443</v>
      </c>
      <c r="E481" s="3072" t="s">
        <v>3109</v>
      </c>
      <c r="F481" s="3072" t="s">
        <v>3235</v>
      </c>
      <c r="G481" s="3464" t="s">
        <v>3623</v>
      </c>
      <c r="H481" s="3465"/>
      <c r="I481" s="3074">
        <v>5764</v>
      </c>
      <c r="J481" s="3464" t="s">
        <v>3624</v>
      </c>
      <c r="K481" s="3465"/>
    </row>
    <row r="482" spans="1:11" ht="23.25" thickBot="1">
      <c r="A482" s="3073">
        <v>167</v>
      </c>
      <c r="B482" s="3074">
        <v>12</v>
      </c>
      <c r="C482" s="3079">
        <v>44528</v>
      </c>
      <c r="D482" s="3082" t="s">
        <v>3634</v>
      </c>
      <c r="E482" s="3083" t="s">
        <v>3109</v>
      </c>
      <c r="F482" s="3083" t="s">
        <v>3235</v>
      </c>
      <c r="G482" s="3464" t="s">
        <v>3625</v>
      </c>
      <c r="H482" s="3465"/>
      <c r="I482" s="3074">
        <v>5764</v>
      </c>
      <c r="J482" s="3464" t="s">
        <v>3628</v>
      </c>
      <c r="K482" s="3465"/>
    </row>
    <row r="483" spans="1:11" ht="23.25" thickBot="1">
      <c r="A483" s="3073">
        <v>168</v>
      </c>
      <c r="B483" s="3074">
        <v>12</v>
      </c>
      <c r="C483" s="3079">
        <v>44528</v>
      </c>
      <c r="D483" s="3082" t="s">
        <v>3445</v>
      </c>
      <c r="E483" s="3083" t="s">
        <v>3109</v>
      </c>
      <c r="F483" s="3083" t="s">
        <v>3235</v>
      </c>
      <c r="G483" s="3464" t="s">
        <v>3625</v>
      </c>
      <c r="H483" s="3465"/>
      <c r="I483" s="3074">
        <v>5764</v>
      </c>
      <c r="J483" s="3464" t="s">
        <v>3626</v>
      </c>
      <c r="K483" s="3465"/>
    </row>
    <row r="484" spans="1:11" ht="26.25" thickBot="1">
      <c r="A484" s="3073">
        <v>169</v>
      </c>
      <c r="B484" s="3074">
        <v>12</v>
      </c>
      <c r="C484" s="3079">
        <v>44528</v>
      </c>
      <c r="D484" s="3074" t="s">
        <v>3635</v>
      </c>
      <c r="E484" s="3072" t="s">
        <v>3109</v>
      </c>
      <c r="F484" s="3072" t="s">
        <v>3235</v>
      </c>
      <c r="G484" s="3464" t="s">
        <v>3623</v>
      </c>
      <c r="H484" s="3465"/>
      <c r="I484" s="3074">
        <v>5764</v>
      </c>
      <c r="J484" s="3464" t="s">
        <v>3624</v>
      </c>
      <c r="K484" s="3465"/>
    </row>
    <row r="485" spans="1:11" ht="26.25" thickBot="1">
      <c r="A485" s="3073">
        <v>170</v>
      </c>
      <c r="B485" s="3074">
        <v>12</v>
      </c>
      <c r="C485" s="3079">
        <v>44528</v>
      </c>
      <c r="D485" s="3074" t="s">
        <v>3447</v>
      </c>
      <c r="E485" s="3072" t="s">
        <v>3109</v>
      </c>
      <c r="F485" s="3072" t="s">
        <v>3235</v>
      </c>
      <c r="G485" s="3464" t="s">
        <v>3620</v>
      </c>
      <c r="H485" s="3465"/>
      <c r="I485" s="3074">
        <v>5764</v>
      </c>
      <c r="J485" s="3464" t="s">
        <v>3621</v>
      </c>
      <c r="K485" s="3465"/>
    </row>
    <row r="486" spans="1:11" ht="26.25" thickBot="1">
      <c r="A486" s="3073">
        <v>171</v>
      </c>
      <c r="B486" s="3074">
        <v>12</v>
      </c>
      <c r="C486" s="3079">
        <v>44558</v>
      </c>
      <c r="D486" s="3074" t="s">
        <v>3448</v>
      </c>
      <c r="E486" s="3072" t="s">
        <v>3109</v>
      </c>
      <c r="F486" s="3072" t="s">
        <v>3235</v>
      </c>
      <c r="G486" s="3464" t="s">
        <v>3620</v>
      </c>
      <c r="H486" s="3465"/>
      <c r="I486" s="3074">
        <v>5764</v>
      </c>
      <c r="J486" s="3464" t="s">
        <v>3613</v>
      </c>
      <c r="K486" s="3465"/>
    </row>
    <row r="487" spans="1:11" ht="26.25" thickBot="1">
      <c r="A487" s="3073">
        <v>172</v>
      </c>
      <c r="B487" s="3074">
        <v>12</v>
      </c>
      <c r="C487" s="3079">
        <v>44558</v>
      </c>
      <c r="D487" s="3074" t="s">
        <v>3449</v>
      </c>
      <c r="E487" s="3072" t="s">
        <v>3109</v>
      </c>
      <c r="F487" s="3072" t="s">
        <v>3235</v>
      </c>
      <c r="G487" s="3464" t="s">
        <v>3623</v>
      </c>
      <c r="H487" s="3465"/>
      <c r="I487" s="3074">
        <v>5764</v>
      </c>
      <c r="J487" s="3464" t="s">
        <v>3624</v>
      </c>
      <c r="K487" s="3465"/>
    </row>
    <row r="488" spans="1:11" ht="26.25" thickBot="1">
      <c r="A488" s="3073">
        <v>173</v>
      </c>
      <c r="B488" s="3074">
        <v>12</v>
      </c>
      <c r="C488" s="3079">
        <v>44558</v>
      </c>
      <c r="D488" s="3074" t="s">
        <v>3450</v>
      </c>
      <c r="E488" s="3072" t="s">
        <v>3109</v>
      </c>
      <c r="F488" s="3072" t="s">
        <v>3235</v>
      </c>
      <c r="G488" s="3464" t="s">
        <v>3625</v>
      </c>
      <c r="H488" s="3465"/>
      <c r="I488" s="3074">
        <v>5764</v>
      </c>
      <c r="J488" s="3464" t="s">
        <v>3628</v>
      </c>
      <c r="K488" s="3465"/>
    </row>
    <row r="489" spans="1:11" ht="26.25" thickBot="1">
      <c r="A489" s="3073">
        <v>174</v>
      </c>
      <c r="B489" s="3074">
        <v>12</v>
      </c>
      <c r="C489" s="3079">
        <v>44558</v>
      </c>
      <c r="D489" s="3074" t="s">
        <v>3451</v>
      </c>
      <c r="E489" s="3072" t="s">
        <v>3109</v>
      </c>
      <c r="F489" s="3072" t="s">
        <v>3235</v>
      </c>
      <c r="G489" s="3464" t="s">
        <v>3625</v>
      </c>
      <c r="H489" s="3465"/>
      <c r="I489" s="3074">
        <v>5764</v>
      </c>
      <c r="J489" s="3464" t="s">
        <v>3628</v>
      </c>
      <c r="K489" s="3465"/>
    </row>
    <row r="490" spans="1:11" ht="26.25" thickBot="1">
      <c r="A490" s="3073">
        <v>175</v>
      </c>
      <c r="B490" s="3074">
        <v>12</v>
      </c>
      <c r="C490" s="3079">
        <v>44558</v>
      </c>
      <c r="D490" s="3074" t="s">
        <v>3452</v>
      </c>
      <c r="E490" s="3072" t="s">
        <v>3109</v>
      </c>
      <c r="F490" s="3072" t="s">
        <v>3235</v>
      </c>
      <c r="G490" s="3087">
        <v>118</v>
      </c>
      <c r="H490" s="3074">
        <v>49</v>
      </c>
      <c r="I490" s="3074">
        <v>5764</v>
      </c>
      <c r="J490" s="3076"/>
      <c r="K490" s="3074" t="s">
        <v>3633</v>
      </c>
    </row>
    <row r="491" spans="1:11" ht="26.25" thickBot="1">
      <c r="A491" s="3073">
        <v>176</v>
      </c>
      <c r="B491" s="3074">
        <v>12</v>
      </c>
      <c r="C491" s="3079">
        <v>44558</v>
      </c>
      <c r="D491" s="3074" t="s">
        <v>3453</v>
      </c>
      <c r="E491" s="3072" t="s">
        <v>3109</v>
      </c>
      <c r="F491" s="3072" t="s">
        <v>3235</v>
      </c>
      <c r="G491" s="3464" t="s">
        <v>3620</v>
      </c>
      <c r="H491" s="3465"/>
      <c r="I491" s="3074">
        <v>5764</v>
      </c>
      <c r="J491" s="3464" t="s">
        <v>3621</v>
      </c>
      <c r="K491" s="3465"/>
    </row>
    <row r="492" spans="1:11" ht="26.25" thickBot="1">
      <c r="A492" s="3073">
        <v>177</v>
      </c>
      <c r="B492" s="3074">
        <v>12</v>
      </c>
      <c r="C492" s="3074" t="s">
        <v>3454</v>
      </c>
      <c r="D492" s="3074" t="s">
        <v>3455</v>
      </c>
      <c r="E492" s="3072" t="s">
        <v>3109</v>
      </c>
      <c r="F492" s="3072" t="s">
        <v>3235</v>
      </c>
      <c r="G492" s="3464" t="s">
        <v>3620</v>
      </c>
      <c r="H492" s="3465"/>
      <c r="I492" s="3074">
        <v>5764</v>
      </c>
      <c r="J492" s="3464" t="s">
        <v>3621</v>
      </c>
      <c r="K492" s="3465"/>
    </row>
    <row r="493" spans="1:11" ht="23.25" thickBot="1">
      <c r="A493" s="3073">
        <v>178</v>
      </c>
      <c r="B493" s="3074">
        <v>12</v>
      </c>
      <c r="C493" s="3074" t="s">
        <v>3454</v>
      </c>
      <c r="D493" s="3082" t="s">
        <v>3636</v>
      </c>
      <c r="E493" s="3083" t="s">
        <v>3109</v>
      </c>
      <c r="F493" s="3083" t="s">
        <v>3235</v>
      </c>
      <c r="G493" s="3464" t="s">
        <v>3623</v>
      </c>
      <c r="H493" s="3465"/>
      <c r="I493" s="3074">
        <v>5764</v>
      </c>
      <c r="J493" s="3464" t="s">
        <v>3632</v>
      </c>
      <c r="K493" s="3465"/>
    </row>
    <row r="494" spans="1:11" ht="26.25" thickBot="1">
      <c r="A494" s="3073">
        <v>179</v>
      </c>
      <c r="B494" s="3074">
        <v>12</v>
      </c>
      <c r="C494" s="3074" t="s">
        <v>3454</v>
      </c>
      <c r="D494" s="3074" t="s">
        <v>3637</v>
      </c>
      <c r="E494" s="3072" t="s">
        <v>3109</v>
      </c>
      <c r="F494" s="3072" t="s">
        <v>3235</v>
      </c>
      <c r="G494" s="3464" t="s">
        <v>3625</v>
      </c>
      <c r="H494" s="3465"/>
      <c r="I494" s="3074">
        <v>5764</v>
      </c>
      <c r="J494" s="3464" t="s">
        <v>3628</v>
      </c>
      <c r="K494" s="3465"/>
    </row>
    <row r="495" spans="1:11" ht="26.25" thickBot="1">
      <c r="A495" s="3073">
        <v>180</v>
      </c>
      <c r="B495" s="3074">
        <v>12</v>
      </c>
      <c r="C495" s="3074" t="s">
        <v>3454</v>
      </c>
      <c r="D495" s="3074" t="s">
        <v>3458</v>
      </c>
      <c r="E495" s="3072" t="s">
        <v>3109</v>
      </c>
      <c r="F495" s="3072" t="s">
        <v>3235</v>
      </c>
      <c r="G495" s="3464" t="s">
        <v>3625</v>
      </c>
      <c r="H495" s="3465"/>
      <c r="I495" s="3074">
        <v>5764</v>
      </c>
      <c r="J495" s="3464" t="s">
        <v>3628</v>
      </c>
      <c r="K495" s="3465"/>
    </row>
    <row r="496" spans="1:11" ht="26.25" thickBot="1">
      <c r="A496" s="3073">
        <v>181</v>
      </c>
      <c r="B496" s="3074">
        <v>12</v>
      </c>
      <c r="C496" s="3074" t="s">
        <v>3454</v>
      </c>
      <c r="D496" s="3074" t="s">
        <v>3459</v>
      </c>
      <c r="E496" s="3072" t="s">
        <v>3109</v>
      </c>
      <c r="F496" s="3072" t="s">
        <v>3235</v>
      </c>
      <c r="G496" s="3464" t="s">
        <v>3623</v>
      </c>
      <c r="H496" s="3465"/>
      <c r="I496" s="3074">
        <v>5764</v>
      </c>
      <c r="J496" s="3464" t="s">
        <v>3632</v>
      </c>
      <c r="K496" s="3465"/>
    </row>
    <row r="497" spans="1:11" ht="26.25" thickBot="1">
      <c r="A497" s="3073">
        <v>182</v>
      </c>
      <c r="B497" s="3074">
        <v>12</v>
      </c>
      <c r="C497" s="3074" t="s">
        <v>3454</v>
      </c>
      <c r="D497" s="3074" t="s">
        <v>3460</v>
      </c>
      <c r="E497" s="3072" t="s">
        <v>3109</v>
      </c>
      <c r="F497" s="3072" t="s">
        <v>3235</v>
      </c>
      <c r="G497" s="3464" t="s">
        <v>3620</v>
      </c>
      <c r="H497" s="3465"/>
      <c r="I497" s="3074">
        <v>5764</v>
      </c>
      <c r="J497" s="3464" t="s">
        <v>3621</v>
      </c>
      <c r="K497" s="3465"/>
    </row>
    <row r="498" spans="1:11" ht="26.25" thickBot="1">
      <c r="A498" s="3073">
        <v>183</v>
      </c>
      <c r="B498" s="3074">
        <v>12</v>
      </c>
      <c r="C498" s="3074" t="s">
        <v>3461</v>
      </c>
      <c r="D498" s="3074" t="s">
        <v>3462</v>
      </c>
      <c r="E498" s="3072" t="s">
        <v>3109</v>
      </c>
      <c r="F498" s="3072" t="s">
        <v>3235</v>
      </c>
      <c r="G498" s="3464" t="s">
        <v>3620</v>
      </c>
      <c r="H498" s="3465"/>
      <c r="I498" s="3074">
        <v>5764</v>
      </c>
      <c r="J498" s="3464" t="s">
        <v>3621</v>
      </c>
      <c r="K498" s="3465"/>
    </row>
    <row r="499" spans="1:11" ht="26.25" thickBot="1">
      <c r="A499" s="3073">
        <v>184</v>
      </c>
      <c r="B499" s="3074">
        <v>12</v>
      </c>
      <c r="C499" s="3074" t="s">
        <v>3461</v>
      </c>
      <c r="D499" s="3074" t="s">
        <v>3463</v>
      </c>
      <c r="E499" s="3072" t="s">
        <v>3109</v>
      </c>
      <c r="F499" s="3072" t="s">
        <v>3235</v>
      </c>
      <c r="G499" s="3464" t="s">
        <v>3623</v>
      </c>
      <c r="H499" s="3465"/>
      <c r="I499" s="3074">
        <v>5764</v>
      </c>
      <c r="J499" s="3464" t="s">
        <v>3624</v>
      </c>
      <c r="K499" s="3465"/>
    </row>
    <row r="500" spans="1:11" ht="26.25" thickBot="1">
      <c r="A500" s="3073">
        <v>185</v>
      </c>
      <c r="B500" s="3074">
        <v>12</v>
      </c>
      <c r="C500" s="3074" t="s">
        <v>3461</v>
      </c>
      <c r="D500" s="3074" t="s">
        <v>3464</v>
      </c>
      <c r="E500" s="3072" t="s">
        <v>3109</v>
      </c>
      <c r="F500" s="3072" t="s">
        <v>3235</v>
      </c>
      <c r="G500" s="3464" t="s">
        <v>3625</v>
      </c>
      <c r="H500" s="3465"/>
      <c r="I500" s="3074">
        <v>5764</v>
      </c>
      <c r="J500" s="3464" t="s">
        <v>3626</v>
      </c>
      <c r="K500" s="3465"/>
    </row>
    <row r="501" spans="1:11" ht="26.25" thickBot="1">
      <c r="A501" s="3073">
        <v>186</v>
      </c>
      <c r="B501" s="3074">
        <v>12</v>
      </c>
      <c r="C501" s="3074" t="s">
        <v>3461</v>
      </c>
      <c r="D501" s="3074" t="s">
        <v>3465</v>
      </c>
      <c r="E501" s="3072" t="s">
        <v>3109</v>
      </c>
      <c r="F501" s="3072" t="s">
        <v>3235</v>
      </c>
      <c r="G501" s="3464" t="s">
        <v>3625</v>
      </c>
      <c r="H501" s="3465"/>
      <c r="I501" s="3074">
        <v>5764</v>
      </c>
      <c r="J501" s="3464" t="s">
        <v>3628</v>
      </c>
      <c r="K501" s="3465"/>
    </row>
    <row r="502" spans="1:11" ht="26.25" thickBot="1">
      <c r="A502" s="3073">
        <v>187</v>
      </c>
      <c r="B502" s="3074">
        <v>12</v>
      </c>
      <c r="C502" s="3074" t="s">
        <v>3461</v>
      </c>
      <c r="D502" s="3074" t="s">
        <v>3466</v>
      </c>
      <c r="E502" s="3072" t="s">
        <v>3109</v>
      </c>
      <c r="F502" s="3072" t="s">
        <v>3235</v>
      </c>
      <c r="G502" s="3464" t="s">
        <v>3623</v>
      </c>
      <c r="H502" s="3465"/>
      <c r="I502" s="3074">
        <v>5764</v>
      </c>
      <c r="J502" s="3464" t="s">
        <v>3624</v>
      </c>
      <c r="K502" s="3465"/>
    </row>
    <row r="503" spans="1:11" ht="26.25" thickBot="1">
      <c r="A503" s="3073">
        <v>188</v>
      </c>
      <c r="B503" s="3074">
        <v>12</v>
      </c>
      <c r="C503" s="3074" t="s">
        <v>3461</v>
      </c>
      <c r="D503" s="3074" t="s">
        <v>3467</v>
      </c>
      <c r="E503" s="3072" t="s">
        <v>3109</v>
      </c>
      <c r="F503" s="3072" t="s">
        <v>3235</v>
      </c>
      <c r="G503" s="3464" t="s">
        <v>3620</v>
      </c>
      <c r="H503" s="3465"/>
      <c r="I503" s="3074">
        <v>5764</v>
      </c>
      <c r="J503" s="3464" t="s">
        <v>3613</v>
      </c>
      <c r="K503" s="3465"/>
    </row>
    <row r="504" spans="1:11" ht="26.25" thickBot="1">
      <c r="A504" s="3073">
        <v>189</v>
      </c>
      <c r="B504" s="3074">
        <v>12</v>
      </c>
      <c r="C504" s="3074" t="s">
        <v>3468</v>
      </c>
      <c r="D504" s="3074" t="s">
        <v>3469</v>
      </c>
      <c r="E504" s="3072" t="s">
        <v>3109</v>
      </c>
      <c r="F504" s="3072" t="s">
        <v>3235</v>
      </c>
      <c r="G504" s="3464" t="s">
        <v>3620</v>
      </c>
      <c r="H504" s="3465"/>
      <c r="I504" s="3074">
        <v>5764</v>
      </c>
      <c r="J504" s="3464" t="s">
        <v>3621</v>
      </c>
      <c r="K504" s="3465"/>
    </row>
    <row r="505" spans="1:11" ht="26.25" thickBot="1">
      <c r="A505" s="3073">
        <v>190</v>
      </c>
      <c r="B505" s="3074">
        <v>12</v>
      </c>
      <c r="C505" s="3074" t="s">
        <v>3468</v>
      </c>
      <c r="D505" s="3074" t="s">
        <v>3470</v>
      </c>
      <c r="E505" s="3072" t="s">
        <v>3109</v>
      </c>
      <c r="F505" s="3072" t="s">
        <v>3235</v>
      </c>
      <c r="G505" s="3464" t="s">
        <v>3623</v>
      </c>
      <c r="H505" s="3465"/>
      <c r="I505" s="3074">
        <v>5764</v>
      </c>
      <c r="J505" s="3464" t="s">
        <v>3624</v>
      </c>
      <c r="K505" s="3465"/>
    </row>
    <row r="506" spans="1:11" ht="26.25" thickBot="1">
      <c r="A506" s="3073">
        <v>191</v>
      </c>
      <c r="B506" s="3074">
        <v>12</v>
      </c>
      <c r="C506" s="3074" t="s">
        <v>3468</v>
      </c>
      <c r="D506" s="3074" t="s">
        <v>3471</v>
      </c>
      <c r="E506" s="3072" t="s">
        <v>3109</v>
      </c>
      <c r="F506" s="3072" t="s">
        <v>3235</v>
      </c>
      <c r="G506" s="3464" t="s">
        <v>3625</v>
      </c>
      <c r="H506" s="3465"/>
      <c r="I506" s="3074">
        <v>5764</v>
      </c>
      <c r="J506" s="3464" t="s">
        <v>3628</v>
      </c>
      <c r="K506" s="3465"/>
    </row>
    <row r="507" spans="1:11" ht="26.25" thickBot="1">
      <c r="A507" s="3073">
        <v>192</v>
      </c>
      <c r="B507" s="3074">
        <v>12</v>
      </c>
      <c r="C507" s="3074" t="s">
        <v>3468</v>
      </c>
      <c r="D507" s="3074" t="s">
        <v>3472</v>
      </c>
      <c r="E507" s="3072" t="s">
        <v>3109</v>
      </c>
      <c r="F507" s="3072" t="s">
        <v>3235</v>
      </c>
      <c r="G507" s="3087">
        <v>133</v>
      </c>
      <c r="H507" s="3074">
        <v>49</v>
      </c>
      <c r="I507" s="3074">
        <v>5764</v>
      </c>
      <c r="J507" s="3076"/>
      <c r="K507" s="3074" t="s">
        <v>3629</v>
      </c>
    </row>
    <row r="508" spans="1:11" ht="26.25" thickBot="1">
      <c r="A508" s="3073">
        <v>193</v>
      </c>
      <c r="B508" s="3074">
        <v>12</v>
      </c>
      <c r="C508" s="3074" t="s">
        <v>3468</v>
      </c>
      <c r="D508" s="3074" t="s">
        <v>3473</v>
      </c>
      <c r="E508" s="3072" t="s">
        <v>3109</v>
      </c>
      <c r="F508" s="3072" t="s">
        <v>3235</v>
      </c>
      <c r="G508" s="3464" t="s">
        <v>3623</v>
      </c>
      <c r="H508" s="3465"/>
      <c r="I508" s="3074">
        <v>5764</v>
      </c>
      <c r="J508" s="3464" t="s">
        <v>3624</v>
      </c>
      <c r="K508" s="3465"/>
    </row>
    <row r="509" spans="1:11" ht="26.25" thickBot="1">
      <c r="A509" s="3073">
        <v>194</v>
      </c>
      <c r="B509" s="3074">
        <v>12</v>
      </c>
      <c r="C509" s="3074" t="s">
        <v>3468</v>
      </c>
      <c r="D509" s="3074" t="s">
        <v>3474</v>
      </c>
      <c r="E509" s="3072" t="s">
        <v>3109</v>
      </c>
      <c r="F509" s="3072" t="s">
        <v>3235</v>
      </c>
      <c r="G509" s="3464" t="s">
        <v>3620</v>
      </c>
      <c r="H509" s="3465"/>
      <c r="I509" s="3074">
        <v>5764</v>
      </c>
      <c r="J509" s="3464" t="s">
        <v>3621</v>
      </c>
      <c r="K509" s="3465"/>
    </row>
    <row r="510" spans="1:11" ht="26.25" thickBot="1">
      <c r="A510" s="3073">
        <v>195</v>
      </c>
      <c r="B510" s="3074">
        <v>12</v>
      </c>
      <c r="C510" s="3074" t="s">
        <v>3475</v>
      </c>
      <c r="D510" s="3074" t="s">
        <v>3476</v>
      </c>
      <c r="E510" s="3072" t="s">
        <v>3109</v>
      </c>
      <c r="F510" s="3072" t="s">
        <v>3235</v>
      </c>
      <c r="G510" s="3464" t="s">
        <v>3620</v>
      </c>
      <c r="H510" s="3465"/>
      <c r="I510" s="3074">
        <v>5764</v>
      </c>
      <c r="J510" s="3464" t="s">
        <v>3613</v>
      </c>
      <c r="K510" s="3465"/>
    </row>
    <row r="511" spans="1:11" ht="26.25" thickBot="1">
      <c r="A511" s="3073">
        <v>196</v>
      </c>
      <c r="B511" s="3074">
        <v>12</v>
      </c>
      <c r="C511" s="3074" t="s">
        <v>3475</v>
      </c>
      <c r="D511" s="3074" t="s">
        <v>3477</v>
      </c>
      <c r="E511" s="3072" t="s">
        <v>3109</v>
      </c>
      <c r="F511" s="3072" t="s">
        <v>3235</v>
      </c>
      <c r="G511" s="3464" t="s">
        <v>3623</v>
      </c>
      <c r="H511" s="3465"/>
      <c r="I511" s="3074">
        <v>5764</v>
      </c>
      <c r="J511" s="3464" t="s">
        <v>3624</v>
      </c>
      <c r="K511" s="3465"/>
    </row>
    <row r="512" spans="1:11" ht="26.25" thickBot="1">
      <c r="A512" s="3073">
        <v>197</v>
      </c>
      <c r="B512" s="3074">
        <v>12</v>
      </c>
      <c r="C512" s="3074" t="s">
        <v>3475</v>
      </c>
      <c r="D512" s="3074" t="s">
        <v>3478</v>
      </c>
      <c r="E512" s="3072" t="s">
        <v>3109</v>
      </c>
      <c r="F512" s="3072" t="s">
        <v>3235</v>
      </c>
      <c r="G512" s="3464" t="s">
        <v>3625</v>
      </c>
      <c r="H512" s="3465"/>
      <c r="I512" s="3074">
        <v>5764</v>
      </c>
      <c r="J512" s="3464" t="s">
        <v>3628</v>
      </c>
      <c r="K512" s="3465"/>
    </row>
    <row r="513" spans="1:11" ht="26.25" thickBot="1">
      <c r="A513" s="3073">
        <v>198</v>
      </c>
      <c r="B513" s="3074">
        <v>12</v>
      </c>
      <c r="C513" s="3074" t="s">
        <v>3475</v>
      </c>
      <c r="D513" s="3074" t="s">
        <v>3479</v>
      </c>
      <c r="E513" s="3072" t="s">
        <v>3109</v>
      </c>
      <c r="F513" s="3072" t="s">
        <v>3235</v>
      </c>
      <c r="G513" s="3464" t="s">
        <v>3625</v>
      </c>
      <c r="H513" s="3465"/>
      <c r="I513" s="3074">
        <v>5764</v>
      </c>
      <c r="J513" s="3464" t="s">
        <v>3626</v>
      </c>
      <c r="K513" s="3465"/>
    </row>
    <row r="514" spans="1:11" ht="26.25" thickBot="1">
      <c r="A514" s="3073">
        <v>199</v>
      </c>
      <c r="B514" s="3074">
        <v>12</v>
      </c>
      <c r="C514" s="3074" t="s">
        <v>3475</v>
      </c>
      <c r="D514" s="3074" t="s">
        <v>3480</v>
      </c>
      <c r="E514" s="3072" t="s">
        <v>3109</v>
      </c>
      <c r="F514" s="3072" t="s">
        <v>3235</v>
      </c>
      <c r="G514" s="3464" t="s">
        <v>3623</v>
      </c>
      <c r="H514" s="3465"/>
      <c r="I514" s="3074">
        <v>5764</v>
      </c>
      <c r="J514" s="3464" t="s">
        <v>3624</v>
      </c>
      <c r="K514" s="3465"/>
    </row>
    <row r="515" spans="1:11" ht="26.25" thickBot="1">
      <c r="A515" s="3073">
        <v>200</v>
      </c>
      <c r="B515" s="3074">
        <v>12</v>
      </c>
      <c r="C515" s="3074" t="s">
        <v>3475</v>
      </c>
      <c r="D515" s="3074" t="s">
        <v>3481</v>
      </c>
      <c r="E515" s="3072" t="s">
        <v>3109</v>
      </c>
      <c r="F515" s="3072" t="s">
        <v>3235</v>
      </c>
      <c r="G515" s="3464" t="s">
        <v>3620</v>
      </c>
      <c r="H515" s="3465"/>
      <c r="I515" s="3074">
        <v>5764</v>
      </c>
      <c r="J515" s="3464" t="s">
        <v>3621</v>
      </c>
      <c r="K515" s="3465"/>
    </row>
    <row r="516" spans="1:11" ht="26.25" thickBot="1">
      <c r="A516" s="3073">
        <v>201</v>
      </c>
      <c r="B516" s="3074">
        <v>12</v>
      </c>
      <c r="C516" s="3074" t="s">
        <v>3482</v>
      </c>
      <c r="D516" s="3074" t="s">
        <v>3483</v>
      </c>
      <c r="E516" s="3072" t="s">
        <v>3109</v>
      </c>
      <c r="F516" s="3072" t="s">
        <v>3235</v>
      </c>
      <c r="G516" s="3464" t="s">
        <v>3620</v>
      </c>
      <c r="H516" s="3465"/>
      <c r="I516" s="3074">
        <v>5764</v>
      </c>
      <c r="J516" s="3464" t="s">
        <v>3621</v>
      </c>
      <c r="K516" s="3465"/>
    </row>
    <row r="517" spans="1:11" ht="26.25" thickBot="1">
      <c r="A517" s="3073">
        <v>202</v>
      </c>
      <c r="B517" s="3074">
        <v>12</v>
      </c>
      <c r="C517" s="3074" t="s">
        <v>3482</v>
      </c>
      <c r="D517" s="3074" t="s">
        <v>3484</v>
      </c>
      <c r="E517" s="3072" t="s">
        <v>3109</v>
      </c>
      <c r="F517" s="3072" t="s">
        <v>3235</v>
      </c>
      <c r="G517" s="3087">
        <v>118</v>
      </c>
      <c r="H517" s="3074">
        <v>49</v>
      </c>
      <c r="I517" s="3074">
        <v>5764</v>
      </c>
      <c r="J517" s="3076"/>
      <c r="K517" s="3074" t="s">
        <v>3633</v>
      </c>
    </row>
    <row r="518" spans="1:11" ht="26.25" thickBot="1">
      <c r="A518" s="3073">
        <v>203</v>
      </c>
      <c r="B518" s="3074">
        <v>12</v>
      </c>
      <c r="C518" s="3074" t="s">
        <v>3482</v>
      </c>
      <c r="D518" s="3074" t="s">
        <v>3485</v>
      </c>
      <c r="E518" s="3072" t="s">
        <v>3109</v>
      </c>
      <c r="F518" s="3072" t="s">
        <v>3235</v>
      </c>
      <c r="G518" s="3464" t="s">
        <v>3625</v>
      </c>
      <c r="H518" s="3465"/>
      <c r="I518" s="3074">
        <v>5764</v>
      </c>
      <c r="J518" s="3464" t="s">
        <v>3628</v>
      </c>
      <c r="K518" s="3465"/>
    </row>
    <row r="519" spans="1:11" ht="26.25" thickBot="1">
      <c r="A519" s="3073">
        <v>204</v>
      </c>
      <c r="B519" s="3074">
        <v>12</v>
      </c>
      <c r="C519" s="3074" t="s">
        <v>3482</v>
      </c>
      <c r="D519" s="3074" t="s">
        <v>3486</v>
      </c>
      <c r="E519" s="3072" t="s">
        <v>3109</v>
      </c>
      <c r="F519" s="3072" t="s">
        <v>3235</v>
      </c>
      <c r="G519" s="3464" t="s">
        <v>3625</v>
      </c>
      <c r="H519" s="3465"/>
      <c r="I519" s="3074">
        <v>5764</v>
      </c>
      <c r="J519" s="3464" t="s">
        <v>3628</v>
      </c>
      <c r="K519" s="3465"/>
    </row>
    <row r="520" spans="1:11" ht="26.25" thickBot="1">
      <c r="A520" s="3073">
        <v>205</v>
      </c>
      <c r="B520" s="3074">
        <v>12</v>
      </c>
      <c r="C520" s="3074" t="s">
        <v>3482</v>
      </c>
      <c r="D520" s="3074" t="s">
        <v>3487</v>
      </c>
      <c r="E520" s="3072" t="s">
        <v>3109</v>
      </c>
      <c r="F520" s="3072" t="s">
        <v>3235</v>
      </c>
      <c r="G520" s="3464" t="s">
        <v>3623</v>
      </c>
      <c r="H520" s="3465"/>
      <c r="I520" s="3074">
        <v>5764</v>
      </c>
      <c r="J520" s="3464" t="s">
        <v>3632</v>
      </c>
      <c r="K520" s="3465"/>
    </row>
    <row r="521" spans="1:11" ht="26.25" thickBot="1">
      <c r="A521" s="3073">
        <v>206</v>
      </c>
      <c r="B521" s="3074">
        <v>12</v>
      </c>
      <c r="C521" s="3074" t="s">
        <v>3482</v>
      </c>
      <c r="D521" s="3074" t="s">
        <v>3488</v>
      </c>
      <c r="E521" s="3072" t="s">
        <v>3109</v>
      </c>
      <c r="F521" s="3072" t="s">
        <v>3235</v>
      </c>
      <c r="G521" s="3464" t="s">
        <v>3620</v>
      </c>
      <c r="H521" s="3465"/>
      <c r="I521" s="3074">
        <v>5764</v>
      </c>
      <c r="J521" s="3464" t="s">
        <v>3621</v>
      </c>
      <c r="K521" s="3465"/>
    </row>
    <row r="522" spans="1:11" ht="26.25" thickBot="1">
      <c r="A522" s="3073">
        <v>207</v>
      </c>
      <c r="B522" s="3074">
        <v>12</v>
      </c>
      <c r="C522" s="3074" t="s">
        <v>3489</v>
      </c>
      <c r="D522" s="3074" t="s">
        <v>3490</v>
      </c>
      <c r="E522" s="3072" t="s">
        <v>3109</v>
      </c>
      <c r="F522" s="3072" t="s">
        <v>3235</v>
      </c>
      <c r="G522" s="3464" t="s">
        <v>3620</v>
      </c>
      <c r="H522" s="3465"/>
      <c r="I522" s="3074">
        <v>5764</v>
      </c>
      <c r="J522" s="3464" t="s">
        <v>3621</v>
      </c>
      <c r="K522" s="3465"/>
    </row>
    <row r="523" spans="1:11" ht="26.25" thickBot="1">
      <c r="A523" s="3073">
        <v>208</v>
      </c>
      <c r="B523" s="3074">
        <v>12</v>
      </c>
      <c r="C523" s="3074" t="s">
        <v>3489</v>
      </c>
      <c r="D523" s="3074" t="s">
        <v>3491</v>
      </c>
      <c r="E523" s="3072" t="s">
        <v>3109</v>
      </c>
      <c r="F523" s="3072" t="s">
        <v>3235</v>
      </c>
      <c r="G523" s="3464" t="s">
        <v>3623</v>
      </c>
      <c r="H523" s="3465"/>
      <c r="I523" s="3074">
        <v>5764</v>
      </c>
      <c r="J523" s="3464" t="s">
        <v>3624</v>
      </c>
      <c r="K523" s="3465"/>
    </row>
    <row r="524" spans="1:11" ht="26.25" thickBot="1">
      <c r="A524" s="3073">
        <v>209</v>
      </c>
      <c r="B524" s="3074">
        <v>12</v>
      </c>
      <c r="C524" s="3074" t="s">
        <v>3489</v>
      </c>
      <c r="D524" s="3074" t="s">
        <v>3492</v>
      </c>
      <c r="E524" s="3072" t="s">
        <v>3109</v>
      </c>
      <c r="F524" s="3072" t="s">
        <v>3235</v>
      </c>
      <c r="G524" s="3087">
        <v>133</v>
      </c>
      <c r="H524" s="3074">
        <v>49</v>
      </c>
      <c r="I524" s="3074">
        <v>5764</v>
      </c>
      <c r="J524" s="3076"/>
      <c r="K524" s="3074" t="s">
        <v>3629</v>
      </c>
    </row>
    <row r="525" spans="1:11" ht="26.25" thickBot="1">
      <c r="A525" s="3073">
        <v>210</v>
      </c>
      <c r="B525" s="3074">
        <v>12</v>
      </c>
      <c r="C525" s="3074" t="s">
        <v>3489</v>
      </c>
      <c r="D525" s="3074" t="s">
        <v>3493</v>
      </c>
      <c r="E525" s="3072" t="s">
        <v>3109</v>
      </c>
      <c r="F525" s="3072" t="s">
        <v>3235</v>
      </c>
      <c r="G525" s="3464" t="s">
        <v>3625</v>
      </c>
      <c r="H525" s="3465"/>
      <c r="I525" s="3074">
        <v>5764</v>
      </c>
      <c r="J525" s="3464" t="s">
        <v>3628</v>
      </c>
      <c r="K525" s="3465"/>
    </row>
    <row r="526" spans="1:11" ht="26.25" thickBot="1">
      <c r="A526" s="3073">
        <v>211</v>
      </c>
      <c r="B526" s="3074">
        <v>12</v>
      </c>
      <c r="C526" s="3074" t="s">
        <v>3489</v>
      </c>
      <c r="D526" s="3074" t="s">
        <v>3494</v>
      </c>
      <c r="E526" s="3072" t="s">
        <v>3109</v>
      </c>
      <c r="F526" s="3072" t="s">
        <v>3235</v>
      </c>
      <c r="G526" s="3464" t="s">
        <v>3623</v>
      </c>
      <c r="H526" s="3465"/>
      <c r="I526" s="3074">
        <v>5764</v>
      </c>
      <c r="J526" s="3464" t="s">
        <v>3624</v>
      </c>
      <c r="K526" s="3465"/>
    </row>
    <row r="527" spans="1:11" ht="26.25" thickBot="1">
      <c r="A527" s="3073">
        <v>212</v>
      </c>
      <c r="B527" s="3074">
        <v>12</v>
      </c>
      <c r="C527" s="3074" t="s">
        <v>3489</v>
      </c>
      <c r="D527" s="3074" t="s">
        <v>3495</v>
      </c>
      <c r="E527" s="3072" t="s">
        <v>3109</v>
      </c>
      <c r="F527" s="3072" t="s">
        <v>3235</v>
      </c>
      <c r="G527" s="3464" t="s">
        <v>3620</v>
      </c>
      <c r="H527" s="3465"/>
      <c r="I527" s="3074">
        <v>5764</v>
      </c>
      <c r="J527" s="3464" t="s">
        <v>3613</v>
      </c>
      <c r="K527" s="3465"/>
    </row>
    <row r="528" spans="1:11" ht="26.25" thickBot="1">
      <c r="A528" s="3073">
        <v>213</v>
      </c>
      <c r="B528" s="3074">
        <v>12</v>
      </c>
      <c r="C528" s="3074" t="s">
        <v>3496</v>
      </c>
      <c r="D528" s="3074" t="s">
        <v>3497</v>
      </c>
      <c r="E528" s="3072" t="s">
        <v>3109</v>
      </c>
      <c r="F528" s="3072" t="s">
        <v>3235</v>
      </c>
      <c r="G528" s="3464" t="s">
        <v>3620</v>
      </c>
      <c r="H528" s="3465"/>
      <c r="I528" s="3074">
        <v>5764</v>
      </c>
      <c r="J528" s="3464" t="s">
        <v>3621</v>
      </c>
      <c r="K528" s="3465"/>
    </row>
    <row r="529" spans="1:11" ht="26.25" thickBot="1">
      <c r="A529" s="3073">
        <v>214</v>
      </c>
      <c r="B529" s="3074">
        <v>12</v>
      </c>
      <c r="C529" s="3074" t="s">
        <v>3496</v>
      </c>
      <c r="D529" s="3074" t="s">
        <v>3498</v>
      </c>
      <c r="E529" s="3072" t="s">
        <v>3109</v>
      </c>
      <c r="F529" s="3072" t="s">
        <v>3235</v>
      </c>
      <c r="G529" s="3464" t="s">
        <v>3623</v>
      </c>
      <c r="H529" s="3465"/>
      <c r="I529" s="3074">
        <v>5764</v>
      </c>
      <c r="J529" s="3464" t="s">
        <v>3624</v>
      </c>
      <c r="K529" s="3465"/>
    </row>
    <row r="530" spans="1:11" ht="26.25" thickBot="1">
      <c r="A530" s="3073">
        <v>215</v>
      </c>
      <c r="B530" s="3074">
        <v>12</v>
      </c>
      <c r="C530" s="3074" t="s">
        <v>3496</v>
      </c>
      <c r="D530" s="3074" t="s">
        <v>3499</v>
      </c>
      <c r="E530" s="3072" t="s">
        <v>3109</v>
      </c>
      <c r="F530" s="3072" t="s">
        <v>3235</v>
      </c>
      <c r="G530" s="3464" t="s">
        <v>3625</v>
      </c>
      <c r="H530" s="3465"/>
      <c r="I530" s="3074">
        <v>5764</v>
      </c>
      <c r="J530" s="3464" t="s">
        <v>3626</v>
      </c>
      <c r="K530" s="3465"/>
    </row>
    <row r="531" spans="1:11" ht="26.25" thickBot="1">
      <c r="A531" s="3073">
        <v>216</v>
      </c>
      <c r="B531" s="3074">
        <v>12</v>
      </c>
      <c r="C531" s="3074" t="s">
        <v>3496</v>
      </c>
      <c r="D531" s="3074" t="s">
        <v>3500</v>
      </c>
      <c r="E531" s="3072" t="s">
        <v>3109</v>
      </c>
      <c r="F531" s="3072" t="s">
        <v>3235</v>
      </c>
      <c r="G531" s="3464" t="s">
        <v>3625</v>
      </c>
      <c r="H531" s="3465"/>
      <c r="I531" s="3074">
        <v>5764</v>
      </c>
      <c r="J531" s="3464" t="s">
        <v>3628</v>
      </c>
      <c r="K531" s="3465"/>
    </row>
    <row r="532" spans="1:11" ht="26.25" thickBot="1">
      <c r="A532" s="3073">
        <v>217</v>
      </c>
      <c r="B532" s="3074">
        <v>12</v>
      </c>
      <c r="C532" s="3074" t="s">
        <v>3496</v>
      </c>
      <c r="D532" s="3074" t="s">
        <v>3501</v>
      </c>
      <c r="E532" s="3072" t="s">
        <v>3109</v>
      </c>
      <c r="F532" s="3072" t="s">
        <v>3235</v>
      </c>
      <c r="G532" s="3464" t="s">
        <v>3623</v>
      </c>
      <c r="H532" s="3465"/>
      <c r="I532" s="3074">
        <v>5764</v>
      </c>
      <c r="J532" s="3464" t="s">
        <v>3624</v>
      </c>
      <c r="K532" s="3465"/>
    </row>
    <row r="533" spans="1:11" ht="26.25" thickBot="1">
      <c r="A533" s="3073">
        <v>218</v>
      </c>
      <c r="B533" s="3074">
        <v>12</v>
      </c>
      <c r="C533" s="3074" t="s">
        <v>3496</v>
      </c>
      <c r="D533" s="3074" t="s">
        <v>3502</v>
      </c>
      <c r="E533" s="3072" t="s">
        <v>3109</v>
      </c>
      <c r="F533" s="3072" t="s">
        <v>3235</v>
      </c>
      <c r="G533" s="3464" t="s">
        <v>3620</v>
      </c>
      <c r="H533" s="3465"/>
      <c r="I533" s="3074">
        <v>5764</v>
      </c>
      <c r="J533" s="3464" t="s">
        <v>3621</v>
      </c>
      <c r="K533" s="3465"/>
    </row>
    <row r="534" spans="1:11">
      <c r="A534" s="3070"/>
    </row>
    <row r="536" spans="1:11" ht="14.25" thickBot="1">
      <c r="A536" s="3078"/>
    </row>
    <row r="537" spans="1:11">
      <c r="A537" s="3458" t="s">
        <v>3223</v>
      </c>
      <c r="B537" s="3458" t="s">
        <v>3224</v>
      </c>
      <c r="C537" s="3071" t="s">
        <v>3225</v>
      </c>
      <c r="D537" s="3458" t="s">
        <v>3227</v>
      </c>
      <c r="E537" s="3458" t="s">
        <v>1341</v>
      </c>
      <c r="F537" s="3458" t="s">
        <v>3228</v>
      </c>
      <c r="G537" s="3460" t="s">
        <v>3229</v>
      </c>
      <c r="H537" s="3461"/>
      <c r="I537" s="3458" t="s">
        <v>3231</v>
      </c>
      <c r="J537" s="3460" t="s">
        <v>3232</v>
      </c>
      <c r="K537" s="3461"/>
    </row>
    <row r="538" spans="1:11" ht="14.25" thickBot="1">
      <c r="A538" s="3459"/>
      <c r="B538" s="3459"/>
      <c r="C538" s="3072" t="s">
        <v>3226</v>
      </c>
      <c r="D538" s="3459"/>
      <c r="E538" s="3459"/>
      <c r="F538" s="3459"/>
      <c r="G538" s="3462" t="s">
        <v>3230</v>
      </c>
      <c r="H538" s="3463"/>
      <c r="I538" s="3459"/>
      <c r="J538" s="3462"/>
      <c r="K538" s="3463"/>
    </row>
    <row r="539" spans="1:11" ht="26.25" thickBot="1">
      <c r="A539" s="3073">
        <v>219</v>
      </c>
      <c r="B539" s="3074">
        <v>12</v>
      </c>
      <c r="C539" s="3074" t="s">
        <v>3503</v>
      </c>
      <c r="D539" s="3074" t="s">
        <v>3504</v>
      </c>
      <c r="E539" s="3072" t="s">
        <v>3109</v>
      </c>
      <c r="F539" s="3072" t="s">
        <v>3235</v>
      </c>
      <c r="G539" s="3464" t="s">
        <v>3620</v>
      </c>
      <c r="H539" s="3465"/>
      <c r="I539" s="3074">
        <v>5764</v>
      </c>
      <c r="J539" s="3464" t="s">
        <v>3621</v>
      </c>
      <c r="K539" s="3465"/>
    </row>
    <row r="540" spans="1:11" ht="26.25" thickBot="1">
      <c r="A540" s="3073">
        <v>220</v>
      </c>
      <c r="B540" s="3074">
        <v>12</v>
      </c>
      <c r="C540" s="3074" t="s">
        <v>3503</v>
      </c>
      <c r="D540" s="3074" t="s">
        <v>3505</v>
      </c>
      <c r="E540" s="3072" t="s">
        <v>3109</v>
      </c>
      <c r="F540" s="3072" t="s">
        <v>3235</v>
      </c>
      <c r="G540" s="3087">
        <v>118</v>
      </c>
      <c r="H540" s="3074">
        <v>49</v>
      </c>
      <c r="I540" s="3074">
        <v>5764</v>
      </c>
      <c r="J540" s="3076"/>
      <c r="K540" s="3074" t="s">
        <v>3633</v>
      </c>
    </row>
    <row r="541" spans="1:11" ht="26.25" thickBot="1">
      <c r="A541" s="3073">
        <v>221</v>
      </c>
      <c r="B541" s="3074">
        <v>12</v>
      </c>
      <c r="C541" s="3074" t="s">
        <v>3503</v>
      </c>
      <c r="D541" s="3074" t="s">
        <v>3506</v>
      </c>
      <c r="E541" s="3072" t="s">
        <v>3109</v>
      </c>
      <c r="F541" s="3072" t="s">
        <v>3235</v>
      </c>
      <c r="G541" s="3464" t="s">
        <v>3625</v>
      </c>
      <c r="H541" s="3465"/>
      <c r="I541" s="3074">
        <v>5764</v>
      </c>
      <c r="J541" s="3464" t="s">
        <v>3628</v>
      </c>
      <c r="K541" s="3465"/>
    </row>
    <row r="542" spans="1:11" ht="23.25" thickBot="1">
      <c r="A542" s="3073">
        <v>222</v>
      </c>
      <c r="B542" s="3074">
        <v>12</v>
      </c>
      <c r="C542" s="3074" t="s">
        <v>3503</v>
      </c>
      <c r="D542" s="3082" t="s">
        <v>3638</v>
      </c>
      <c r="E542" s="3083" t="s">
        <v>3109</v>
      </c>
      <c r="F542" s="3083" t="s">
        <v>3235</v>
      </c>
      <c r="G542" s="3464" t="s">
        <v>3625</v>
      </c>
      <c r="H542" s="3465"/>
      <c r="I542" s="3074">
        <v>5764</v>
      </c>
      <c r="J542" s="3464" t="s">
        <v>3628</v>
      </c>
      <c r="K542" s="3465"/>
    </row>
    <row r="543" spans="1:11" ht="23.25" thickBot="1">
      <c r="A543" s="3073">
        <v>223</v>
      </c>
      <c r="B543" s="3074">
        <v>12</v>
      </c>
      <c r="C543" s="3074" t="s">
        <v>3503</v>
      </c>
      <c r="D543" s="3082" t="s">
        <v>3508</v>
      </c>
      <c r="E543" s="3083" t="s">
        <v>3109</v>
      </c>
      <c r="F543" s="3083" t="s">
        <v>3235</v>
      </c>
      <c r="G543" s="3464" t="s">
        <v>3623</v>
      </c>
      <c r="H543" s="3465"/>
      <c r="I543" s="3074">
        <v>5764</v>
      </c>
      <c r="J543" s="3464" t="s">
        <v>3632</v>
      </c>
      <c r="K543" s="3465"/>
    </row>
    <row r="544" spans="1:11" ht="26.25" thickBot="1">
      <c r="A544" s="3073">
        <v>224</v>
      </c>
      <c r="B544" s="3074">
        <v>12</v>
      </c>
      <c r="C544" s="3074" t="s">
        <v>3503</v>
      </c>
      <c r="D544" s="3074" t="s">
        <v>3639</v>
      </c>
      <c r="E544" s="3072" t="s">
        <v>3109</v>
      </c>
      <c r="F544" s="3072" t="s">
        <v>3235</v>
      </c>
      <c r="G544" s="3464" t="s">
        <v>3620</v>
      </c>
      <c r="H544" s="3465"/>
      <c r="I544" s="3074">
        <v>5764</v>
      </c>
      <c r="J544" s="3464" t="s">
        <v>3621</v>
      </c>
      <c r="K544" s="3465"/>
    </row>
    <row r="545" spans="1:11" ht="26.25" thickBot="1">
      <c r="A545" s="3073">
        <v>225</v>
      </c>
      <c r="B545" s="3074">
        <v>12</v>
      </c>
      <c r="C545" s="3074" t="s">
        <v>3510</v>
      </c>
      <c r="D545" s="3074" t="s">
        <v>3511</v>
      </c>
      <c r="E545" s="3072" t="s">
        <v>3109</v>
      </c>
      <c r="F545" s="3072" t="s">
        <v>3235</v>
      </c>
      <c r="G545" s="3464" t="s">
        <v>3620</v>
      </c>
      <c r="H545" s="3465"/>
      <c r="I545" s="3074">
        <v>5764</v>
      </c>
      <c r="J545" s="3464" t="s">
        <v>3621</v>
      </c>
      <c r="K545" s="3465"/>
    </row>
    <row r="546" spans="1:11" ht="26.25" thickBot="1">
      <c r="A546" s="3073">
        <v>226</v>
      </c>
      <c r="B546" s="3074">
        <v>12</v>
      </c>
      <c r="C546" s="3074" t="s">
        <v>3510</v>
      </c>
      <c r="D546" s="3074" t="s">
        <v>3512</v>
      </c>
      <c r="E546" s="3072" t="s">
        <v>3109</v>
      </c>
      <c r="F546" s="3072" t="s">
        <v>3235</v>
      </c>
      <c r="G546" s="3464" t="s">
        <v>3623</v>
      </c>
      <c r="H546" s="3465"/>
      <c r="I546" s="3074">
        <v>5764</v>
      </c>
      <c r="J546" s="3464" t="s">
        <v>3632</v>
      </c>
      <c r="K546" s="3465"/>
    </row>
    <row r="547" spans="1:11" ht="26.25" thickBot="1">
      <c r="A547" s="3073">
        <v>227</v>
      </c>
      <c r="B547" s="3074">
        <v>12</v>
      </c>
      <c r="C547" s="3074" t="s">
        <v>3510</v>
      </c>
      <c r="D547" s="3074" t="s">
        <v>3513</v>
      </c>
      <c r="E547" s="3072" t="s">
        <v>3109</v>
      </c>
      <c r="F547" s="3072" t="s">
        <v>3235</v>
      </c>
      <c r="G547" s="3464" t="s">
        <v>3625</v>
      </c>
      <c r="H547" s="3465"/>
      <c r="I547" s="3074">
        <v>5764</v>
      </c>
      <c r="J547" s="3464" t="s">
        <v>3628</v>
      </c>
      <c r="K547" s="3465"/>
    </row>
    <row r="548" spans="1:11" ht="26.25" thickBot="1">
      <c r="A548" s="3073">
        <v>228</v>
      </c>
      <c r="B548" s="3074">
        <v>12</v>
      </c>
      <c r="C548" s="3074" t="s">
        <v>3510</v>
      </c>
      <c r="D548" s="3074" t="s">
        <v>3514</v>
      </c>
      <c r="E548" s="3072" t="s">
        <v>3109</v>
      </c>
      <c r="F548" s="3072" t="s">
        <v>3235</v>
      </c>
      <c r="G548" s="3464" t="s">
        <v>3625</v>
      </c>
      <c r="H548" s="3465"/>
      <c r="I548" s="3074">
        <v>5764</v>
      </c>
      <c r="J548" s="3464" t="s">
        <v>3628</v>
      </c>
      <c r="K548" s="3465"/>
    </row>
    <row r="549" spans="1:11" ht="26.25" thickBot="1">
      <c r="A549" s="3073">
        <v>229</v>
      </c>
      <c r="B549" s="3074">
        <v>12</v>
      </c>
      <c r="C549" s="3074" t="s">
        <v>3510</v>
      </c>
      <c r="D549" s="3074" t="s">
        <v>3515</v>
      </c>
      <c r="E549" s="3072" t="s">
        <v>3109</v>
      </c>
      <c r="F549" s="3072" t="s">
        <v>3235</v>
      </c>
      <c r="G549" s="3464" t="s">
        <v>3623</v>
      </c>
      <c r="H549" s="3465"/>
      <c r="I549" s="3074">
        <v>5764</v>
      </c>
      <c r="J549" s="3464" t="s">
        <v>3624</v>
      </c>
      <c r="K549" s="3465"/>
    </row>
    <row r="550" spans="1:11" ht="26.25" thickBot="1">
      <c r="A550" s="3073">
        <v>230</v>
      </c>
      <c r="B550" s="3074">
        <v>12</v>
      </c>
      <c r="C550" s="3074" t="s">
        <v>3510</v>
      </c>
      <c r="D550" s="3074" t="s">
        <v>3516</v>
      </c>
      <c r="E550" s="3072" t="s">
        <v>3109</v>
      </c>
      <c r="F550" s="3072" t="s">
        <v>3235</v>
      </c>
      <c r="G550" s="3087">
        <v>150</v>
      </c>
      <c r="H550" s="3074">
        <v>67</v>
      </c>
      <c r="I550" s="3074">
        <v>5764</v>
      </c>
      <c r="J550" s="3076"/>
      <c r="K550" s="3074" t="s">
        <v>3619</v>
      </c>
    </row>
    <row r="551" spans="1:11" ht="26.25" thickBot="1">
      <c r="A551" s="3073">
        <v>231</v>
      </c>
      <c r="B551" s="3074">
        <v>12</v>
      </c>
      <c r="C551" s="3074" t="s">
        <v>3517</v>
      </c>
      <c r="D551" s="3074" t="s">
        <v>3518</v>
      </c>
      <c r="E551" s="3072" t="s">
        <v>3109</v>
      </c>
      <c r="F551" s="3072" t="s">
        <v>3235</v>
      </c>
      <c r="G551" s="3464" t="s">
        <v>3620</v>
      </c>
      <c r="H551" s="3465"/>
      <c r="I551" s="3074">
        <v>5764</v>
      </c>
      <c r="J551" s="3464" t="s">
        <v>3621</v>
      </c>
      <c r="K551" s="3465"/>
    </row>
    <row r="552" spans="1:11" ht="26.25" thickBot="1">
      <c r="A552" s="3073">
        <v>232</v>
      </c>
      <c r="B552" s="3074">
        <v>12</v>
      </c>
      <c r="C552" s="3074" t="s">
        <v>3517</v>
      </c>
      <c r="D552" s="3074" t="s">
        <v>3519</v>
      </c>
      <c r="E552" s="3072" t="s">
        <v>3109</v>
      </c>
      <c r="F552" s="3072" t="s">
        <v>3235</v>
      </c>
      <c r="G552" s="3464" t="s">
        <v>3623</v>
      </c>
      <c r="H552" s="3465"/>
      <c r="I552" s="3074">
        <v>5764</v>
      </c>
      <c r="J552" s="3464" t="s">
        <v>3624</v>
      </c>
      <c r="K552" s="3465"/>
    </row>
    <row r="553" spans="1:11" ht="23.25" thickBot="1">
      <c r="A553" s="3073">
        <v>233</v>
      </c>
      <c r="B553" s="3074">
        <v>12</v>
      </c>
      <c r="C553" s="3074" t="s">
        <v>3517</v>
      </c>
      <c r="D553" s="3082" t="s">
        <v>3640</v>
      </c>
      <c r="E553" s="3083" t="s">
        <v>3109</v>
      </c>
      <c r="F553" s="3083" t="s">
        <v>3235</v>
      </c>
      <c r="G553" s="3464" t="s">
        <v>3625</v>
      </c>
      <c r="H553" s="3465"/>
      <c r="I553" s="3074">
        <v>5764</v>
      </c>
      <c r="J553" s="3464" t="s">
        <v>3626</v>
      </c>
      <c r="K553" s="3465"/>
    </row>
    <row r="554" spans="1:11" ht="26.25" thickBot="1">
      <c r="A554" s="3073">
        <v>234</v>
      </c>
      <c r="B554" s="3074">
        <v>12</v>
      </c>
      <c r="C554" s="3074" t="s">
        <v>3517</v>
      </c>
      <c r="D554" s="3074" t="s">
        <v>3641</v>
      </c>
      <c r="E554" s="3072" t="s">
        <v>3109</v>
      </c>
      <c r="F554" s="3072" t="s">
        <v>3235</v>
      </c>
      <c r="G554" s="3464" t="s">
        <v>3625</v>
      </c>
      <c r="H554" s="3465"/>
      <c r="I554" s="3074">
        <v>5764</v>
      </c>
      <c r="J554" s="3464" t="s">
        <v>3628</v>
      </c>
      <c r="K554" s="3465"/>
    </row>
    <row r="555" spans="1:11" ht="26.25" thickBot="1">
      <c r="A555" s="3073">
        <v>235</v>
      </c>
      <c r="B555" s="3074">
        <v>12</v>
      </c>
      <c r="C555" s="3074" t="s">
        <v>3517</v>
      </c>
      <c r="D555" s="3074" t="s">
        <v>3522</v>
      </c>
      <c r="E555" s="3072" t="s">
        <v>3109</v>
      </c>
      <c r="F555" s="3072" t="s">
        <v>3235</v>
      </c>
      <c r="G555" s="3464" t="s">
        <v>3623</v>
      </c>
      <c r="H555" s="3465"/>
      <c r="I555" s="3074">
        <v>5764</v>
      </c>
      <c r="J555" s="3464" t="s">
        <v>3624</v>
      </c>
      <c r="K555" s="3465"/>
    </row>
    <row r="556" spans="1:11" ht="26.25" thickBot="1">
      <c r="A556" s="3073">
        <v>236</v>
      </c>
      <c r="B556" s="3074">
        <v>12</v>
      </c>
      <c r="C556" s="3074" t="s">
        <v>3517</v>
      </c>
      <c r="D556" s="3074" t="s">
        <v>3523</v>
      </c>
      <c r="E556" s="3072" t="s">
        <v>3109</v>
      </c>
      <c r="F556" s="3072" t="s">
        <v>3235</v>
      </c>
      <c r="G556" s="3464" t="s">
        <v>3620</v>
      </c>
      <c r="H556" s="3465"/>
      <c r="I556" s="3074">
        <v>5764</v>
      </c>
      <c r="J556" s="3464" t="s">
        <v>3613</v>
      </c>
      <c r="K556" s="3465"/>
    </row>
    <row r="557" spans="1:11" ht="26.25" thickBot="1">
      <c r="A557" s="3073">
        <v>237</v>
      </c>
      <c r="B557" s="3074">
        <v>12</v>
      </c>
      <c r="C557" s="3074" t="s">
        <v>3524</v>
      </c>
      <c r="D557" s="3074" t="s">
        <v>3525</v>
      </c>
      <c r="E557" s="3072" t="s">
        <v>3109</v>
      </c>
      <c r="F557" s="3072" t="s">
        <v>3235</v>
      </c>
      <c r="G557" s="3464" t="s">
        <v>3620</v>
      </c>
      <c r="H557" s="3465"/>
      <c r="I557" s="3074">
        <v>5764</v>
      </c>
      <c r="J557" s="3464" t="s">
        <v>3621</v>
      </c>
      <c r="K557" s="3465"/>
    </row>
    <row r="558" spans="1:11" ht="26.25" thickBot="1">
      <c r="A558" s="3073">
        <v>238</v>
      </c>
      <c r="B558" s="3074">
        <v>12</v>
      </c>
      <c r="C558" s="3074" t="s">
        <v>3524</v>
      </c>
      <c r="D558" s="3074" t="s">
        <v>3526</v>
      </c>
      <c r="E558" s="3072" t="s">
        <v>3109</v>
      </c>
      <c r="F558" s="3072" t="s">
        <v>3235</v>
      </c>
      <c r="G558" s="3464" t="s">
        <v>3623</v>
      </c>
      <c r="H558" s="3465"/>
      <c r="I558" s="3074">
        <v>5764</v>
      </c>
      <c r="J558" s="3464" t="s">
        <v>3624</v>
      </c>
      <c r="K558" s="3465"/>
    </row>
    <row r="559" spans="1:11" ht="26.25" thickBot="1">
      <c r="A559" s="3073">
        <v>239</v>
      </c>
      <c r="B559" s="3074">
        <v>12</v>
      </c>
      <c r="C559" s="3074" t="s">
        <v>3524</v>
      </c>
      <c r="D559" s="3074" t="s">
        <v>3527</v>
      </c>
      <c r="E559" s="3072" t="s">
        <v>3109</v>
      </c>
      <c r="F559" s="3072" t="s">
        <v>3235</v>
      </c>
      <c r="G559" s="3464" t="s">
        <v>3625</v>
      </c>
      <c r="H559" s="3465"/>
      <c r="I559" s="3074">
        <v>5764</v>
      </c>
      <c r="J559" s="3464" t="s">
        <v>3628</v>
      </c>
      <c r="K559" s="3465"/>
    </row>
    <row r="560" spans="1:11" ht="26.25" thickBot="1">
      <c r="A560" s="3073">
        <v>240</v>
      </c>
      <c r="B560" s="3074">
        <v>12</v>
      </c>
      <c r="C560" s="3074" t="s">
        <v>3524</v>
      </c>
      <c r="D560" s="3074" t="s">
        <v>3528</v>
      </c>
      <c r="E560" s="3072" t="s">
        <v>3109</v>
      </c>
      <c r="F560" s="3072" t="s">
        <v>3235</v>
      </c>
      <c r="G560" s="3464" t="s">
        <v>3625</v>
      </c>
      <c r="H560" s="3465"/>
      <c r="I560" s="3074">
        <v>5764</v>
      </c>
      <c r="J560" s="3464" t="s">
        <v>3626</v>
      </c>
      <c r="K560" s="3465"/>
    </row>
    <row r="561" spans="1:11" ht="26.25" thickBot="1">
      <c r="A561" s="3073">
        <v>241</v>
      </c>
      <c r="B561" s="3074">
        <v>12</v>
      </c>
      <c r="C561" s="3074" t="s">
        <v>3524</v>
      </c>
      <c r="D561" s="3074" t="s">
        <v>3529</v>
      </c>
      <c r="E561" s="3072" t="s">
        <v>3109</v>
      </c>
      <c r="F561" s="3072" t="s">
        <v>3235</v>
      </c>
      <c r="G561" s="3464" t="s">
        <v>3623</v>
      </c>
      <c r="H561" s="3465"/>
      <c r="I561" s="3074">
        <v>5764</v>
      </c>
      <c r="J561" s="3464" t="s">
        <v>3624</v>
      </c>
      <c r="K561" s="3465"/>
    </row>
    <row r="562" spans="1:11" ht="26.25" thickBot="1">
      <c r="A562" s="3073">
        <v>242</v>
      </c>
      <c r="B562" s="3074">
        <v>12</v>
      </c>
      <c r="C562" s="3074" t="s">
        <v>3524</v>
      </c>
      <c r="D562" s="3074" t="s">
        <v>3530</v>
      </c>
      <c r="E562" s="3072" t="s">
        <v>3109</v>
      </c>
      <c r="F562" s="3072" t="s">
        <v>3235</v>
      </c>
      <c r="G562" s="3464" t="s">
        <v>3620</v>
      </c>
      <c r="H562" s="3465"/>
      <c r="I562" s="3074">
        <v>5764</v>
      </c>
      <c r="J562" s="3464" t="s">
        <v>3621</v>
      </c>
      <c r="K562" s="3465"/>
    </row>
    <row r="563" spans="1:11" ht="26.25" thickBot="1">
      <c r="A563" s="3073">
        <v>243</v>
      </c>
      <c r="B563" s="3074">
        <v>12</v>
      </c>
      <c r="C563" s="3074" t="s">
        <v>3531</v>
      </c>
      <c r="D563" s="3074" t="s">
        <v>3532</v>
      </c>
      <c r="E563" s="3072" t="s">
        <v>3109</v>
      </c>
      <c r="F563" s="3072" t="s">
        <v>3235</v>
      </c>
      <c r="G563" s="3464" t="s">
        <v>3620</v>
      </c>
      <c r="H563" s="3465"/>
      <c r="I563" s="3074">
        <v>5764</v>
      </c>
      <c r="J563" s="3464" t="s">
        <v>3613</v>
      </c>
      <c r="K563" s="3465"/>
    </row>
    <row r="564" spans="1:11" ht="26.25" thickBot="1">
      <c r="A564" s="3073">
        <v>244</v>
      </c>
      <c r="B564" s="3074">
        <v>12</v>
      </c>
      <c r="C564" s="3074" t="s">
        <v>3531</v>
      </c>
      <c r="D564" s="3074" t="s">
        <v>3533</v>
      </c>
      <c r="E564" s="3072" t="s">
        <v>3109</v>
      </c>
      <c r="F564" s="3072" t="s">
        <v>3235</v>
      </c>
      <c r="G564" s="3464" t="s">
        <v>3623</v>
      </c>
      <c r="H564" s="3465"/>
      <c r="I564" s="3074">
        <v>5764</v>
      </c>
      <c r="J564" s="3464" t="s">
        <v>3624</v>
      </c>
      <c r="K564" s="3465"/>
    </row>
    <row r="565" spans="1:11" ht="26.25" thickBot="1">
      <c r="A565" s="3073">
        <v>245</v>
      </c>
      <c r="B565" s="3074">
        <v>12</v>
      </c>
      <c r="C565" s="3074" t="s">
        <v>3531</v>
      </c>
      <c r="D565" s="3074" t="s">
        <v>3534</v>
      </c>
      <c r="E565" s="3072" t="s">
        <v>3109</v>
      </c>
      <c r="F565" s="3072" t="s">
        <v>3235</v>
      </c>
      <c r="G565" s="3464" t="s">
        <v>3625</v>
      </c>
      <c r="H565" s="3465"/>
      <c r="I565" s="3074">
        <v>5764</v>
      </c>
      <c r="J565" s="3464" t="s">
        <v>3628</v>
      </c>
      <c r="K565" s="3465"/>
    </row>
    <row r="566" spans="1:11" ht="26.25" thickBot="1">
      <c r="A566" s="3073">
        <v>246</v>
      </c>
      <c r="B566" s="3074">
        <v>12</v>
      </c>
      <c r="C566" s="3074" t="s">
        <v>3531</v>
      </c>
      <c r="D566" s="3074" t="s">
        <v>3535</v>
      </c>
      <c r="E566" s="3072" t="s">
        <v>3109</v>
      </c>
      <c r="F566" s="3072" t="s">
        <v>3235</v>
      </c>
      <c r="G566" s="3464" t="s">
        <v>3625</v>
      </c>
      <c r="H566" s="3465"/>
      <c r="I566" s="3074">
        <v>5764</v>
      </c>
      <c r="J566" s="3464" t="s">
        <v>3628</v>
      </c>
      <c r="K566" s="3465"/>
    </row>
    <row r="567" spans="1:11" ht="26.25" thickBot="1">
      <c r="A567" s="3073">
        <v>247</v>
      </c>
      <c r="B567" s="3074">
        <v>12</v>
      </c>
      <c r="C567" s="3074" t="s">
        <v>3531</v>
      </c>
      <c r="D567" s="3074" t="s">
        <v>3536</v>
      </c>
      <c r="E567" s="3072" t="s">
        <v>3109</v>
      </c>
      <c r="F567" s="3072" t="s">
        <v>3235</v>
      </c>
      <c r="G567" s="3087">
        <v>118</v>
      </c>
      <c r="H567" s="3074">
        <v>49</v>
      </c>
      <c r="I567" s="3074">
        <v>5764</v>
      </c>
      <c r="J567" s="3076"/>
      <c r="K567" s="3074" t="s">
        <v>3633</v>
      </c>
    </row>
    <row r="568" spans="1:11" ht="26.25" thickBot="1">
      <c r="A568" s="3073">
        <v>248</v>
      </c>
      <c r="B568" s="3074">
        <v>12</v>
      </c>
      <c r="C568" s="3074" t="s">
        <v>3531</v>
      </c>
      <c r="D568" s="3074" t="s">
        <v>3537</v>
      </c>
      <c r="E568" s="3072" t="s">
        <v>3109</v>
      </c>
      <c r="F568" s="3072" t="s">
        <v>3235</v>
      </c>
      <c r="G568" s="3464" t="s">
        <v>3620</v>
      </c>
      <c r="H568" s="3465"/>
      <c r="I568" s="3074">
        <v>5764</v>
      </c>
      <c r="J568" s="3464" t="s">
        <v>3621</v>
      </c>
      <c r="K568" s="3465"/>
    </row>
    <row r="569" spans="1:11" ht="26.25" thickBot="1">
      <c r="A569" s="3073">
        <v>249</v>
      </c>
      <c r="B569" s="3074">
        <v>12</v>
      </c>
      <c r="C569" s="3074" t="s">
        <v>3538</v>
      </c>
      <c r="D569" s="3074" t="s">
        <v>3539</v>
      </c>
      <c r="E569" s="3072" t="s">
        <v>3109</v>
      </c>
      <c r="F569" s="3072" t="s">
        <v>3235</v>
      </c>
      <c r="G569" s="3464" t="s">
        <v>3620</v>
      </c>
      <c r="H569" s="3465"/>
      <c r="I569" s="3074">
        <v>5764</v>
      </c>
      <c r="J569" s="3464" t="s">
        <v>3621</v>
      </c>
      <c r="K569" s="3465"/>
    </row>
    <row r="570" spans="1:11" ht="26.25" thickBot="1">
      <c r="A570" s="3073">
        <v>250</v>
      </c>
      <c r="B570" s="3074">
        <v>12</v>
      </c>
      <c r="C570" s="3074" t="s">
        <v>3538</v>
      </c>
      <c r="D570" s="3074" t="s">
        <v>3540</v>
      </c>
      <c r="E570" s="3072" t="s">
        <v>3109</v>
      </c>
      <c r="F570" s="3072" t="s">
        <v>3235</v>
      </c>
      <c r="G570" s="3464" t="s">
        <v>3623</v>
      </c>
      <c r="H570" s="3465"/>
      <c r="I570" s="3074">
        <v>5764</v>
      </c>
      <c r="J570" s="3464" t="s">
        <v>3632</v>
      </c>
      <c r="K570" s="3465"/>
    </row>
    <row r="571" spans="1:11" ht="26.25" thickBot="1">
      <c r="A571" s="3073">
        <v>251</v>
      </c>
      <c r="B571" s="3074">
        <v>12</v>
      </c>
      <c r="C571" s="3074" t="s">
        <v>3538</v>
      </c>
      <c r="D571" s="3074" t="s">
        <v>3541</v>
      </c>
      <c r="E571" s="3072" t="s">
        <v>3109</v>
      </c>
      <c r="F571" s="3072" t="s">
        <v>3235</v>
      </c>
      <c r="G571" s="3464" t="s">
        <v>3625</v>
      </c>
      <c r="H571" s="3465"/>
      <c r="I571" s="3074">
        <v>5764</v>
      </c>
      <c r="J571" s="3464" t="s">
        <v>3628</v>
      </c>
      <c r="K571" s="3465"/>
    </row>
    <row r="572" spans="1:11" ht="26.25" thickBot="1">
      <c r="A572" s="3073">
        <v>252</v>
      </c>
      <c r="B572" s="3074">
        <v>12</v>
      </c>
      <c r="C572" s="3074" t="s">
        <v>3538</v>
      </c>
      <c r="D572" s="3074" t="s">
        <v>3542</v>
      </c>
      <c r="E572" s="3072" t="s">
        <v>3109</v>
      </c>
      <c r="F572" s="3072" t="s">
        <v>3235</v>
      </c>
      <c r="G572" s="3464" t="s">
        <v>3625</v>
      </c>
      <c r="H572" s="3465"/>
      <c r="I572" s="3074">
        <v>5764</v>
      </c>
      <c r="J572" s="3464" t="s">
        <v>3628</v>
      </c>
      <c r="K572" s="3465"/>
    </row>
    <row r="573" spans="1:11" ht="26.25" thickBot="1">
      <c r="A573" s="3073">
        <v>253</v>
      </c>
      <c r="B573" s="3074">
        <v>12</v>
      </c>
      <c r="C573" s="3074" t="s">
        <v>3538</v>
      </c>
      <c r="D573" s="3074" t="s">
        <v>3543</v>
      </c>
      <c r="E573" s="3072" t="s">
        <v>3109</v>
      </c>
      <c r="F573" s="3072" t="s">
        <v>3235</v>
      </c>
      <c r="G573" s="3464" t="s">
        <v>3623</v>
      </c>
      <c r="H573" s="3465"/>
      <c r="I573" s="3074">
        <v>5764</v>
      </c>
      <c r="J573" s="3464" t="s">
        <v>3632</v>
      </c>
      <c r="K573" s="3465"/>
    </row>
    <row r="574" spans="1:11" ht="26.25" thickBot="1">
      <c r="A574" s="3073">
        <v>254</v>
      </c>
      <c r="B574" s="3074">
        <v>12</v>
      </c>
      <c r="C574" s="3074" t="s">
        <v>3538</v>
      </c>
      <c r="D574" s="3074" t="s">
        <v>3544</v>
      </c>
      <c r="E574" s="3072" t="s">
        <v>3109</v>
      </c>
      <c r="F574" s="3072" t="s">
        <v>3235</v>
      </c>
      <c r="G574" s="3464" t="s">
        <v>3620</v>
      </c>
      <c r="H574" s="3465"/>
      <c r="I574" s="3074">
        <v>5764</v>
      </c>
      <c r="J574" s="3464" t="s">
        <v>3621</v>
      </c>
      <c r="K574" s="3465"/>
    </row>
    <row r="575" spans="1:11" ht="26.25" thickBot="1">
      <c r="A575" s="3073">
        <v>255</v>
      </c>
      <c r="B575" s="3074">
        <v>12</v>
      </c>
      <c r="C575" s="3074" t="s">
        <v>3545</v>
      </c>
      <c r="D575" s="3074" t="s">
        <v>3546</v>
      </c>
      <c r="E575" s="3072" t="s">
        <v>3109</v>
      </c>
      <c r="F575" s="3072" t="s">
        <v>3235</v>
      </c>
      <c r="G575" s="3464" t="s">
        <v>3620</v>
      </c>
      <c r="H575" s="3465"/>
      <c r="I575" s="3074">
        <v>5764</v>
      </c>
      <c r="J575" s="3464" t="s">
        <v>3621</v>
      </c>
      <c r="K575" s="3465"/>
    </row>
    <row r="576" spans="1:11" ht="26.25" thickBot="1">
      <c r="A576" s="3073">
        <v>256</v>
      </c>
      <c r="B576" s="3074">
        <v>12</v>
      </c>
      <c r="C576" s="3074" t="s">
        <v>3545</v>
      </c>
      <c r="D576" s="3074" t="s">
        <v>3547</v>
      </c>
      <c r="E576" s="3072" t="s">
        <v>3109</v>
      </c>
      <c r="F576" s="3072" t="s">
        <v>3235</v>
      </c>
      <c r="G576" s="3464" t="s">
        <v>3623</v>
      </c>
      <c r="H576" s="3465"/>
      <c r="I576" s="3074">
        <v>5764</v>
      </c>
      <c r="J576" s="3464" t="s">
        <v>3624</v>
      </c>
      <c r="K576" s="3465"/>
    </row>
    <row r="577" spans="1:11" ht="26.25" thickBot="1">
      <c r="A577" s="3073">
        <v>257</v>
      </c>
      <c r="B577" s="3074">
        <v>12</v>
      </c>
      <c r="C577" s="3074" t="s">
        <v>3545</v>
      </c>
      <c r="D577" s="3074" t="s">
        <v>3548</v>
      </c>
      <c r="E577" s="3072" t="s">
        <v>3109</v>
      </c>
      <c r="F577" s="3072" t="s">
        <v>3235</v>
      </c>
      <c r="G577" s="3087">
        <v>133</v>
      </c>
      <c r="H577" s="3074">
        <v>49</v>
      </c>
      <c r="I577" s="3074">
        <v>5764</v>
      </c>
      <c r="J577" s="3076"/>
      <c r="K577" s="3074" t="s">
        <v>3629</v>
      </c>
    </row>
    <row r="578" spans="1:11" ht="26.25" thickBot="1">
      <c r="A578" s="3073">
        <v>258</v>
      </c>
      <c r="B578" s="3074">
        <v>12</v>
      </c>
      <c r="C578" s="3074" t="s">
        <v>3545</v>
      </c>
      <c r="D578" s="3074" t="s">
        <v>3549</v>
      </c>
      <c r="E578" s="3072" t="s">
        <v>3109</v>
      </c>
      <c r="F578" s="3072" t="s">
        <v>3235</v>
      </c>
      <c r="G578" s="3464" t="s">
        <v>3625</v>
      </c>
      <c r="H578" s="3465"/>
      <c r="I578" s="3074">
        <v>5764</v>
      </c>
      <c r="J578" s="3464" t="s">
        <v>3628</v>
      </c>
      <c r="K578" s="3465"/>
    </row>
    <row r="579" spans="1:11" ht="26.25" thickBot="1">
      <c r="A579" s="3073">
        <v>259</v>
      </c>
      <c r="B579" s="3074">
        <v>12</v>
      </c>
      <c r="C579" s="3074" t="s">
        <v>3545</v>
      </c>
      <c r="D579" s="3074" t="s">
        <v>3550</v>
      </c>
      <c r="E579" s="3072" t="s">
        <v>3109</v>
      </c>
      <c r="F579" s="3072" t="s">
        <v>3235</v>
      </c>
      <c r="G579" s="3464" t="s">
        <v>3623</v>
      </c>
      <c r="H579" s="3465"/>
      <c r="I579" s="3074">
        <v>5764</v>
      </c>
      <c r="J579" s="3464" t="s">
        <v>3624</v>
      </c>
      <c r="K579" s="3465"/>
    </row>
    <row r="580" spans="1:11" ht="26.25" thickBot="1">
      <c r="A580" s="3073">
        <v>260</v>
      </c>
      <c r="B580" s="3074">
        <v>12</v>
      </c>
      <c r="C580" s="3074" t="s">
        <v>3545</v>
      </c>
      <c r="D580" s="3074" t="s">
        <v>3551</v>
      </c>
      <c r="E580" s="3072" t="s">
        <v>3109</v>
      </c>
      <c r="F580" s="3072" t="s">
        <v>3235</v>
      </c>
      <c r="G580" s="3464" t="s">
        <v>3620</v>
      </c>
      <c r="H580" s="3465"/>
      <c r="I580" s="3074">
        <v>5764</v>
      </c>
      <c r="J580" s="3464" t="s">
        <v>3613</v>
      </c>
      <c r="K580" s="3465"/>
    </row>
    <row r="581" spans="1:11" ht="26.25" thickBot="1">
      <c r="A581" s="3073">
        <v>261</v>
      </c>
      <c r="B581" s="3074">
        <v>12</v>
      </c>
      <c r="C581" s="3074" t="s">
        <v>3552</v>
      </c>
      <c r="D581" s="3074" t="s">
        <v>3553</v>
      </c>
      <c r="E581" s="3072" t="s">
        <v>3109</v>
      </c>
      <c r="F581" s="3072" t="s">
        <v>3235</v>
      </c>
      <c r="G581" s="3464" t="s">
        <v>3620</v>
      </c>
      <c r="H581" s="3465"/>
      <c r="I581" s="3074">
        <v>5764</v>
      </c>
      <c r="J581" s="3464" t="s">
        <v>3621</v>
      </c>
      <c r="K581" s="3465"/>
    </row>
    <row r="582" spans="1:11" ht="26.25" thickBot="1">
      <c r="A582" s="3073">
        <v>262</v>
      </c>
      <c r="B582" s="3074">
        <v>12</v>
      </c>
      <c r="C582" s="3074" t="s">
        <v>3552</v>
      </c>
      <c r="D582" s="3074" t="s">
        <v>3554</v>
      </c>
      <c r="E582" s="3072" t="s">
        <v>3109</v>
      </c>
      <c r="F582" s="3072" t="s">
        <v>3235</v>
      </c>
      <c r="G582" s="3464" t="s">
        <v>3623</v>
      </c>
      <c r="H582" s="3465"/>
      <c r="I582" s="3074">
        <v>5764</v>
      </c>
      <c r="J582" s="3464" t="s">
        <v>3624</v>
      </c>
      <c r="K582" s="3465"/>
    </row>
    <row r="583" spans="1:11" ht="26.25" thickBot="1">
      <c r="A583" s="3073">
        <v>263</v>
      </c>
      <c r="B583" s="3074">
        <v>12</v>
      </c>
      <c r="C583" s="3074" t="s">
        <v>3552</v>
      </c>
      <c r="D583" s="3074" t="s">
        <v>3555</v>
      </c>
      <c r="E583" s="3072" t="s">
        <v>3109</v>
      </c>
      <c r="F583" s="3072" t="s">
        <v>3235</v>
      </c>
      <c r="G583" s="3464" t="s">
        <v>3625</v>
      </c>
      <c r="H583" s="3465"/>
      <c r="I583" s="3074">
        <v>5764</v>
      </c>
      <c r="J583" s="3464" t="s">
        <v>3628</v>
      </c>
      <c r="K583" s="3465"/>
    </row>
    <row r="584" spans="1:11" ht="26.25" thickBot="1">
      <c r="A584" s="3073">
        <v>264</v>
      </c>
      <c r="B584" s="3074">
        <v>12</v>
      </c>
      <c r="C584" s="3074" t="s">
        <v>3552</v>
      </c>
      <c r="D584" s="3074" t="s">
        <v>3556</v>
      </c>
      <c r="E584" s="3072" t="s">
        <v>3109</v>
      </c>
      <c r="F584" s="3072" t="s">
        <v>3235</v>
      </c>
      <c r="G584" s="3087">
        <v>133</v>
      </c>
      <c r="H584" s="3074">
        <v>49</v>
      </c>
      <c r="I584" s="3074">
        <v>5764</v>
      </c>
      <c r="J584" s="3076"/>
      <c r="K584" s="3074" t="s">
        <v>3629</v>
      </c>
    </row>
    <row r="585" spans="1:11" ht="26.25" thickBot="1">
      <c r="A585" s="3073">
        <v>265</v>
      </c>
      <c r="B585" s="3074">
        <v>12</v>
      </c>
      <c r="C585" s="3074" t="s">
        <v>3552</v>
      </c>
      <c r="D585" s="3074" t="s">
        <v>3557</v>
      </c>
      <c r="E585" s="3072" t="s">
        <v>3109</v>
      </c>
      <c r="F585" s="3072" t="s">
        <v>3235</v>
      </c>
      <c r="G585" s="3464" t="s">
        <v>3623</v>
      </c>
      <c r="H585" s="3465"/>
      <c r="I585" s="3074">
        <v>5764</v>
      </c>
      <c r="J585" s="3464" t="s">
        <v>3624</v>
      </c>
      <c r="K585" s="3465"/>
    </row>
    <row r="586" spans="1:11" ht="26.25" thickBot="1">
      <c r="A586" s="3073">
        <v>266</v>
      </c>
      <c r="B586" s="3074">
        <v>12</v>
      </c>
      <c r="C586" s="3074" t="s">
        <v>3552</v>
      </c>
      <c r="D586" s="3074" t="s">
        <v>3558</v>
      </c>
      <c r="E586" s="3072" t="s">
        <v>3109</v>
      </c>
      <c r="F586" s="3072" t="s">
        <v>3235</v>
      </c>
      <c r="G586" s="3464" t="s">
        <v>3620</v>
      </c>
      <c r="H586" s="3465"/>
      <c r="I586" s="3074">
        <v>5764</v>
      </c>
      <c r="J586" s="3464" t="s">
        <v>3621</v>
      </c>
      <c r="K586" s="3465"/>
    </row>
    <row r="587" spans="1:11" ht="26.25" thickBot="1">
      <c r="A587" s="3073">
        <v>267</v>
      </c>
      <c r="B587" s="3074">
        <v>12</v>
      </c>
      <c r="C587" s="3074" t="s">
        <v>3559</v>
      </c>
      <c r="D587" s="3074" t="s">
        <v>3560</v>
      </c>
      <c r="E587" s="3072" t="s">
        <v>3109</v>
      </c>
      <c r="F587" s="3072" t="s">
        <v>3235</v>
      </c>
      <c r="G587" s="3464" t="s">
        <v>3620</v>
      </c>
      <c r="H587" s="3465"/>
      <c r="I587" s="3074">
        <v>5764</v>
      </c>
      <c r="J587" s="3464" t="s">
        <v>3613</v>
      </c>
      <c r="K587" s="3465"/>
    </row>
    <row r="588" spans="1:11" ht="26.25" thickBot="1">
      <c r="A588" s="3073">
        <v>268</v>
      </c>
      <c r="B588" s="3074">
        <v>12</v>
      </c>
      <c r="C588" s="3074" t="s">
        <v>3559</v>
      </c>
      <c r="D588" s="3074" t="s">
        <v>3561</v>
      </c>
      <c r="E588" s="3072" t="s">
        <v>3109</v>
      </c>
      <c r="F588" s="3072" t="s">
        <v>3235</v>
      </c>
      <c r="G588" s="3464" t="s">
        <v>3623</v>
      </c>
      <c r="H588" s="3465"/>
      <c r="I588" s="3074">
        <v>5764</v>
      </c>
      <c r="J588" s="3464" t="s">
        <v>3624</v>
      </c>
      <c r="K588" s="3465"/>
    </row>
    <row r="589" spans="1:11" ht="26.25" thickBot="1">
      <c r="A589" s="3073">
        <v>269</v>
      </c>
      <c r="B589" s="3074">
        <v>12</v>
      </c>
      <c r="C589" s="3074" t="s">
        <v>3559</v>
      </c>
      <c r="D589" s="3074" t="s">
        <v>3562</v>
      </c>
      <c r="E589" s="3072" t="s">
        <v>3109</v>
      </c>
      <c r="F589" s="3072" t="s">
        <v>3235</v>
      </c>
      <c r="G589" s="3464" t="s">
        <v>3625</v>
      </c>
      <c r="H589" s="3465"/>
      <c r="I589" s="3074">
        <v>5764</v>
      </c>
      <c r="J589" s="3464" t="s">
        <v>3628</v>
      </c>
      <c r="K589" s="3465"/>
    </row>
    <row r="590" spans="1:11" ht="26.25" thickBot="1">
      <c r="A590" s="3073">
        <v>270</v>
      </c>
      <c r="B590" s="3074">
        <v>12</v>
      </c>
      <c r="C590" s="3074" t="s">
        <v>3559</v>
      </c>
      <c r="D590" s="3074" t="s">
        <v>3563</v>
      </c>
      <c r="E590" s="3072" t="s">
        <v>3109</v>
      </c>
      <c r="F590" s="3072" t="s">
        <v>3235</v>
      </c>
      <c r="G590" s="3464" t="s">
        <v>3625</v>
      </c>
      <c r="H590" s="3465"/>
      <c r="I590" s="3074">
        <v>5764</v>
      </c>
      <c r="J590" s="3464" t="s">
        <v>3626</v>
      </c>
      <c r="K590" s="3465"/>
    </row>
    <row r="591" spans="1:11" ht="26.25" thickBot="1">
      <c r="A591" s="3073">
        <v>271</v>
      </c>
      <c r="B591" s="3074">
        <v>12</v>
      </c>
      <c r="C591" s="3074" t="s">
        <v>3559</v>
      </c>
      <c r="D591" s="3074" t="s">
        <v>3564</v>
      </c>
      <c r="E591" s="3072" t="s">
        <v>3109</v>
      </c>
      <c r="F591" s="3072" t="s">
        <v>3235</v>
      </c>
      <c r="G591" s="3464" t="s">
        <v>3623</v>
      </c>
      <c r="H591" s="3465"/>
      <c r="I591" s="3074">
        <v>5764</v>
      </c>
      <c r="J591" s="3464" t="s">
        <v>3624</v>
      </c>
      <c r="K591" s="3465"/>
    </row>
    <row r="592" spans="1:11" ht="26.25" thickBot="1">
      <c r="A592" s="3073">
        <v>272</v>
      </c>
      <c r="B592" s="3074">
        <v>12</v>
      </c>
      <c r="C592" s="3074" t="s">
        <v>3559</v>
      </c>
      <c r="D592" s="3074" t="s">
        <v>3565</v>
      </c>
      <c r="E592" s="3072" t="s">
        <v>3109</v>
      </c>
      <c r="F592" s="3072" t="s">
        <v>3235</v>
      </c>
      <c r="G592" s="3464" t="s">
        <v>3620</v>
      </c>
      <c r="H592" s="3465"/>
      <c r="I592" s="3074">
        <v>5764</v>
      </c>
      <c r="J592" s="3464" t="s">
        <v>3621</v>
      </c>
      <c r="K592" s="3465"/>
    </row>
    <row r="593" spans="1:11" ht="14.25" thickBot="1">
      <c r="A593" s="3084" t="s">
        <v>37</v>
      </c>
      <c r="B593" s="3086"/>
      <c r="C593" s="3086"/>
      <c r="D593" s="3086"/>
      <c r="E593" s="3086"/>
      <c r="F593" s="3086"/>
      <c r="G593" s="3464" t="s">
        <v>3642</v>
      </c>
      <c r="H593" s="3465"/>
      <c r="I593" s="3086"/>
      <c r="J593" s="3464" t="s">
        <v>3643</v>
      </c>
      <c r="K593" s="3465"/>
    </row>
    <row r="594" spans="1:11">
      <c r="A594" s="3070"/>
    </row>
    <row r="596" spans="1:11" ht="14.25">
      <c r="A596" s="3069" t="s">
        <v>3644</v>
      </c>
    </row>
    <row r="597" spans="1:11" ht="14.25" thickBot="1">
      <c r="A597" s="3070"/>
    </row>
    <row r="598" spans="1:11">
      <c r="A598" s="3458" t="s">
        <v>3223</v>
      </c>
      <c r="B598" s="3458" t="s">
        <v>3224</v>
      </c>
      <c r="C598" s="3071" t="s">
        <v>3225</v>
      </c>
      <c r="D598" s="3458" t="s">
        <v>3227</v>
      </c>
      <c r="E598" s="3458" t="s">
        <v>1341</v>
      </c>
      <c r="F598" s="3458" t="s">
        <v>3228</v>
      </c>
      <c r="G598" s="3460" t="s">
        <v>3229</v>
      </c>
      <c r="H598" s="3461"/>
      <c r="I598" s="3458" t="s">
        <v>3231</v>
      </c>
      <c r="J598" s="3458" t="s">
        <v>3232</v>
      </c>
    </row>
    <row r="599" spans="1:11" ht="14.25" thickBot="1">
      <c r="A599" s="3459"/>
      <c r="B599" s="3459"/>
      <c r="C599" s="3072" t="s">
        <v>3226</v>
      </c>
      <c r="D599" s="3459"/>
      <c r="E599" s="3459"/>
      <c r="F599" s="3459"/>
      <c r="G599" s="3462" t="s">
        <v>3230</v>
      </c>
      <c r="H599" s="3463"/>
      <c r="I599" s="3459"/>
      <c r="J599" s="3459"/>
    </row>
    <row r="600" spans="1:11" ht="24.75" thickBot="1">
      <c r="A600" s="3073">
        <v>1</v>
      </c>
      <c r="B600" s="3074">
        <v>13</v>
      </c>
      <c r="C600" s="3074">
        <f t="shared" ref="C600:C631" si="7">-2/28</f>
        <v>-7.1428571428571425E-2</v>
      </c>
      <c r="D600" s="3072" t="s">
        <v>3233</v>
      </c>
      <c r="E600" s="3072" t="s">
        <v>3234</v>
      </c>
      <c r="F600" s="3072" t="s">
        <v>3235</v>
      </c>
      <c r="G600" s="3464" t="s">
        <v>3645</v>
      </c>
      <c r="H600" s="3465"/>
      <c r="I600" s="3074">
        <v>2016</v>
      </c>
      <c r="J600" s="3074">
        <v>6.13</v>
      </c>
    </row>
    <row r="601" spans="1:11" ht="24.75" thickBot="1">
      <c r="A601" s="3073">
        <v>2</v>
      </c>
      <c r="B601" s="3074">
        <v>13</v>
      </c>
      <c r="C601" s="3074">
        <f t="shared" si="7"/>
        <v>-7.1428571428571425E-2</v>
      </c>
      <c r="D601" s="3072" t="s">
        <v>3237</v>
      </c>
      <c r="E601" s="3072" t="s">
        <v>3234</v>
      </c>
      <c r="F601" s="3072" t="s">
        <v>3235</v>
      </c>
      <c r="G601" s="3076"/>
      <c r="H601" s="3074">
        <v>44</v>
      </c>
      <c r="I601" s="3074">
        <v>2016</v>
      </c>
      <c r="J601" s="3074">
        <v>2.71</v>
      </c>
    </row>
    <row r="602" spans="1:11" ht="24.75" thickBot="1">
      <c r="A602" s="3073">
        <v>3</v>
      </c>
      <c r="B602" s="3074">
        <v>13</v>
      </c>
      <c r="C602" s="3074">
        <f t="shared" si="7"/>
        <v>-7.1428571428571425E-2</v>
      </c>
      <c r="D602" s="3072" t="s">
        <v>3238</v>
      </c>
      <c r="E602" s="3072" t="s">
        <v>3234</v>
      </c>
      <c r="F602" s="3072" t="s">
        <v>3235</v>
      </c>
      <c r="G602" s="3464" t="s">
        <v>3646</v>
      </c>
      <c r="H602" s="3465"/>
      <c r="I602" s="3074">
        <v>2016</v>
      </c>
      <c r="J602" s="3074">
        <v>2.93</v>
      </c>
    </row>
    <row r="603" spans="1:11" ht="24.75" thickBot="1">
      <c r="A603" s="3073">
        <v>4</v>
      </c>
      <c r="B603" s="3074">
        <v>13</v>
      </c>
      <c r="C603" s="3074">
        <f t="shared" si="7"/>
        <v>-7.1428571428571425E-2</v>
      </c>
      <c r="D603" s="3072" t="s">
        <v>3240</v>
      </c>
      <c r="E603" s="3072" t="s">
        <v>3234</v>
      </c>
      <c r="F603" s="3072" t="s">
        <v>3235</v>
      </c>
      <c r="G603" s="3464" t="s">
        <v>3647</v>
      </c>
      <c r="H603" s="3465"/>
      <c r="I603" s="3074">
        <v>2016</v>
      </c>
      <c r="J603" s="3074">
        <v>2.84</v>
      </c>
    </row>
    <row r="604" spans="1:11" ht="24.75" thickBot="1">
      <c r="A604" s="3073">
        <v>5</v>
      </c>
      <c r="B604" s="3074">
        <v>13</v>
      </c>
      <c r="C604" s="3074">
        <f t="shared" si="7"/>
        <v>-7.1428571428571425E-2</v>
      </c>
      <c r="D604" s="3072" t="s">
        <v>3242</v>
      </c>
      <c r="E604" s="3072" t="s">
        <v>3234</v>
      </c>
      <c r="F604" s="3072" t="s">
        <v>3235</v>
      </c>
      <c r="G604" s="3464" t="s">
        <v>3648</v>
      </c>
      <c r="H604" s="3465"/>
      <c r="I604" s="3074">
        <v>2016</v>
      </c>
      <c r="J604" s="3074">
        <v>2.36</v>
      </c>
    </row>
    <row r="605" spans="1:11" ht="24.75" thickBot="1">
      <c r="A605" s="3073">
        <v>6</v>
      </c>
      <c r="B605" s="3074">
        <v>13</v>
      </c>
      <c r="C605" s="3074">
        <f t="shared" si="7"/>
        <v>-7.1428571428571425E-2</v>
      </c>
      <c r="D605" s="3072" t="s">
        <v>3244</v>
      </c>
      <c r="E605" s="3072" t="s">
        <v>3234</v>
      </c>
      <c r="F605" s="3072" t="s">
        <v>3235</v>
      </c>
      <c r="G605" s="3464" t="s">
        <v>3649</v>
      </c>
      <c r="H605" s="3465"/>
      <c r="I605" s="3074">
        <v>2016</v>
      </c>
      <c r="J605" s="3074">
        <v>2.46</v>
      </c>
    </row>
    <row r="606" spans="1:11" ht="24.75" thickBot="1">
      <c r="A606" s="3073">
        <v>7</v>
      </c>
      <c r="B606" s="3074">
        <v>13</v>
      </c>
      <c r="C606" s="3074">
        <f t="shared" si="7"/>
        <v>-7.1428571428571425E-2</v>
      </c>
      <c r="D606" s="3072" t="s">
        <v>3246</v>
      </c>
      <c r="E606" s="3072" t="s">
        <v>3234</v>
      </c>
      <c r="F606" s="3072" t="s">
        <v>3235</v>
      </c>
      <c r="G606" s="3464" t="s">
        <v>3650</v>
      </c>
      <c r="H606" s="3465"/>
      <c r="I606" s="3074">
        <v>2016</v>
      </c>
      <c r="J606" s="3074">
        <v>3.57</v>
      </c>
    </row>
    <row r="607" spans="1:11" ht="24.75" thickBot="1">
      <c r="A607" s="3073">
        <v>8</v>
      </c>
      <c r="B607" s="3074">
        <v>13</v>
      </c>
      <c r="C607" s="3074">
        <f t="shared" si="7"/>
        <v>-7.1428571428571425E-2</v>
      </c>
      <c r="D607" s="3072" t="s">
        <v>3248</v>
      </c>
      <c r="E607" s="3072" t="s">
        <v>3234</v>
      </c>
      <c r="F607" s="3072" t="s">
        <v>3235</v>
      </c>
      <c r="G607" s="3464" t="s">
        <v>3651</v>
      </c>
      <c r="H607" s="3465"/>
      <c r="I607" s="3074">
        <v>2016</v>
      </c>
      <c r="J607" s="3074">
        <v>3.44</v>
      </c>
    </row>
    <row r="608" spans="1:11" ht="24.75" thickBot="1">
      <c r="A608" s="3073">
        <v>9</v>
      </c>
      <c r="B608" s="3074">
        <v>13</v>
      </c>
      <c r="C608" s="3074">
        <f t="shared" si="7"/>
        <v>-7.1428571428571425E-2</v>
      </c>
      <c r="D608" s="3072" t="s">
        <v>3249</v>
      </c>
      <c r="E608" s="3072" t="s">
        <v>3234</v>
      </c>
      <c r="F608" s="3072" t="s">
        <v>3235</v>
      </c>
      <c r="G608" s="3464" t="s">
        <v>3652</v>
      </c>
      <c r="H608" s="3465"/>
      <c r="I608" s="3074">
        <v>2016</v>
      </c>
      <c r="J608" s="3074">
        <v>2.13</v>
      </c>
    </row>
    <row r="609" spans="1:10" ht="24.75" thickBot="1">
      <c r="A609" s="3073">
        <v>10</v>
      </c>
      <c r="B609" s="3074">
        <v>13</v>
      </c>
      <c r="C609" s="3074">
        <f t="shared" si="7"/>
        <v>-7.1428571428571425E-2</v>
      </c>
      <c r="D609" s="3072" t="s">
        <v>3251</v>
      </c>
      <c r="E609" s="3072" t="s">
        <v>3234</v>
      </c>
      <c r="F609" s="3072" t="s">
        <v>3235</v>
      </c>
      <c r="G609" s="3464" t="s">
        <v>3653</v>
      </c>
      <c r="H609" s="3465"/>
      <c r="I609" s="3074">
        <v>2016</v>
      </c>
      <c r="J609" s="3074">
        <v>2.0699999999999998</v>
      </c>
    </row>
    <row r="610" spans="1:10" ht="24.75" thickBot="1">
      <c r="A610" s="3073">
        <v>11</v>
      </c>
      <c r="B610" s="3074">
        <v>13</v>
      </c>
      <c r="C610" s="3074">
        <f t="shared" si="7"/>
        <v>-7.1428571428571425E-2</v>
      </c>
      <c r="D610" s="3072" t="s">
        <v>3252</v>
      </c>
      <c r="E610" s="3072" t="s">
        <v>3234</v>
      </c>
      <c r="F610" s="3072" t="s">
        <v>3235</v>
      </c>
      <c r="G610" s="3464" t="s">
        <v>3654</v>
      </c>
      <c r="H610" s="3465"/>
      <c r="I610" s="3074">
        <v>2016</v>
      </c>
      <c r="J610" s="3074">
        <v>2.68</v>
      </c>
    </row>
    <row r="611" spans="1:10" ht="24.75" thickBot="1">
      <c r="A611" s="3073">
        <v>12</v>
      </c>
      <c r="B611" s="3074">
        <v>13</v>
      </c>
      <c r="C611" s="3074">
        <f t="shared" si="7"/>
        <v>-7.1428571428571425E-2</v>
      </c>
      <c r="D611" s="3072" t="s">
        <v>3254</v>
      </c>
      <c r="E611" s="3072" t="s">
        <v>3234</v>
      </c>
      <c r="F611" s="3072" t="s">
        <v>3235</v>
      </c>
      <c r="G611" s="3077">
        <v>11</v>
      </c>
      <c r="H611" s="3074">
        <v>24</v>
      </c>
      <c r="I611" s="3074">
        <v>2016</v>
      </c>
      <c r="J611" s="3074">
        <v>2.27</v>
      </c>
    </row>
    <row r="612" spans="1:10" ht="24.75" thickBot="1">
      <c r="A612" s="3073">
        <v>13</v>
      </c>
      <c r="B612" s="3074">
        <v>13</v>
      </c>
      <c r="C612" s="3074">
        <f t="shared" si="7"/>
        <v>-7.1428571428571425E-2</v>
      </c>
      <c r="D612" s="3072" t="s">
        <v>3255</v>
      </c>
      <c r="E612" s="3072" t="s">
        <v>3234</v>
      </c>
      <c r="F612" s="3072" t="s">
        <v>3235</v>
      </c>
      <c r="G612" s="3464" t="s">
        <v>3655</v>
      </c>
      <c r="H612" s="3465"/>
      <c r="I612" s="3074">
        <v>2016</v>
      </c>
      <c r="J612" s="3074">
        <v>5.13</v>
      </c>
    </row>
    <row r="613" spans="1:10" ht="24.75" thickBot="1">
      <c r="A613" s="3073">
        <v>14</v>
      </c>
      <c r="B613" s="3074">
        <v>13</v>
      </c>
      <c r="C613" s="3074">
        <f t="shared" si="7"/>
        <v>-7.1428571428571425E-2</v>
      </c>
      <c r="D613" s="3072" t="s">
        <v>3257</v>
      </c>
      <c r="E613" s="3072" t="s">
        <v>3234</v>
      </c>
      <c r="F613" s="3072" t="s">
        <v>3235</v>
      </c>
      <c r="G613" s="3464" t="s">
        <v>3656</v>
      </c>
      <c r="H613" s="3465"/>
      <c r="I613" s="3074">
        <v>2016</v>
      </c>
      <c r="J613" s="3074">
        <v>3.4</v>
      </c>
    </row>
    <row r="614" spans="1:10" ht="24.75" thickBot="1">
      <c r="A614" s="3073">
        <v>15</v>
      </c>
      <c r="B614" s="3074">
        <v>13</v>
      </c>
      <c r="C614" s="3074">
        <f t="shared" si="7"/>
        <v>-7.1428571428571425E-2</v>
      </c>
      <c r="D614" s="3072" t="s">
        <v>3259</v>
      </c>
      <c r="E614" s="3072" t="s">
        <v>3234</v>
      </c>
      <c r="F614" s="3072" t="s">
        <v>3235</v>
      </c>
      <c r="G614" s="3464" t="s">
        <v>3657</v>
      </c>
      <c r="H614" s="3465"/>
      <c r="I614" s="3074">
        <v>2016</v>
      </c>
      <c r="J614" s="3074">
        <v>3.48</v>
      </c>
    </row>
    <row r="615" spans="1:10" ht="24.75" thickBot="1">
      <c r="A615" s="3073">
        <v>16</v>
      </c>
      <c r="B615" s="3074">
        <v>13</v>
      </c>
      <c r="C615" s="3074">
        <f t="shared" si="7"/>
        <v>-7.1428571428571425E-2</v>
      </c>
      <c r="D615" s="3072" t="s">
        <v>3261</v>
      </c>
      <c r="E615" s="3072" t="s">
        <v>3234</v>
      </c>
      <c r="F615" s="3072" t="s">
        <v>3235</v>
      </c>
      <c r="G615" s="3464" t="s">
        <v>3658</v>
      </c>
      <c r="H615" s="3465"/>
      <c r="I615" s="3074">
        <v>2016</v>
      </c>
      <c r="J615" s="3074">
        <v>3.02</v>
      </c>
    </row>
    <row r="616" spans="1:10" ht="24.75" thickBot="1">
      <c r="A616" s="3073">
        <v>17</v>
      </c>
      <c r="B616" s="3074">
        <v>13</v>
      </c>
      <c r="C616" s="3074">
        <f t="shared" si="7"/>
        <v>-7.1428571428571425E-2</v>
      </c>
      <c r="D616" s="3072" t="s">
        <v>3263</v>
      </c>
      <c r="E616" s="3072" t="s">
        <v>3234</v>
      </c>
      <c r="F616" s="3072" t="s">
        <v>3235</v>
      </c>
      <c r="G616" s="3464" t="s">
        <v>3659</v>
      </c>
      <c r="H616" s="3465"/>
      <c r="I616" s="3074">
        <v>2016</v>
      </c>
      <c r="J616" s="3074">
        <v>2.81</v>
      </c>
    </row>
    <row r="617" spans="1:10" ht="24.75" thickBot="1">
      <c r="A617" s="3073">
        <v>18</v>
      </c>
      <c r="B617" s="3074">
        <v>13</v>
      </c>
      <c r="C617" s="3074">
        <f t="shared" si="7"/>
        <v>-7.1428571428571425E-2</v>
      </c>
      <c r="D617" s="3072" t="s">
        <v>3265</v>
      </c>
      <c r="E617" s="3072" t="s">
        <v>3234</v>
      </c>
      <c r="F617" s="3072" t="s">
        <v>3235</v>
      </c>
      <c r="G617" s="3464">
        <v>8.81</v>
      </c>
      <c r="H617" s="3465"/>
      <c r="I617" s="3074">
        <v>2016</v>
      </c>
      <c r="J617" s="3074">
        <v>1.78</v>
      </c>
    </row>
    <row r="618" spans="1:10" ht="24.75" thickBot="1">
      <c r="A618" s="3073">
        <v>19</v>
      </c>
      <c r="B618" s="3074">
        <v>13</v>
      </c>
      <c r="C618" s="3074">
        <f t="shared" si="7"/>
        <v>-7.1428571428571425E-2</v>
      </c>
      <c r="D618" s="3072" t="s">
        <v>3267</v>
      </c>
      <c r="E618" s="3072" t="s">
        <v>3234</v>
      </c>
      <c r="F618" s="3072" t="s">
        <v>3235</v>
      </c>
      <c r="G618" s="3464">
        <v>8.58</v>
      </c>
      <c r="H618" s="3465"/>
      <c r="I618" s="3074">
        <v>2016</v>
      </c>
      <c r="J618" s="3074">
        <v>1.73</v>
      </c>
    </row>
    <row r="619" spans="1:10" ht="24.75" thickBot="1">
      <c r="A619" s="3073">
        <v>20</v>
      </c>
      <c r="B619" s="3074">
        <v>13</v>
      </c>
      <c r="C619" s="3074">
        <f t="shared" si="7"/>
        <v>-7.1428571428571425E-2</v>
      </c>
      <c r="D619" s="3072" t="s">
        <v>3268</v>
      </c>
      <c r="E619" s="3072" t="s">
        <v>3234</v>
      </c>
      <c r="F619" s="3072" t="s">
        <v>3235</v>
      </c>
      <c r="G619" s="3464" t="s">
        <v>3660</v>
      </c>
      <c r="H619" s="3465"/>
      <c r="I619" s="3074">
        <v>2016</v>
      </c>
      <c r="J619" s="3074">
        <v>2.4300000000000002</v>
      </c>
    </row>
    <row r="620" spans="1:10" ht="24.75" thickBot="1">
      <c r="A620" s="3073">
        <v>21</v>
      </c>
      <c r="B620" s="3074">
        <v>13</v>
      </c>
      <c r="C620" s="3074">
        <f t="shared" si="7"/>
        <v>-7.1428571428571425E-2</v>
      </c>
      <c r="D620" s="3072" t="s">
        <v>3270</v>
      </c>
      <c r="E620" s="3072" t="s">
        <v>3234</v>
      </c>
      <c r="F620" s="3072" t="s">
        <v>3235</v>
      </c>
      <c r="G620" s="3464" t="s">
        <v>3661</v>
      </c>
      <c r="H620" s="3465"/>
      <c r="I620" s="3074">
        <v>2016</v>
      </c>
      <c r="J620" s="3074">
        <v>2.37</v>
      </c>
    </row>
    <row r="621" spans="1:10" ht="24.75" thickBot="1">
      <c r="A621" s="3073">
        <v>22</v>
      </c>
      <c r="B621" s="3074">
        <v>13</v>
      </c>
      <c r="C621" s="3074">
        <f t="shared" si="7"/>
        <v>-7.1428571428571425E-2</v>
      </c>
      <c r="D621" s="3072" t="s">
        <v>3272</v>
      </c>
      <c r="E621" s="3072" t="s">
        <v>3234</v>
      </c>
      <c r="F621" s="3072" t="s">
        <v>3235</v>
      </c>
      <c r="G621" s="3464" t="s">
        <v>3662</v>
      </c>
      <c r="H621" s="3465"/>
      <c r="I621" s="3074">
        <v>2016</v>
      </c>
      <c r="J621" s="3074">
        <v>2.1800000000000002</v>
      </c>
    </row>
    <row r="622" spans="1:10" ht="24.75" thickBot="1">
      <c r="A622" s="3073">
        <v>23</v>
      </c>
      <c r="B622" s="3074">
        <v>13</v>
      </c>
      <c r="C622" s="3074">
        <f t="shared" si="7"/>
        <v>-7.1428571428571425E-2</v>
      </c>
      <c r="D622" s="3072" t="s">
        <v>3273</v>
      </c>
      <c r="E622" s="3072" t="s">
        <v>3234</v>
      </c>
      <c r="F622" s="3072" t="s">
        <v>3235</v>
      </c>
      <c r="G622" s="3464" t="s">
        <v>3663</v>
      </c>
      <c r="H622" s="3465"/>
      <c r="I622" s="3074">
        <v>2016</v>
      </c>
      <c r="J622" s="3074">
        <v>4.84</v>
      </c>
    </row>
    <row r="623" spans="1:10" ht="24.75" thickBot="1">
      <c r="A623" s="3073">
        <v>24</v>
      </c>
      <c r="B623" s="3074">
        <v>13</v>
      </c>
      <c r="C623" s="3074">
        <f t="shared" si="7"/>
        <v>-7.1428571428571425E-2</v>
      </c>
      <c r="D623" s="3072" t="s">
        <v>3274</v>
      </c>
      <c r="E623" s="3072" t="s">
        <v>3234</v>
      </c>
      <c r="F623" s="3072" t="s">
        <v>3235</v>
      </c>
      <c r="G623" s="3464" t="s">
        <v>3664</v>
      </c>
      <c r="H623" s="3465"/>
      <c r="I623" s="3074">
        <v>2016</v>
      </c>
      <c r="J623" s="3074">
        <v>2.41</v>
      </c>
    </row>
    <row r="624" spans="1:10" ht="24.75" thickBot="1">
      <c r="A624" s="3073">
        <v>25</v>
      </c>
      <c r="B624" s="3074">
        <v>13</v>
      </c>
      <c r="C624" s="3074">
        <f t="shared" si="7"/>
        <v>-7.1428571428571425E-2</v>
      </c>
      <c r="D624" s="3072" t="s">
        <v>3276</v>
      </c>
      <c r="E624" s="3072" t="s">
        <v>3234</v>
      </c>
      <c r="F624" s="3072" t="s">
        <v>3235</v>
      </c>
      <c r="G624" s="3464" t="s">
        <v>3665</v>
      </c>
      <c r="H624" s="3465"/>
      <c r="I624" s="3074">
        <v>2016</v>
      </c>
      <c r="J624" s="3074">
        <v>2.19</v>
      </c>
    </row>
    <row r="625" spans="1:10" ht="24.75" thickBot="1">
      <c r="A625" s="3073">
        <v>26</v>
      </c>
      <c r="B625" s="3074">
        <v>13</v>
      </c>
      <c r="C625" s="3074">
        <f t="shared" si="7"/>
        <v>-7.1428571428571425E-2</v>
      </c>
      <c r="D625" s="3072" t="s">
        <v>3277</v>
      </c>
      <c r="E625" s="3072" t="s">
        <v>3234</v>
      </c>
      <c r="F625" s="3072" t="s">
        <v>3235</v>
      </c>
      <c r="G625" s="3464" t="s">
        <v>3665</v>
      </c>
      <c r="H625" s="3465"/>
      <c r="I625" s="3074">
        <v>2016</v>
      </c>
      <c r="J625" s="3074">
        <v>2.19</v>
      </c>
    </row>
    <row r="626" spans="1:10" ht="24.75" thickBot="1">
      <c r="A626" s="3073">
        <v>27</v>
      </c>
      <c r="B626" s="3074">
        <v>13</v>
      </c>
      <c r="C626" s="3074">
        <f t="shared" si="7"/>
        <v>-7.1428571428571425E-2</v>
      </c>
      <c r="D626" s="3072" t="s">
        <v>3278</v>
      </c>
      <c r="E626" s="3072" t="s">
        <v>3234</v>
      </c>
      <c r="F626" s="3072" t="s">
        <v>3235</v>
      </c>
      <c r="G626" s="3464" t="s">
        <v>3664</v>
      </c>
      <c r="H626" s="3465"/>
      <c r="I626" s="3074">
        <v>2016</v>
      </c>
      <c r="J626" s="3074">
        <v>2.41</v>
      </c>
    </row>
    <row r="627" spans="1:10" ht="24.75" thickBot="1">
      <c r="A627" s="3073">
        <v>28</v>
      </c>
      <c r="B627" s="3074">
        <v>13</v>
      </c>
      <c r="C627" s="3074">
        <f t="shared" si="7"/>
        <v>-7.1428571428571425E-2</v>
      </c>
      <c r="D627" s="3072" t="s">
        <v>3280</v>
      </c>
      <c r="E627" s="3072" t="s">
        <v>3234</v>
      </c>
      <c r="F627" s="3072" t="s">
        <v>3235</v>
      </c>
      <c r="G627" s="3464" t="s">
        <v>3663</v>
      </c>
      <c r="H627" s="3465"/>
      <c r="I627" s="3074">
        <v>2016</v>
      </c>
      <c r="J627" s="3074">
        <v>4.84</v>
      </c>
    </row>
    <row r="628" spans="1:10" ht="24.75" thickBot="1">
      <c r="A628" s="3073">
        <v>29</v>
      </c>
      <c r="B628" s="3074">
        <v>13</v>
      </c>
      <c r="C628" s="3074">
        <f t="shared" si="7"/>
        <v>-7.1428571428571425E-2</v>
      </c>
      <c r="D628" s="3072" t="s">
        <v>3281</v>
      </c>
      <c r="E628" s="3072" t="s">
        <v>3234</v>
      </c>
      <c r="F628" s="3072" t="s">
        <v>3235</v>
      </c>
      <c r="G628" s="3076"/>
      <c r="H628" s="3074">
        <v>82</v>
      </c>
      <c r="I628" s="3074">
        <v>2016</v>
      </c>
      <c r="J628" s="3074">
        <v>2.1800000000000002</v>
      </c>
    </row>
    <row r="629" spans="1:10" ht="24.75" thickBot="1">
      <c r="A629" s="3073">
        <v>30</v>
      </c>
      <c r="B629" s="3074">
        <v>13</v>
      </c>
      <c r="C629" s="3074">
        <f t="shared" si="7"/>
        <v>-7.1428571428571425E-2</v>
      </c>
      <c r="D629" s="3072" t="s">
        <v>3282</v>
      </c>
      <c r="E629" s="3072" t="s">
        <v>3234</v>
      </c>
      <c r="F629" s="3072" t="s">
        <v>3235</v>
      </c>
      <c r="G629" s="3464" t="s">
        <v>3666</v>
      </c>
      <c r="H629" s="3465"/>
      <c r="I629" s="3074">
        <v>2016</v>
      </c>
      <c r="J629" s="3074">
        <v>4.2300000000000004</v>
      </c>
    </row>
    <row r="630" spans="1:10" ht="24.75" thickBot="1">
      <c r="A630" s="3073">
        <v>31</v>
      </c>
      <c r="B630" s="3074">
        <v>13</v>
      </c>
      <c r="C630" s="3074">
        <f t="shared" si="7"/>
        <v>-7.1428571428571425E-2</v>
      </c>
      <c r="D630" s="3072" t="s">
        <v>3284</v>
      </c>
      <c r="E630" s="3072" t="s">
        <v>3234</v>
      </c>
      <c r="F630" s="3072" t="s">
        <v>3235</v>
      </c>
      <c r="G630" s="3464">
        <v>8.81</v>
      </c>
      <c r="H630" s="3465"/>
      <c r="I630" s="3074">
        <v>2016</v>
      </c>
      <c r="J630" s="3074">
        <v>1.78</v>
      </c>
    </row>
    <row r="631" spans="1:10" ht="24.75" thickBot="1">
      <c r="A631" s="3073">
        <v>32</v>
      </c>
      <c r="B631" s="3074">
        <v>13</v>
      </c>
      <c r="C631" s="3074">
        <f t="shared" si="7"/>
        <v>-7.1428571428571425E-2</v>
      </c>
      <c r="D631" s="3072" t="s">
        <v>3285</v>
      </c>
      <c r="E631" s="3072" t="s">
        <v>3234</v>
      </c>
      <c r="F631" s="3072" t="s">
        <v>3235</v>
      </c>
      <c r="G631" s="3464">
        <v>8.58</v>
      </c>
      <c r="H631" s="3465"/>
      <c r="I631" s="3074">
        <v>2016</v>
      </c>
      <c r="J631" s="3074">
        <v>1.73</v>
      </c>
    </row>
    <row r="632" spans="1:10" ht="24.75" thickBot="1">
      <c r="A632" s="3073">
        <v>33</v>
      </c>
      <c r="B632" s="3074">
        <v>13</v>
      </c>
      <c r="C632" s="3074">
        <f t="shared" ref="C632:C649" si="8">-2/28</f>
        <v>-7.1428571428571425E-2</v>
      </c>
      <c r="D632" s="3072" t="s">
        <v>3286</v>
      </c>
      <c r="E632" s="3072" t="s">
        <v>3234</v>
      </c>
      <c r="F632" s="3072" t="s">
        <v>3235</v>
      </c>
      <c r="G632" s="3464" t="s">
        <v>3660</v>
      </c>
      <c r="H632" s="3465"/>
      <c r="I632" s="3074">
        <v>2016</v>
      </c>
      <c r="J632" s="3074">
        <v>2.4300000000000002</v>
      </c>
    </row>
    <row r="633" spans="1:10" ht="24.75" thickBot="1">
      <c r="A633" s="3073">
        <v>34</v>
      </c>
      <c r="B633" s="3074">
        <v>13</v>
      </c>
      <c r="C633" s="3074">
        <f t="shared" si="8"/>
        <v>-7.1428571428571425E-2</v>
      </c>
      <c r="D633" s="3072" t="s">
        <v>3288</v>
      </c>
      <c r="E633" s="3072" t="s">
        <v>3234</v>
      </c>
      <c r="F633" s="3072" t="s">
        <v>3235</v>
      </c>
      <c r="G633" s="3464" t="s">
        <v>3659</v>
      </c>
      <c r="H633" s="3465"/>
      <c r="I633" s="3074">
        <v>2016</v>
      </c>
      <c r="J633" s="3074">
        <v>2.81</v>
      </c>
    </row>
    <row r="634" spans="1:10" ht="24.75" thickBot="1">
      <c r="A634" s="3073">
        <v>35</v>
      </c>
      <c r="B634" s="3074">
        <v>13</v>
      </c>
      <c r="C634" s="3074">
        <f t="shared" si="8"/>
        <v>-7.1428571428571425E-2</v>
      </c>
      <c r="D634" s="3072" t="s">
        <v>3289</v>
      </c>
      <c r="E634" s="3072" t="s">
        <v>3234</v>
      </c>
      <c r="F634" s="3072" t="s">
        <v>3235</v>
      </c>
      <c r="G634" s="3464" t="s">
        <v>3658</v>
      </c>
      <c r="H634" s="3465"/>
      <c r="I634" s="3074">
        <v>2016</v>
      </c>
      <c r="J634" s="3074">
        <v>3.02</v>
      </c>
    </row>
    <row r="635" spans="1:10" ht="24.75" thickBot="1">
      <c r="A635" s="3073">
        <v>36</v>
      </c>
      <c r="B635" s="3074">
        <v>13</v>
      </c>
      <c r="C635" s="3074">
        <f t="shared" si="8"/>
        <v>-7.1428571428571425E-2</v>
      </c>
      <c r="D635" s="3072" t="s">
        <v>3290</v>
      </c>
      <c r="E635" s="3072" t="s">
        <v>3234</v>
      </c>
      <c r="F635" s="3072" t="s">
        <v>3235</v>
      </c>
      <c r="G635" s="3464" t="s">
        <v>3657</v>
      </c>
      <c r="H635" s="3465"/>
      <c r="I635" s="3074">
        <v>2016</v>
      </c>
      <c r="J635" s="3074">
        <v>3.48</v>
      </c>
    </row>
    <row r="636" spans="1:10" ht="24.75" thickBot="1">
      <c r="A636" s="3073">
        <v>37</v>
      </c>
      <c r="B636" s="3074">
        <v>13</v>
      </c>
      <c r="C636" s="3074">
        <f t="shared" si="8"/>
        <v>-7.1428571428571425E-2</v>
      </c>
      <c r="D636" s="3072" t="s">
        <v>3291</v>
      </c>
      <c r="E636" s="3072" t="s">
        <v>3234</v>
      </c>
      <c r="F636" s="3072" t="s">
        <v>3235</v>
      </c>
      <c r="G636" s="3464" t="s">
        <v>3656</v>
      </c>
      <c r="H636" s="3465"/>
      <c r="I636" s="3074">
        <v>2016</v>
      </c>
      <c r="J636" s="3074">
        <v>3.4</v>
      </c>
    </row>
    <row r="637" spans="1:10" ht="24.75" thickBot="1">
      <c r="A637" s="3073">
        <v>38</v>
      </c>
      <c r="B637" s="3074">
        <v>13</v>
      </c>
      <c r="C637" s="3074">
        <f t="shared" si="8"/>
        <v>-7.1428571428571425E-2</v>
      </c>
      <c r="D637" s="3072" t="s">
        <v>3292</v>
      </c>
      <c r="E637" s="3072" t="s">
        <v>3234</v>
      </c>
      <c r="F637" s="3072" t="s">
        <v>3235</v>
      </c>
      <c r="G637" s="3464" t="s">
        <v>3655</v>
      </c>
      <c r="H637" s="3465"/>
      <c r="I637" s="3074">
        <v>2016</v>
      </c>
      <c r="J637" s="3074">
        <v>5.13</v>
      </c>
    </row>
    <row r="638" spans="1:10" ht="24.75" thickBot="1">
      <c r="A638" s="3073">
        <v>39</v>
      </c>
      <c r="B638" s="3074">
        <v>13</v>
      </c>
      <c r="C638" s="3074">
        <f t="shared" si="8"/>
        <v>-7.1428571428571425E-2</v>
      </c>
      <c r="D638" s="3072" t="s">
        <v>3293</v>
      </c>
      <c r="E638" s="3072" t="s">
        <v>3234</v>
      </c>
      <c r="F638" s="3072" t="s">
        <v>3235</v>
      </c>
      <c r="G638" s="3077">
        <v>11</v>
      </c>
      <c r="H638" s="3074">
        <v>24</v>
      </c>
      <c r="I638" s="3074">
        <v>2016</v>
      </c>
      <c r="J638" s="3074">
        <v>2.27</v>
      </c>
    </row>
    <row r="639" spans="1:10" ht="24.75" thickBot="1">
      <c r="A639" s="3073">
        <v>40</v>
      </c>
      <c r="B639" s="3074">
        <v>13</v>
      </c>
      <c r="C639" s="3074">
        <f t="shared" si="8"/>
        <v>-7.1428571428571425E-2</v>
      </c>
      <c r="D639" s="3072" t="s">
        <v>3295</v>
      </c>
      <c r="E639" s="3072" t="s">
        <v>3234</v>
      </c>
      <c r="F639" s="3072" t="s">
        <v>3235</v>
      </c>
      <c r="G639" s="3464" t="s">
        <v>3652</v>
      </c>
      <c r="H639" s="3465"/>
      <c r="I639" s="3074">
        <v>2016</v>
      </c>
      <c r="J639" s="3074">
        <v>2.13</v>
      </c>
    </row>
    <row r="640" spans="1:10" ht="24.75" thickBot="1">
      <c r="A640" s="3073">
        <v>41</v>
      </c>
      <c r="B640" s="3074">
        <v>13</v>
      </c>
      <c r="C640" s="3074">
        <f t="shared" si="8"/>
        <v>-7.1428571428571425E-2</v>
      </c>
      <c r="D640" s="3072" t="s">
        <v>3296</v>
      </c>
      <c r="E640" s="3072" t="s">
        <v>3234</v>
      </c>
      <c r="F640" s="3072" t="s">
        <v>3235</v>
      </c>
      <c r="G640" s="3464" t="s">
        <v>3653</v>
      </c>
      <c r="H640" s="3465"/>
      <c r="I640" s="3074">
        <v>2016</v>
      </c>
      <c r="J640" s="3074">
        <v>2.0699999999999998</v>
      </c>
    </row>
    <row r="641" spans="1:12" ht="24.75" thickBot="1">
      <c r="A641" s="3073">
        <v>42</v>
      </c>
      <c r="B641" s="3074">
        <v>13</v>
      </c>
      <c r="C641" s="3074">
        <f t="shared" si="8"/>
        <v>-7.1428571428571425E-2</v>
      </c>
      <c r="D641" s="3072" t="s">
        <v>3297</v>
      </c>
      <c r="E641" s="3072" t="s">
        <v>3234</v>
      </c>
      <c r="F641" s="3072" t="s">
        <v>3235</v>
      </c>
      <c r="G641" s="3464" t="s">
        <v>3654</v>
      </c>
      <c r="H641" s="3465"/>
      <c r="I641" s="3074">
        <v>2016</v>
      </c>
      <c r="J641" s="3074">
        <v>2.68</v>
      </c>
    </row>
    <row r="642" spans="1:12" ht="24.75" thickBot="1">
      <c r="A642" s="3073">
        <v>43</v>
      </c>
      <c r="B642" s="3074">
        <v>13</v>
      </c>
      <c r="C642" s="3074">
        <f t="shared" si="8"/>
        <v>-7.1428571428571425E-2</v>
      </c>
      <c r="D642" s="3072" t="s">
        <v>3298</v>
      </c>
      <c r="E642" s="3072" t="s">
        <v>3234</v>
      </c>
      <c r="F642" s="3072" t="s">
        <v>3235</v>
      </c>
      <c r="G642" s="3464" t="s">
        <v>3651</v>
      </c>
      <c r="H642" s="3465"/>
      <c r="I642" s="3074">
        <v>2016</v>
      </c>
      <c r="J642" s="3074">
        <v>3.44</v>
      </c>
    </row>
    <row r="643" spans="1:12" ht="24.75" thickBot="1">
      <c r="A643" s="3073">
        <v>44</v>
      </c>
      <c r="B643" s="3074">
        <v>13</v>
      </c>
      <c r="C643" s="3074">
        <f t="shared" si="8"/>
        <v>-7.1428571428571425E-2</v>
      </c>
      <c r="D643" s="3072" t="s">
        <v>3299</v>
      </c>
      <c r="E643" s="3072" t="s">
        <v>3234</v>
      </c>
      <c r="F643" s="3072" t="s">
        <v>3235</v>
      </c>
      <c r="G643" s="3464" t="s">
        <v>3650</v>
      </c>
      <c r="H643" s="3465"/>
      <c r="I643" s="3074">
        <v>2016</v>
      </c>
      <c r="J643" s="3074">
        <v>3.57</v>
      </c>
    </row>
    <row r="644" spans="1:12" ht="24.75" thickBot="1">
      <c r="A644" s="3073">
        <v>45</v>
      </c>
      <c r="B644" s="3074">
        <v>13</v>
      </c>
      <c r="C644" s="3074">
        <f t="shared" si="8"/>
        <v>-7.1428571428571425E-2</v>
      </c>
      <c r="D644" s="3072" t="s">
        <v>3300</v>
      </c>
      <c r="E644" s="3072" t="s">
        <v>3234</v>
      </c>
      <c r="F644" s="3072" t="s">
        <v>3235</v>
      </c>
      <c r="G644" s="3464" t="s">
        <v>3649</v>
      </c>
      <c r="H644" s="3465"/>
      <c r="I644" s="3074">
        <v>2016</v>
      </c>
      <c r="J644" s="3074">
        <v>2.46</v>
      </c>
    </row>
    <row r="645" spans="1:12" ht="24.75" thickBot="1">
      <c r="A645" s="3073">
        <v>46</v>
      </c>
      <c r="B645" s="3074">
        <v>13</v>
      </c>
      <c r="C645" s="3074">
        <f t="shared" si="8"/>
        <v>-7.1428571428571425E-2</v>
      </c>
      <c r="D645" s="3072" t="s">
        <v>3301</v>
      </c>
      <c r="E645" s="3072" t="s">
        <v>3234</v>
      </c>
      <c r="F645" s="3072" t="s">
        <v>3235</v>
      </c>
      <c r="G645" s="3077">
        <v>11</v>
      </c>
      <c r="H645" s="3074">
        <v>68</v>
      </c>
      <c r="I645" s="3074">
        <v>2016</v>
      </c>
      <c r="J645" s="3074">
        <v>2.35</v>
      </c>
    </row>
    <row r="646" spans="1:12" ht="24.75" thickBot="1">
      <c r="A646" s="3073">
        <v>47</v>
      </c>
      <c r="B646" s="3074">
        <v>13</v>
      </c>
      <c r="C646" s="3074">
        <f t="shared" si="8"/>
        <v>-7.1428571428571425E-2</v>
      </c>
      <c r="D646" s="3072" t="s">
        <v>3302</v>
      </c>
      <c r="E646" s="3072" t="s">
        <v>3234</v>
      </c>
      <c r="F646" s="3072" t="s">
        <v>3235</v>
      </c>
      <c r="G646" s="3464" t="s">
        <v>3647</v>
      </c>
      <c r="H646" s="3465"/>
      <c r="I646" s="3074">
        <v>2016</v>
      </c>
      <c r="J646" s="3074">
        <v>2.84</v>
      </c>
    </row>
    <row r="647" spans="1:12" ht="24.75" thickBot="1">
      <c r="A647" s="3073">
        <v>48</v>
      </c>
      <c r="B647" s="3074">
        <v>13</v>
      </c>
      <c r="C647" s="3074">
        <f t="shared" si="8"/>
        <v>-7.1428571428571425E-2</v>
      </c>
      <c r="D647" s="3072" t="s">
        <v>3303</v>
      </c>
      <c r="E647" s="3072" t="s">
        <v>3234</v>
      </c>
      <c r="F647" s="3072" t="s">
        <v>3235</v>
      </c>
      <c r="G647" s="3464" t="s">
        <v>3646</v>
      </c>
      <c r="H647" s="3465"/>
      <c r="I647" s="3074">
        <v>2016</v>
      </c>
      <c r="J647" s="3074">
        <v>2.93</v>
      </c>
    </row>
    <row r="648" spans="1:12" ht="24.75" thickBot="1">
      <c r="A648" s="3073">
        <v>49</v>
      </c>
      <c r="B648" s="3074">
        <v>13</v>
      </c>
      <c r="C648" s="3074">
        <f t="shared" si="8"/>
        <v>-7.1428571428571425E-2</v>
      </c>
      <c r="D648" s="3072" t="s">
        <v>3304</v>
      </c>
      <c r="E648" s="3072" t="s">
        <v>3234</v>
      </c>
      <c r="F648" s="3072" t="s">
        <v>3235</v>
      </c>
      <c r="G648" s="3464" t="s">
        <v>3667</v>
      </c>
      <c r="H648" s="3465"/>
      <c r="I648" s="3074">
        <v>2016</v>
      </c>
      <c r="J648" s="3074">
        <v>2.71</v>
      </c>
    </row>
    <row r="649" spans="1:12" ht="24.75" thickBot="1">
      <c r="A649" s="3073">
        <v>50</v>
      </c>
      <c r="B649" s="3074">
        <v>13</v>
      </c>
      <c r="C649" s="3074">
        <f t="shared" si="8"/>
        <v>-7.1428571428571425E-2</v>
      </c>
      <c r="D649" s="3072" t="s">
        <v>3305</v>
      </c>
      <c r="E649" s="3072" t="s">
        <v>3234</v>
      </c>
      <c r="F649" s="3072" t="s">
        <v>3235</v>
      </c>
      <c r="G649" s="3464" t="s">
        <v>3645</v>
      </c>
      <c r="H649" s="3465"/>
      <c r="I649" s="3074">
        <v>2016</v>
      </c>
      <c r="J649" s="3074">
        <v>6.13</v>
      </c>
    </row>
    <row r="650" spans="1:12" ht="24.75" thickBot="1">
      <c r="A650" s="3073">
        <v>51</v>
      </c>
      <c r="B650" s="3074">
        <v>13</v>
      </c>
      <c r="C650" s="3074">
        <f>-1/28</f>
        <v>-3.5714285714285712E-2</v>
      </c>
      <c r="D650" s="3072" t="s">
        <v>3314</v>
      </c>
      <c r="E650" s="3072" t="s">
        <v>3234</v>
      </c>
      <c r="F650" s="3072" t="s">
        <v>3235</v>
      </c>
      <c r="G650" s="3464" t="s">
        <v>3645</v>
      </c>
      <c r="H650" s="3465"/>
      <c r="I650" s="3074">
        <v>2016</v>
      </c>
      <c r="J650" s="3074">
        <v>6.13</v>
      </c>
    </row>
    <row r="651" spans="1:12" ht="24.75" thickBot="1">
      <c r="A651" s="3073">
        <v>52</v>
      </c>
      <c r="B651" s="3074">
        <v>13</v>
      </c>
      <c r="C651" s="3074">
        <f>-1/28</f>
        <v>-3.5714285714285712E-2</v>
      </c>
      <c r="D651" s="3072" t="s">
        <v>3315</v>
      </c>
      <c r="E651" s="3072" t="s">
        <v>3234</v>
      </c>
      <c r="F651" s="3072" t="s">
        <v>3235</v>
      </c>
      <c r="G651" s="3464" t="s">
        <v>3667</v>
      </c>
      <c r="H651" s="3465"/>
      <c r="I651" s="3074">
        <v>2016</v>
      </c>
      <c r="J651" s="3074">
        <v>2.71</v>
      </c>
    </row>
    <row r="652" spans="1:12" ht="24.75" thickBot="1">
      <c r="A652" s="3073">
        <v>53</v>
      </c>
      <c r="B652" s="3074">
        <v>13</v>
      </c>
      <c r="C652" s="3074">
        <f>-1/28</f>
        <v>-3.5714285714285712E-2</v>
      </c>
      <c r="D652" s="3072" t="s">
        <v>3316</v>
      </c>
      <c r="E652" s="3072" t="s">
        <v>3234</v>
      </c>
      <c r="F652" s="3072" t="s">
        <v>3235</v>
      </c>
      <c r="G652" s="3464" t="s">
        <v>3668</v>
      </c>
      <c r="H652" s="3465"/>
      <c r="I652" s="3074">
        <v>2016</v>
      </c>
      <c r="J652" s="3074">
        <v>2.9</v>
      </c>
    </row>
    <row r="653" spans="1:12">
      <c r="A653" s="3070"/>
    </row>
    <row r="655" spans="1:12" ht="14.25" thickBot="1">
      <c r="A655" s="3078"/>
    </row>
    <row r="656" spans="1:12">
      <c r="A656" s="3458" t="s">
        <v>3223</v>
      </c>
      <c r="B656" s="3458" t="s">
        <v>3224</v>
      </c>
      <c r="C656" s="3071" t="s">
        <v>3225</v>
      </c>
      <c r="D656" s="3458" t="s">
        <v>3227</v>
      </c>
      <c r="E656" s="3458" t="s">
        <v>1341</v>
      </c>
      <c r="F656" s="3458" t="s">
        <v>3228</v>
      </c>
      <c r="G656" s="3460" t="s">
        <v>3229</v>
      </c>
      <c r="H656" s="3467"/>
      <c r="I656" s="3461"/>
      <c r="J656" s="3458" t="s">
        <v>3231</v>
      </c>
      <c r="K656" s="3460" t="s">
        <v>3232</v>
      </c>
      <c r="L656" s="3461"/>
    </row>
    <row r="657" spans="1:12" ht="14.25" thickBot="1">
      <c r="A657" s="3459"/>
      <c r="B657" s="3459"/>
      <c r="C657" s="3072" t="s">
        <v>3226</v>
      </c>
      <c r="D657" s="3459"/>
      <c r="E657" s="3459"/>
      <c r="F657" s="3459"/>
      <c r="G657" s="3462" t="s">
        <v>3230</v>
      </c>
      <c r="H657" s="3468"/>
      <c r="I657" s="3463"/>
      <c r="J657" s="3459"/>
      <c r="K657" s="3462"/>
      <c r="L657" s="3463"/>
    </row>
    <row r="658" spans="1:12" ht="24.75" thickBot="1">
      <c r="A658" s="3073">
        <v>54</v>
      </c>
      <c r="B658" s="3074">
        <v>13</v>
      </c>
      <c r="C658" s="3074">
        <f t="shared" ref="C658:C696" si="9">-1/28</f>
        <v>-3.5714285714285712E-2</v>
      </c>
      <c r="D658" s="3072" t="s">
        <v>3317</v>
      </c>
      <c r="E658" s="3072" t="s">
        <v>3234</v>
      </c>
      <c r="F658" s="3072" t="s">
        <v>3235</v>
      </c>
      <c r="G658" s="3464" t="s">
        <v>3669</v>
      </c>
      <c r="H658" s="3466"/>
      <c r="I658" s="3465"/>
      <c r="J658" s="3074">
        <v>2016</v>
      </c>
      <c r="K658" s="3464">
        <v>2.81</v>
      </c>
      <c r="L658" s="3465"/>
    </row>
    <row r="659" spans="1:12" ht="24.75" thickBot="1">
      <c r="A659" s="3073">
        <v>55</v>
      </c>
      <c r="B659" s="3074">
        <v>13</v>
      </c>
      <c r="C659" s="3074">
        <f t="shared" si="9"/>
        <v>-3.5714285714285712E-2</v>
      </c>
      <c r="D659" s="3072" t="s">
        <v>3318</v>
      </c>
      <c r="E659" s="3072" t="s">
        <v>3234</v>
      </c>
      <c r="F659" s="3072" t="s">
        <v>3235</v>
      </c>
      <c r="G659" s="3077">
        <v>11</v>
      </c>
      <c r="H659" s="3466">
        <v>68</v>
      </c>
      <c r="I659" s="3465"/>
      <c r="J659" s="3074">
        <v>2016</v>
      </c>
      <c r="K659" s="3464">
        <v>2.35</v>
      </c>
      <c r="L659" s="3465"/>
    </row>
    <row r="660" spans="1:12" ht="24.75" thickBot="1">
      <c r="A660" s="3073">
        <v>56</v>
      </c>
      <c r="B660" s="3074">
        <v>13</v>
      </c>
      <c r="C660" s="3074">
        <f t="shared" si="9"/>
        <v>-3.5714285714285712E-2</v>
      </c>
      <c r="D660" s="3072" t="s">
        <v>3319</v>
      </c>
      <c r="E660" s="3072" t="s">
        <v>3234</v>
      </c>
      <c r="F660" s="3072" t="s">
        <v>3235</v>
      </c>
      <c r="G660" s="3464" t="s">
        <v>3649</v>
      </c>
      <c r="H660" s="3466"/>
      <c r="I660" s="3465"/>
      <c r="J660" s="3074">
        <v>2016</v>
      </c>
      <c r="K660" s="3464">
        <v>2.46</v>
      </c>
      <c r="L660" s="3465"/>
    </row>
    <row r="661" spans="1:12" ht="22.5" thickBot="1">
      <c r="A661" s="3073">
        <v>57</v>
      </c>
      <c r="B661" s="3074">
        <v>13</v>
      </c>
      <c r="C661" s="3074">
        <f t="shared" si="9"/>
        <v>-3.5714285714285712E-2</v>
      </c>
      <c r="D661" s="3083" t="s">
        <v>3670</v>
      </c>
      <c r="E661" s="3083" t="s">
        <v>3234</v>
      </c>
      <c r="F661" s="3083" t="s">
        <v>3235</v>
      </c>
      <c r="G661" s="3464" t="s">
        <v>3650</v>
      </c>
      <c r="H661" s="3466"/>
      <c r="I661" s="3465"/>
      <c r="J661" s="3074">
        <v>2016</v>
      </c>
      <c r="K661" s="3464">
        <v>3.57</v>
      </c>
      <c r="L661" s="3465"/>
    </row>
    <row r="662" spans="1:12" ht="22.5" thickBot="1">
      <c r="A662" s="3073">
        <v>58</v>
      </c>
      <c r="B662" s="3074">
        <v>13</v>
      </c>
      <c r="C662" s="3074">
        <f t="shared" si="9"/>
        <v>-3.5714285714285712E-2</v>
      </c>
      <c r="D662" s="3083" t="s">
        <v>3671</v>
      </c>
      <c r="E662" s="3083" t="s">
        <v>3234</v>
      </c>
      <c r="F662" s="3083" t="s">
        <v>3235</v>
      </c>
      <c r="G662" s="3464" t="s">
        <v>3651</v>
      </c>
      <c r="H662" s="3466"/>
      <c r="I662" s="3465"/>
      <c r="J662" s="3074">
        <v>2016</v>
      </c>
      <c r="K662" s="3464">
        <v>3.44</v>
      </c>
      <c r="L662" s="3465"/>
    </row>
    <row r="663" spans="1:12" ht="24.75" thickBot="1">
      <c r="A663" s="3073">
        <v>59</v>
      </c>
      <c r="B663" s="3074">
        <v>13</v>
      </c>
      <c r="C663" s="3074">
        <f t="shared" si="9"/>
        <v>-3.5714285714285712E-2</v>
      </c>
      <c r="D663" s="3072" t="s">
        <v>3322</v>
      </c>
      <c r="E663" s="3072" t="s">
        <v>3234</v>
      </c>
      <c r="F663" s="3072" t="s">
        <v>3235</v>
      </c>
      <c r="G663" s="3464" t="s">
        <v>3652</v>
      </c>
      <c r="H663" s="3466"/>
      <c r="I663" s="3465"/>
      <c r="J663" s="3074">
        <v>2016</v>
      </c>
      <c r="K663" s="3464">
        <v>2.13</v>
      </c>
      <c r="L663" s="3465"/>
    </row>
    <row r="664" spans="1:12" ht="24.75" thickBot="1">
      <c r="A664" s="3073">
        <v>60</v>
      </c>
      <c r="B664" s="3074">
        <v>13</v>
      </c>
      <c r="C664" s="3074">
        <f t="shared" si="9"/>
        <v>-3.5714285714285712E-2</v>
      </c>
      <c r="D664" s="3072" t="s">
        <v>3323</v>
      </c>
      <c r="E664" s="3072" t="s">
        <v>3234</v>
      </c>
      <c r="F664" s="3072" t="s">
        <v>3235</v>
      </c>
      <c r="G664" s="3464" t="s">
        <v>3653</v>
      </c>
      <c r="H664" s="3466"/>
      <c r="I664" s="3465"/>
      <c r="J664" s="3074">
        <v>2016</v>
      </c>
      <c r="K664" s="3464">
        <v>2.0699999999999998</v>
      </c>
      <c r="L664" s="3465"/>
    </row>
    <row r="665" spans="1:12" ht="24.75" thickBot="1">
      <c r="A665" s="3073">
        <v>61</v>
      </c>
      <c r="B665" s="3074">
        <v>13</v>
      </c>
      <c r="C665" s="3074">
        <f t="shared" si="9"/>
        <v>-3.5714285714285712E-2</v>
      </c>
      <c r="D665" s="3072" t="s">
        <v>3325</v>
      </c>
      <c r="E665" s="3072" t="s">
        <v>3234</v>
      </c>
      <c r="F665" s="3072" t="s">
        <v>3235</v>
      </c>
      <c r="G665" s="3464" t="s">
        <v>3654</v>
      </c>
      <c r="H665" s="3466"/>
      <c r="I665" s="3465"/>
      <c r="J665" s="3074">
        <v>2016</v>
      </c>
      <c r="K665" s="3464">
        <v>2.68</v>
      </c>
      <c r="L665" s="3465"/>
    </row>
    <row r="666" spans="1:12" ht="24.75" thickBot="1">
      <c r="A666" s="3073">
        <v>62</v>
      </c>
      <c r="B666" s="3074">
        <v>13</v>
      </c>
      <c r="C666" s="3074">
        <f t="shared" si="9"/>
        <v>-3.5714285714285712E-2</v>
      </c>
      <c r="D666" s="3072" t="s">
        <v>3326</v>
      </c>
      <c r="E666" s="3072" t="s">
        <v>3234</v>
      </c>
      <c r="F666" s="3072" t="s">
        <v>3235</v>
      </c>
      <c r="G666" s="3464" t="s">
        <v>3672</v>
      </c>
      <c r="H666" s="3466"/>
      <c r="I666" s="3465"/>
      <c r="J666" s="3074">
        <v>2016</v>
      </c>
      <c r="K666" s="3464">
        <v>2.3199999999999998</v>
      </c>
      <c r="L666" s="3465"/>
    </row>
    <row r="667" spans="1:12" ht="24.75" thickBot="1">
      <c r="A667" s="3073">
        <v>63</v>
      </c>
      <c r="B667" s="3074">
        <v>13</v>
      </c>
      <c r="C667" s="3074">
        <f t="shared" si="9"/>
        <v>-3.5714285714285712E-2</v>
      </c>
      <c r="D667" s="3072" t="s">
        <v>3327</v>
      </c>
      <c r="E667" s="3072" t="s">
        <v>3234</v>
      </c>
      <c r="F667" s="3072" t="s">
        <v>3235</v>
      </c>
      <c r="G667" s="3464" t="s">
        <v>3655</v>
      </c>
      <c r="H667" s="3466"/>
      <c r="I667" s="3465"/>
      <c r="J667" s="3074">
        <v>2016</v>
      </c>
      <c r="K667" s="3464">
        <v>5.13</v>
      </c>
      <c r="L667" s="3465"/>
    </row>
    <row r="668" spans="1:12" ht="24.75" thickBot="1">
      <c r="A668" s="3073">
        <v>64</v>
      </c>
      <c r="B668" s="3074">
        <v>13</v>
      </c>
      <c r="C668" s="3074">
        <f t="shared" si="9"/>
        <v>-3.5714285714285712E-2</v>
      </c>
      <c r="D668" s="3072" t="s">
        <v>3328</v>
      </c>
      <c r="E668" s="3072" t="s">
        <v>3234</v>
      </c>
      <c r="F668" s="3072" t="s">
        <v>3235</v>
      </c>
      <c r="G668" s="3464" t="s">
        <v>3673</v>
      </c>
      <c r="H668" s="3466"/>
      <c r="I668" s="3465"/>
      <c r="J668" s="3074">
        <v>2016</v>
      </c>
      <c r="K668" s="3464">
        <v>4.5999999999999996</v>
      </c>
      <c r="L668" s="3465"/>
    </row>
    <row r="669" spans="1:12" ht="24.75" thickBot="1">
      <c r="A669" s="3073">
        <v>65</v>
      </c>
      <c r="B669" s="3074">
        <v>13</v>
      </c>
      <c r="C669" s="3074">
        <f t="shared" si="9"/>
        <v>-3.5714285714285712E-2</v>
      </c>
      <c r="D669" s="3072" t="s">
        <v>3329</v>
      </c>
      <c r="E669" s="3072" t="s">
        <v>3234</v>
      </c>
      <c r="F669" s="3072" t="s">
        <v>3235</v>
      </c>
      <c r="G669" s="3464">
        <v>8.81</v>
      </c>
      <c r="H669" s="3466"/>
      <c r="I669" s="3465"/>
      <c r="J669" s="3074">
        <v>2016</v>
      </c>
      <c r="K669" s="3464">
        <v>1.78</v>
      </c>
      <c r="L669" s="3465"/>
    </row>
    <row r="670" spans="1:12" ht="24.75" thickBot="1">
      <c r="A670" s="3073">
        <v>66</v>
      </c>
      <c r="B670" s="3074">
        <v>13</v>
      </c>
      <c r="C670" s="3074">
        <f t="shared" si="9"/>
        <v>-3.5714285714285712E-2</v>
      </c>
      <c r="D670" s="3072" t="s">
        <v>3330</v>
      </c>
      <c r="E670" s="3072" t="s">
        <v>3234</v>
      </c>
      <c r="F670" s="3072" t="s">
        <v>3235</v>
      </c>
      <c r="G670" s="3464">
        <v>8.58</v>
      </c>
      <c r="H670" s="3466"/>
      <c r="I670" s="3465"/>
      <c r="J670" s="3074">
        <v>2016</v>
      </c>
      <c r="K670" s="3464">
        <v>1.73</v>
      </c>
      <c r="L670" s="3465"/>
    </row>
    <row r="671" spans="1:12" ht="24.75" thickBot="1">
      <c r="A671" s="3073">
        <v>67</v>
      </c>
      <c r="B671" s="3074">
        <v>13</v>
      </c>
      <c r="C671" s="3074">
        <f t="shared" si="9"/>
        <v>-3.5714285714285712E-2</v>
      </c>
      <c r="D671" s="3072" t="s">
        <v>3331</v>
      </c>
      <c r="E671" s="3072" t="s">
        <v>3234</v>
      </c>
      <c r="F671" s="3072" t="s">
        <v>3235</v>
      </c>
      <c r="G671" s="3464" t="s">
        <v>3660</v>
      </c>
      <c r="H671" s="3466"/>
      <c r="I671" s="3465"/>
      <c r="J671" s="3074">
        <v>2016</v>
      </c>
      <c r="K671" s="3464">
        <v>2.4300000000000002</v>
      </c>
      <c r="L671" s="3465"/>
    </row>
    <row r="672" spans="1:12" ht="24.75" thickBot="1">
      <c r="A672" s="3073">
        <v>68</v>
      </c>
      <c r="B672" s="3074">
        <v>13</v>
      </c>
      <c r="C672" s="3074">
        <f t="shared" si="9"/>
        <v>-3.5714285714285712E-2</v>
      </c>
      <c r="D672" s="3072" t="s">
        <v>3332</v>
      </c>
      <c r="E672" s="3072" t="s">
        <v>3234</v>
      </c>
      <c r="F672" s="3072" t="s">
        <v>3235</v>
      </c>
      <c r="G672" s="3464" t="s">
        <v>3661</v>
      </c>
      <c r="H672" s="3466"/>
      <c r="I672" s="3465"/>
      <c r="J672" s="3074">
        <v>2016</v>
      </c>
      <c r="K672" s="3464">
        <v>2.37</v>
      </c>
      <c r="L672" s="3465"/>
    </row>
    <row r="673" spans="1:12" ht="24.75" thickBot="1">
      <c r="A673" s="3073">
        <v>69</v>
      </c>
      <c r="B673" s="3074">
        <v>13</v>
      </c>
      <c r="C673" s="3074">
        <f t="shared" si="9"/>
        <v>-3.5714285714285712E-2</v>
      </c>
      <c r="D673" s="3072" t="s">
        <v>3334</v>
      </c>
      <c r="E673" s="3072" t="s">
        <v>3234</v>
      </c>
      <c r="F673" s="3072" t="s">
        <v>3235</v>
      </c>
      <c r="G673" s="3464" t="s">
        <v>3662</v>
      </c>
      <c r="H673" s="3466"/>
      <c r="I673" s="3465"/>
      <c r="J673" s="3074">
        <v>2016</v>
      </c>
      <c r="K673" s="3464">
        <v>2.1800000000000002</v>
      </c>
      <c r="L673" s="3465"/>
    </row>
    <row r="674" spans="1:12" ht="24.75" thickBot="1">
      <c r="A674" s="3073">
        <v>70</v>
      </c>
      <c r="B674" s="3074">
        <v>13</v>
      </c>
      <c r="C674" s="3074">
        <f t="shared" si="9"/>
        <v>-3.5714285714285712E-2</v>
      </c>
      <c r="D674" s="3072" t="s">
        <v>3335</v>
      </c>
      <c r="E674" s="3072" t="s">
        <v>3234</v>
      </c>
      <c r="F674" s="3072" t="s">
        <v>3235</v>
      </c>
      <c r="G674" s="3464" t="s">
        <v>3674</v>
      </c>
      <c r="H674" s="3466"/>
      <c r="I674" s="3465"/>
      <c r="J674" s="3074">
        <v>2016</v>
      </c>
      <c r="K674" s="3464">
        <v>2.42</v>
      </c>
      <c r="L674" s="3465"/>
    </row>
    <row r="675" spans="1:12" ht="24.75" thickBot="1">
      <c r="A675" s="3073">
        <v>71</v>
      </c>
      <c r="B675" s="3074">
        <v>13</v>
      </c>
      <c r="C675" s="3074">
        <f t="shared" si="9"/>
        <v>-3.5714285714285712E-2</v>
      </c>
      <c r="D675" s="3072" t="s">
        <v>3336</v>
      </c>
      <c r="E675" s="3072" t="s">
        <v>3234</v>
      </c>
      <c r="F675" s="3072" t="s">
        <v>3235</v>
      </c>
      <c r="G675" s="3464" t="s">
        <v>3674</v>
      </c>
      <c r="H675" s="3466"/>
      <c r="I675" s="3465"/>
      <c r="J675" s="3074">
        <v>2016</v>
      </c>
      <c r="K675" s="3464">
        <v>2.42</v>
      </c>
      <c r="L675" s="3465"/>
    </row>
    <row r="676" spans="1:12" ht="24.75" thickBot="1">
      <c r="A676" s="3073">
        <v>72</v>
      </c>
      <c r="B676" s="3074">
        <v>13</v>
      </c>
      <c r="C676" s="3074">
        <f t="shared" si="9"/>
        <v>-3.5714285714285712E-2</v>
      </c>
      <c r="D676" s="3072" t="s">
        <v>3337</v>
      </c>
      <c r="E676" s="3072" t="s">
        <v>3234</v>
      </c>
      <c r="F676" s="3072" t="s">
        <v>3235</v>
      </c>
      <c r="G676" s="3464" t="s">
        <v>3674</v>
      </c>
      <c r="H676" s="3466"/>
      <c r="I676" s="3465"/>
      <c r="J676" s="3074">
        <v>2016</v>
      </c>
      <c r="K676" s="3464">
        <v>2.42</v>
      </c>
      <c r="L676" s="3465"/>
    </row>
    <row r="677" spans="1:12" ht="24.75" thickBot="1">
      <c r="A677" s="3073">
        <v>73</v>
      </c>
      <c r="B677" s="3074">
        <v>13</v>
      </c>
      <c r="C677" s="3074">
        <f t="shared" si="9"/>
        <v>-3.5714285714285712E-2</v>
      </c>
      <c r="D677" s="3072" t="s">
        <v>3339</v>
      </c>
      <c r="E677" s="3072" t="s">
        <v>3234</v>
      </c>
      <c r="F677" s="3072" t="s">
        <v>3235</v>
      </c>
      <c r="G677" s="3464" t="s">
        <v>3674</v>
      </c>
      <c r="H677" s="3466"/>
      <c r="I677" s="3465"/>
      <c r="J677" s="3074">
        <v>2016</v>
      </c>
      <c r="K677" s="3464">
        <v>2.42</v>
      </c>
      <c r="L677" s="3465"/>
    </row>
    <row r="678" spans="1:12" ht="24.75" thickBot="1">
      <c r="A678" s="3073">
        <v>74</v>
      </c>
      <c r="B678" s="3074">
        <v>13</v>
      </c>
      <c r="C678" s="3074">
        <f t="shared" si="9"/>
        <v>-3.5714285714285712E-2</v>
      </c>
      <c r="D678" s="3072" t="s">
        <v>3340</v>
      </c>
      <c r="E678" s="3072" t="s">
        <v>3234</v>
      </c>
      <c r="F678" s="3072" t="s">
        <v>3235</v>
      </c>
      <c r="G678" s="3464" t="s">
        <v>3662</v>
      </c>
      <c r="H678" s="3466"/>
      <c r="I678" s="3465"/>
      <c r="J678" s="3074">
        <v>2016</v>
      </c>
      <c r="K678" s="3464">
        <v>2.1800000000000002</v>
      </c>
      <c r="L678" s="3465"/>
    </row>
    <row r="679" spans="1:12" ht="24.75" thickBot="1">
      <c r="A679" s="3073">
        <v>75</v>
      </c>
      <c r="B679" s="3074">
        <v>13</v>
      </c>
      <c r="C679" s="3074">
        <f t="shared" si="9"/>
        <v>-3.5714285714285712E-2</v>
      </c>
      <c r="D679" s="3072" t="s">
        <v>3341</v>
      </c>
      <c r="E679" s="3072" t="s">
        <v>3234</v>
      </c>
      <c r="F679" s="3072" t="s">
        <v>3235</v>
      </c>
      <c r="G679" s="3464" t="s">
        <v>3666</v>
      </c>
      <c r="H679" s="3466"/>
      <c r="I679" s="3465"/>
      <c r="J679" s="3074">
        <v>2016</v>
      </c>
      <c r="K679" s="3464">
        <v>4.2300000000000004</v>
      </c>
      <c r="L679" s="3465"/>
    </row>
    <row r="680" spans="1:12" ht="24.75" thickBot="1">
      <c r="A680" s="3073">
        <v>76</v>
      </c>
      <c r="B680" s="3074">
        <v>13</v>
      </c>
      <c r="C680" s="3074">
        <f t="shared" si="9"/>
        <v>-3.5714285714285712E-2</v>
      </c>
      <c r="D680" s="3072" t="s">
        <v>3342</v>
      </c>
      <c r="E680" s="3072" t="s">
        <v>3234</v>
      </c>
      <c r="F680" s="3072" t="s">
        <v>3235</v>
      </c>
      <c r="G680" s="3464">
        <v>8.81</v>
      </c>
      <c r="H680" s="3466"/>
      <c r="I680" s="3465"/>
      <c r="J680" s="3074">
        <v>2016</v>
      </c>
      <c r="K680" s="3464">
        <v>1.78</v>
      </c>
      <c r="L680" s="3465"/>
    </row>
    <row r="681" spans="1:12" ht="24.75" thickBot="1">
      <c r="A681" s="3073">
        <v>77</v>
      </c>
      <c r="B681" s="3074">
        <v>13</v>
      </c>
      <c r="C681" s="3074">
        <f t="shared" si="9"/>
        <v>-3.5714285714285712E-2</v>
      </c>
      <c r="D681" s="3072" t="s">
        <v>3343</v>
      </c>
      <c r="E681" s="3072" t="s">
        <v>3234</v>
      </c>
      <c r="F681" s="3072" t="s">
        <v>3235</v>
      </c>
      <c r="G681" s="3464">
        <v>8.58</v>
      </c>
      <c r="H681" s="3466"/>
      <c r="I681" s="3465"/>
      <c r="J681" s="3074">
        <v>2016</v>
      </c>
      <c r="K681" s="3464">
        <v>1.73</v>
      </c>
      <c r="L681" s="3465"/>
    </row>
    <row r="682" spans="1:12" ht="24.75" thickBot="1">
      <c r="A682" s="3073">
        <v>78</v>
      </c>
      <c r="B682" s="3074">
        <v>13</v>
      </c>
      <c r="C682" s="3074">
        <f t="shared" si="9"/>
        <v>-3.5714285714285712E-2</v>
      </c>
      <c r="D682" s="3072" t="s">
        <v>3344</v>
      </c>
      <c r="E682" s="3072" t="s">
        <v>3234</v>
      </c>
      <c r="F682" s="3072" t="s">
        <v>3235</v>
      </c>
      <c r="G682" s="3464" t="s">
        <v>3660</v>
      </c>
      <c r="H682" s="3466"/>
      <c r="I682" s="3465"/>
      <c r="J682" s="3074">
        <v>2016</v>
      </c>
      <c r="K682" s="3464">
        <v>2.4300000000000002</v>
      </c>
      <c r="L682" s="3465"/>
    </row>
    <row r="683" spans="1:12" ht="24.75" thickBot="1">
      <c r="A683" s="3073">
        <v>79</v>
      </c>
      <c r="B683" s="3074">
        <v>13</v>
      </c>
      <c r="C683" s="3074">
        <f t="shared" si="9"/>
        <v>-3.5714285714285712E-2</v>
      </c>
      <c r="D683" s="3072" t="s">
        <v>3345</v>
      </c>
      <c r="E683" s="3072" t="s">
        <v>3234</v>
      </c>
      <c r="F683" s="3072" t="s">
        <v>3235</v>
      </c>
      <c r="G683" s="3464" t="s">
        <v>3673</v>
      </c>
      <c r="H683" s="3466"/>
      <c r="I683" s="3465"/>
      <c r="J683" s="3074">
        <v>2016</v>
      </c>
      <c r="K683" s="3464">
        <v>4.5999999999999996</v>
      </c>
      <c r="L683" s="3465"/>
    </row>
    <row r="684" spans="1:12" ht="24.75" thickBot="1">
      <c r="A684" s="3073">
        <v>80</v>
      </c>
      <c r="B684" s="3074">
        <v>13</v>
      </c>
      <c r="C684" s="3074">
        <f t="shared" si="9"/>
        <v>-3.5714285714285712E-2</v>
      </c>
      <c r="D684" s="3072" t="s">
        <v>3346</v>
      </c>
      <c r="E684" s="3072" t="s">
        <v>3234</v>
      </c>
      <c r="F684" s="3072" t="s">
        <v>3235</v>
      </c>
      <c r="G684" s="3464" t="s">
        <v>3655</v>
      </c>
      <c r="H684" s="3466"/>
      <c r="I684" s="3465"/>
      <c r="J684" s="3074">
        <v>2016</v>
      </c>
      <c r="K684" s="3464">
        <v>5.13</v>
      </c>
      <c r="L684" s="3465"/>
    </row>
    <row r="685" spans="1:12" ht="24.75" thickBot="1">
      <c r="A685" s="3073">
        <v>81</v>
      </c>
      <c r="B685" s="3074">
        <v>13</v>
      </c>
      <c r="C685" s="3074">
        <f t="shared" si="9"/>
        <v>-3.5714285714285712E-2</v>
      </c>
      <c r="D685" s="3072" t="s">
        <v>3347</v>
      </c>
      <c r="E685" s="3072" t="s">
        <v>3234</v>
      </c>
      <c r="F685" s="3072" t="s">
        <v>3235</v>
      </c>
      <c r="G685" s="3464" t="s">
        <v>3675</v>
      </c>
      <c r="H685" s="3466"/>
      <c r="I685" s="3465"/>
      <c r="J685" s="3074">
        <v>2016</v>
      </c>
      <c r="K685" s="3464">
        <v>2.34</v>
      </c>
      <c r="L685" s="3465"/>
    </row>
    <row r="686" spans="1:12" ht="24.75" thickBot="1">
      <c r="A686" s="3073">
        <v>82</v>
      </c>
      <c r="B686" s="3074">
        <v>13</v>
      </c>
      <c r="C686" s="3074">
        <f t="shared" si="9"/>
        <v>-3.5714285714285712E-2</v>
      </c>
      <c r="D686" s="3072" t="s">
        <v>3348</v>
      </c>
      <c r="E686" s="3072" t="s">
        <v>3234</v>
      </c>
      <c r="F686" s="3072" t="s">
        <v>3235</v>
      </c>
      <c r="G686" s="3088"/>
      <c r="H686" s="3466">
        <v>57</v>
      </c>
      <c r="I686" s="3465"/>
      <c r="J686" s="3074">
        <v>2016</v>
      </c>
      <c r="K686" s="3464">
        <v>2.13</v>
      </c>
      <c r="L686" s="3465"/>
    </row>
    <row r="687" spans="1:12" ht="24.75" thickBot="1">
      <c r="A687" s="3073">
        <v>83</v>
      </c>
      <c r="B687" s="3074">
        <v>13</v>
      </c>
      <c r="C687" s="3074">
        <f t="shared" si="9"/>
        <v>-3.5714285714285712E-2</v>
      </c>
      <c r="D687" s="3072" t="s">
        <v>3349</v>
      </c>
      <c r="E687" s="3072" t="s">
        <v>3234</v>
      </c>
      <c r="F687" s="3072" t="s">
        <v>3235</v>
      </c>
      <c r="G687" s="3464" t="s">
        <v>3653</v>
      </c>
      <c r="H687" s="3466"/>
      <c r="I687" s="3465"/>
      <c r="J687" s="3074">
        <v>2016</v>
      </c>
      <c r="K687" s="3464">
        <v>2.0699999999999998</v>
      </c>
      <c r="L687" s="3465"/>
    </row>
    <row r="688" spans="1:12" ht="24.75" thickBot="1">
      <c r="A688" s="3073">
        <v>84</v>
      </c>
      <c r="B688" s="3074">
        <v>13</v>
      </c>
      <c r="C688" s="3074">
        <f t="shared" si="9"/>
        <v>-3.5714285714285712E-2</v>
      </c>
      <c r="D688" s="3072" t="s">
        <v>3350</v>
      </c>
      <c r="E688" s="3072" t="s">
        <v>3234</v>
      </c>
      <c r="F688" s="3072" t="s">
        <v>3235</v>
      </c>
      <c r="G688" s="3464" t="s">
        <v>3654</v>
      </c>
      <c r="H688" s="3466"/>
      <c r="I688" s="3465"/>
      <c r="J688" s="3074">
        <v>2016</v>
      </c>
      <c r="K688" s="3464">
        <v>2.68</v>
      </c>
      <c r="L688" s="3465"/>
    </row>
    <row r="689" spans="1:12" ht="24.75" thickBot="1">
      <c r="A689" s="3073">
        <v>85</v>
      </c>
      <c r="B689" s="3074">
        <v>13</v>
      </c>
      <c r="C689" s="3074">
        <f t="shared" si="9"/>
        <v>-3.5714285714285712E-2</v>
      </c>
      <c r="D689" s="3072" t="s">
        <v>3351</v>
      </c>
      <c r="E689" s="3072" t="s">
        <v>3234</v>
      </c>
      <c r="F689" s="3072" t="s">
        <v>3235</v>
      </c>
      <c r="G689" s="3464" t="s">
        <v>3651</v>
      </c>
      <c r="H689" s="3466"/>
      <c r="I689" s="3465"/>
      <c r="J689" s="3074">
        <v>2016</v>
      </c>
      <c r="K689" s="3464">
        <v>3.44</v>
      </c>
      <c r="L689" s="3465"/>
    </row>
    <row r="690" spans="1:12" ht="24.75" thickBot="1">
      <c r="A690" s="3073">
        <v>86</v>
      </c>
      <c r="B690" s="3074">
        <v>13</v>
      </c>
      <c r="C690" s="3074">
        <f t="shared" si="9"/>
        <v>-3.5714285714285712E-2</v>
      </c>
      <c r="D690" s="3072" t="s">
        <v>3352</v>
      </c>
      <c r="E690" s="3072" t="s">
        <v>3234</v>
      </c>
      <c r="F690" s="3072" t="s">
        <v>3235</v>
      </c>
      <c r="G690" s="3464" t="s">
        <v>3650</v>
      </c>
      <c r="H690" s="3466"/>
      <c r="I690" s="3465"/>
      <c r="J690" s="3074">
        <v>2016</v>
      </c>
      <c r="K690" s="3464">
        <v>3.57</v>
      </c>
      <c r="L690" s="3465"/>
    </row>
    <row r="691" spans="1:12" ht="24.75" thickBot="1">
      <c r="A691" s="3073">
        <v>87</v>
      </c>
      <c r="B691" s="3074">
        <v>13</v>
      </c>
      <c r="C691" s="3074">
        <f t="shared" si="9"/>
        <v>-3.5714285714285712E-2</v>
      </c>
      <c r="D691" s="3072" t="s">
        <v>3353</v>
      </c>
      <c r="E691" s="3072" t="s">
        <v>3234</v>
      </c>
      <c r="F691" s="3072" t="s">
        <v>3235</v>
      </c>
      <c r="G691" s="3464" t="s">
        <v>3649</v>
      </c>
      <c r="H691" s="3466"/>
      <c r="I691" s="3465"/>
      <c r="J691" s="3074">
        <v>2016</v>
      </c>
      <c r="K691" s="3464">
        <v>2.46</v>
      </c>
      <c r="L691" s="3465"/>
    </row>
    <row r="692" spans="1:12" ht="24.75" thickBot="1">
      <c r="A692" s="3073">
        <v>88</v>
      </c>
      <c r="B692" s="3074">
        <v>13</v>
      </c>
      <c r="C692" s="3074">
        <f t="shared" si="9"/>
        <v>-3.5714285714285712E-2</v>
      </c>
      <c r="D692" s="3072" t="s">
        <v>3354</v>
      </c>
      <c r="E692" s="3072" t="s">
        <v>3234</v>
      </c>
      <c r="F692" s="3072" t="s">
        <v>3235</v>
      </c>
      <c r="G692" s="3464" t="s">
        <v>3676</v>
      </c>
      <c r="H692" s="3466"/>
      <c r="I692" s="3465"/>
      <c r="J692" s="3074">
        <v>2016</v>
      </c>
      <c r="K692" s="3464">
        <v>2.35</v>
      </c>
      <c r="L692" s="3465"/>
    </row>
    <row r="693" spans="1:12" ht="24.75" thickBot="1">
      <c r="A693" s="3073">
        <v>89</v>
      </c>
      <c r="B693" s="3074">
        <v>13</v>
      </c>
      <c r="C693" s="3074">
        <f t="shared" si="9"/>
        <v>-3.5714285714285712E-2</v>
      </c>
      <c r="D693" s="3072" t="s">
        <v>3355</v>
      </c>
      <c r="E693" s="3072" t="s">
        <v>3234</v>
      </c>
      <c r="F693" s="3072" t="s">
        <v>3235</v>
      </c>
      <c r="G693" s="3464" t="s">
        <v>3669</v>
      </c>
      <c r="H693" s="3466"/>
      <c r="I693" s="3465"/>
      <c r="J693" s="3074">
        <v>2016</v>
      </c>
      <c r="K693" s="3464">
        <v>2.81</v>
      </c>
      <c r="L693" s="3465"/>
    </row>
    <row r="694" spans="1:12" ht="24.75" thickBot="1">
      <c r="A694" s="3073">
        <v>90</v>
      </c>
      <c r="B694" s="3074">
        <v>13</v>
      </c>
      <c r="C694" s="3074">
        <f t="shared" si="9"/>
        <v>-3.5714285714285712E-2</v>
      </c>
      <c r="D694" s="3072" t="s">
        <v>3356</v>
      </c>
      <c r="E694" s="3072" t="s">
        <v>3234</v>
      </c>
      <c r="F694" s="3072" t="s">
        <v>3235</v>
      </c>
      <c r="G694" s="3464" t="s">
        <v>3668</v>
      </c>
      <c r="H694" s="3466"/>
      <c r="I694" s="3465"/>
      <c r="J694" s="3074">
        <v>2016</v>
      </c>
      <c r="K694" s="3464">
        <v>2.9</v>
      </c>
      <c r="L694" s="3465"/>
    </row>
    <row r="695" spans="1:12" ht="24.75" thickBot="1">
      <c r="A695" s="3073">
        <v>91</v>
      </c>
      <c r="B695" s="3074">
        <v>13</v>
      </c>
      <c r="C695" s="3074">
        <f t="shared" si="9"/>
        <v>-3.5714285714285712E-2</v>
      </c>
      <c r="D695" s="3072" t="s">
        <v>3357</v>
      </c>
      <c r="E695" s="3072" t="s">
        <v>3234</v>
      </c>
      <c r="F695" s="3072" t="s">
        <v>3235</v>
      </c>
      <c r="G695" s="3464" t="s">
        <v>3667</v>
      </c>
      <c r="H695" s="3466"/>
      <c r="I695" s="3465"/>
      <c r="J695" s="3074">
        <v>2016</v>
      </c>
      <c r="K695" s="3464">
        <v>2.71</v>
      </c>
      <c r="L695" s="3465"/>
    </row>
    <row r="696" spans="1:12" ht="24.75" thickBot="1">
      <c r="A696" s="3073">
        <v>92</v>
      </c>
      <c r="B696" s="3074">
        <v>13</v>
      </c>
      <c r="C696" s="3074">
        <f t="shared" si="9"/>
        <v>-3.5714285714285712E-2</v>
      </c>
      <c r="D696" s="3072" t="s">
        <v>3359</v>
      </c>
      <c r="E696" s="3072" t="s">
        <v>3234</v>
      </c>
      <c r="F696" s="3072" t="s">
        <v>3235</v>
      </c>
      <c r="G696" s="3088"/>
      <c r="H696" s="3466">
        <v>42</v>
      </c>
      <c r="I696" s="3465"/>
      <c r="J696" s="3074">
        <v>2016</v>
      </c>
      <c r="K696" s="3464">
        <v>6.13</v>
      </c>
      <c r="L696" s="3465"/>
    </row>
    <row r="697" spans="1:12" ht="26.25" thickBot="1">
      <c r="A697" s="3073">
        <v>93</v>
      </c>
      <c r="B697" s="3074">
        <v>13</v>
      </c>
      <c r="C697" s="3079">
        <v>44224</v>
      </c>
      <c r="D697" s="3074" t="s">
        <v>3362</v>
      </c>
      <c r="E697" s="3072" t="s">
        <v>3109</v>
      </c>
      <c r="F697" s="3072" t="s">
        <v>3235</v>
      </c>
      <c r="G697" s="3464" t="s">
        <v>3677</v>
      </c>
      <c r="H697" s="3466"/>
      <c r="I697" s="3465"/>
      <c r="J697" s="3074">
        <v>5725</v>
      </c>
      <c r="K697" s="3464" t="s">
        <v>3678</v>
      </c>
      <c r="L697" s="3465"/>
    </row>
    <row r="698" spans="1:12" ht="26.25" thickBot="1">
      <c r="A698" s="3073">
        <v>94</v>
      </c>
      <c r="B698" s="3074">
        <v>13</v>
      </c>
      <c r="C698" s="3079">
        <v>44224</v>
      </c>
      <c r="D698" s="3074" t="s">
        <v>3365</v>
      </c>
      <c r="E698" s="3072" t="s">
        <v>3109</v>
      </c>
      <c r="F698" s="3072" t="s">
        <v>3235</v>
      </c>
      <c r="G698" s="3464" t="s">
        <v>3679</v>
      </c>
      <c r="H698" s="3466"/>
      <c r="I698" s="3465"/>
      <c r="J698" s="3074">
        <v>5725</v>
      </c>
      <c r="K698" s="3464" t="s">
        <v>3680</v>
      </c>
      <c r="L698" s="3465"/>
    </row>
    <row r="699" spans="1:12" ht="23.25" thickBot="1">
      <c r="A699" s="3073">
        <v>95</v>
      </c>
      <c r="B699" s="3074">
        <v>13</v>
      </c>
      <c r="C699" s="3079">
        <v>44224</v>
      </c>
      <c r="D699" s="3082" t="s">
        <v>3681</v>
      </c>
      <c r="E699" s="3083" t="s">
        <v>3109</v>
      </c>
      <c r="F699" s="3083" t="s">
        <v>3235</v>
      </c>
      <c r="G699" s="3464" t="s">
        <v>3682</v>
      </c>
      <c r="H699" s="3466"/>
      <c r="I699" s="3465"/>
      <c r="J699" s="3074">
        <v>5725</v>
      </c>
      <c r="K699" s="3464" t="s">
        <v>3683</v>
      </c>
      <c r="L699" s="3465"/>
    </row>
    <row r="700" spans="1:12" ht="26.25" thickBot="1">
      <c r="A700" s="3073">
        <v>96</v>
      </c>
      <c r="B700" s="3074">
        <v>13</v>
      </c>
      <c r="C700" s="3079">
        <v>44224</v>
      </c>
      <c r="D700" s="3074" t="s">
        <v>3684</v>
      </c>
      <c r="E700" s="3072" t="s">
        <v>3109</v>
      </c>
      <c r="F700" s="3072" t="s">
        <v>3235</v>
      </c>
      <c r="G700" s="3464" t="s">
        <v>3682</v>
      </c>
      <c r="H700" s="3466"/>
      <c r="I700" s="3465"/>
      <c r="J700" s="3074">
        <v>5725</v>
      </c>
      <c r="K700" s="3464" t="s">
        <v>3683</v>
      </c>
      <c r="L700" s="3465"/>
    </row>
    <row r="701" spans="1:12" ht="26.25" thickBot="1">
      <c r="A701" s="3073">
        <v>97</v>
      </c>
      <c r="B701" s="3074">
        <v>13</v>
      </c>
      <c r="C701" s="3079">
        <v>44224</v>
      </c>
      <c r="D701" s="3074" t="s">
        <v>3685</v>
      </c>
      <c r="E701" s="3072" t="s">
        <v>3109</v>
      </c>
      <c r="F701" s="3072" t="s">
        <v>3235</v>
      </c>
      <c r="G701" s="3464" t="s">
        <v>3679</v>
      </c>
      <c r="H701" s="3466"/>
      <c r="I701" s="3465"/>
      <c r="J701" s="3074">
        <v>5725</v>
      </c>
      <c r="K701" s="3464" t="s">
        <v>3680</v>
      </c>
      <c r="L701" s="3465"/>
    </row>
    <row r="702" spans="1:12" ht="26.25" thickBot="1">
      <c r="A702" s="3073">
        <v>98</v>
      </c>
      <c r="B702" s="3074">
        <v>13</v>
      </c>
      <c r="C702" s="3079">
        <v>44224</v>
      </c>
      <c r="D702" s="3074" t="s">
        <v>3686</v>
      </c>
      <c r="E702" s="3072" t="s">
        <v>3109</v>
      </c>
      <c r="F702" s="3072" t="s">
        <v>3235</v>
      </c>
      <c r="G702" s="3464" t="s">
        <v>3677</v>
      </c>
      <c r="H702" s="3466"/>
      <c r="I702" s="3465"/>
      <c r="J702" s="3074">
        <v>5725</v>
      </c>
      <c r="K702" s="3464" t="s">
        <v>3678</v>
      </c>
      <c r="L702" s="3465"/>
    </row>
    <row r="703" spans="1:12" ht="26.25" thickBot="1">
      <c r="A703" s="3073">
        <v>99</v>
      </c>
      <c r="B703" s="3074">
        <v>13</v>
      </c>
      <c r="C703" s="3079">
        <v>44255</v>
      </c>
      <c r="D703" s="3074" t="s">
        <v>3377</v>
      </c>
      <c r="E703" s="3072" t="s">
        <v>3109</v>
      </c>
      <c r="F703" s="3072" t="s">
        <v>3235</v>
      </c>
      <c r="G703" s="3469">
        <v>139</v>
      </c>
      <c r="H703" s="3470"/>
      <c r="I703" s="3074">
        <v>44</v>
      </c>
      <c r="J703" s="3074">
        <v>5725</v>
      </c>
      <c r="K703" s="3087">
        <v>79</v>
      </c>
      <c r="L703" s="3074">
        <v>83</v>
      </c>
    </row>
    <row r="704" spans="1:12" ht="23.25" thickBot="1">
      <c r="A704" s="3073">
        <v>100</v>
      </c>
      <c r="B704" s="3074">
        <v>13</v>
      </c>
      <c r="C704" s="3079">
        <v>44255</v>
      </c>
      <c r="D704" s="3082" t="s">
        <v>3622</v>
      </c>
      <c r="E704" s="3083" t="s">
        <v>3109</v>
      </c>
      <c r="F704" s="3083" t="s">
        <v>3235</v>
      </c>
      <c r="G704" s="3464" t="s">
        <v>3679</v>
      </c>
      <c r="H704" s="3466"/>
      <c r="I704" s="3465"/>
      <c r="J704" s="3074">
        <v>5725</v>
      </c>
      <c r="K704" s="3464" t="s">
        <v>3680</v>
      </c>
      <c r="L704" s="3465"/>
    </row>
    <row r="705" spans="1:12" ht="23.25" thickBot="1">
      <c r="A705" s="3073">
        <v>101</v>
      </c>
      <c r="B705" s="3074">
        <v>13</v>
      </c>
      <c r="C705" s="3079">
        <v>44255</v>
      </c>
      <c r="D705" s="3082" t="s">
        <v>3382</v>
      </c>
      <c r="E705" s="3083" t="s">
        <v>3109</v>
      </c>
      <c r="F705" s="3083" t="s">
        <v>3235</v>
      </c>
      <c r="G705" s="3464" t="s">
        <v>3682</v>
      </c>
      <c r="H705" s="3466"/>
      <c r="I705" s="3465"/>
      <c r="J705" s="3074">
        <v>5725</v>
      </c>
      <c r="K705" s="3464" t="s">
        <v>3683</v>
      </c>
      <c r="L705" s="3465"/>
    </row>
    <row r="706" spans="1:12" ht="23.25" thickBot="1">
      <c r="A706" s="3073">
        <v>102</v>
      </c>
      <c r="B706" s="3074">
        <v>13</v>
      </c>
      <c r="C706" s="3079">
        <v>44255</v>
      </c>
      <c r="D706" s="3082" t="s">
        <v>3384</v>
      </c>
      <c r="E706" s="3083" t="s">
        <v>3109</v>
      </c>
      <c r="F706" s="3083" t="s">
        <v>3235</v>
      </c>
      <c r="G706" s="3464" t="s">
        <v>3682</v>
      </c>
      <c r="H706" s="3466"/>
      <c r="I706" s="3465"/>
      <c r="J706" s="3074">
        <v>5725</v>
      </c>
      <c r="K706" s="3464" t="s">
        <v>3683</v>
      </c>
      <c r="L706" s="3465"/>
    </row>
    <row r="707" spans="1:12" ht="26.25" thickBot="1">
      <c r="A707" s="3073">
        <v>103</v>
      </c>
      <c r="B707" s="3074">
        <v>13</v>
      </c>
      <c r="C707" s="3079">
        <v>44255</v>
      </c>
      <c r="D707" s="3074" t="s">
        <v>3386</v>
      </c>
      <c r="E707" s="3072" t="s">
        <v>3109</v>
      </c>
      <c r="F707" s="3072" t="s">
        <v>3235</v>
      </c>
      <c r="G707" s="3464" t="s">
        <v>3679</v>
      </c>
      <c r="H707" s="3466"/>
      <c r="I707" s="3465"/>
      <c r="J707" s="3074">
        <v>5725</v>
      </c>
      <c r="K707" s="3464" t="s">
        <v>3680</v>
      </c>
      <c r="L707" s="3465"/>
    </row>
    <row r="708" spans="1:12" ht="26.25" thickBot="1">
      <c r="A708" s="3073">
        <v>104</v>
      </c>
      <c r="B708" s="3074">
        <v>13</v>
      </c>
      <c r="C708" s="3079">
        <v>44255</v>
      </c>
      <c r="D708" s="3074" t="s">
        <v>3387</v>
      </c>
      <c r="E708" s="3072" t="s">
        <v>3109</v>
      </c>
      <c r="F708" s="3072" t="s">
        <v>3235</v>
      </c>
      <c r="G708" s="3464" t="s">
        <v>3677</v>
      </c>
      <c r="H708" s="3466"/>
      <c r="I708" s="3465"/>
      <c r="J708" s="3074">
        <v>5725</v>
      </c>
      <c r="K708" s="3464" t="s">
        <v>3678</v>
      </c>
      <c r="L708" s="3465"/>
    </row>
    <row r="709" spans="1:12" ht="26.25" thickBot="1">
      <c r="A709" s="3073">
        <v>105</v>
      </c>
      <c r="B709" s="3074">
        <v>13</v>
      </c>
      <c r="C709" s="3079">
        <v>44283</v>
      </c>
      <c r="D709" s="3074" t="s">
        <v>3390</v>
      </c>
      <c r="E709" s="3072" t="s">
        <v>3109</v>
      </c>
      <c r="F709" s="3072" t="s">
        <v>3235</v>
      </c>
      <c r="G709" s="3464" t="s">
        <v>3687</v>
      </c>
      <c r="H709" s="3466"/>
      <c r="I709" s="3465"/>
      <c r="J709" s="3074">
        <v>5725</v>
      </c>
      <c r="K709" s="3464" t="s">
        <v>3688</v>
      </c>
      <c r="L709" s="3465"/>
    </row>
    <row r="710" spans="1:12" ht="26.25" thickBot="1">
      <c r="A710" s="3073">
        <v>106</v>
      </c>
      <c r="B710" s="3074">
        <v>13</v>
      </c>
      <c r="C710" s="3079">
        <v>44283</v>
      </c>
      <c r="D710" s="3074" t="s">
        <v>3392</v>
      </c>
      <c r="E710" s="3072" t="s">
        <v>3109</v>
      </c>
      <c r="F710" s="3072" t="s">
        <v>3235</v>
      </c>
      <c r="G710" s="3464" t="s">
        <v>3689</v>
      </c>
      <c r="H710" s="3466"/>
      <c r="I710" s="3465"/>
      <c r="J710" s="3074">
        <v>5725</v>
      </c>
      <c r="K710" s="3464" t="s">
        <v>3690</v>
      </c>
      <c r="L710" s="3465"/>
    </row>
    <row r="711" spans="1:12" ht="26.25" thickBot="1">
      <c r="A711" s="3073">
        <v>107</v>
      </c>
      <c r="B711" s="3074">
        <v>13</v>
      </c>
      <c r="C711" s="3079">
        <v>44283</v>
      </c>
      <c r="D711" s="3074" t="s">
        <v>3393</v>
      </c>
      <c r="E711" s="3072" t="s">
        <v>3109</v>
      </c>
      <c r="F711" s="3072" t="s">
        <v>3235</v>
      </c>
      <c r="G711" s="3464" t="s">
        <v>3691</v>
      </c>
      <c r="H711" s="3466"/>
      <c r="I711" s="3465"/>
      <c r="J711" s="3074">
        <v>5725</v>
      </c>
      <c r="K711" s="3464" t="s">
        <v>3692</v>
      </c>
      <c r="L711" s="3465"/>
    </row>
    <row r="712" spans="1:12" ht="26.25" thickBot="1">
      <c r="A712" s="3073">
        <v>108</v>
      </c>
      <c r="B712" s="3074">
        <v>13</v>
      </c>
      <c r="C712" s="3079">
        <v>44283</v>
      </c>
      <c r="D712" s="3074" t="s">
        <v>3394</v>
      </c>
      <c r="E712" s="3072" t="s">
        <v>3109</v>
      </c>
      <c r="F712" s="3072" t="s">
        <v>3235</v>
      </c>
      <c r="G712" s="3464" t="s">
        <v>3691</v>
      </c>
      <c r="H712" s="3466"/>
      <c r="I712" s="3465"/>
      <c r="J712" s="3074">
        <v>5725</v>
      </c>
      <c r="K712" s="3464" t="s">
        <v>3692</v>
      </c>
      <c r="L712" s="3465"/>
    </row>
    <row r="713" spans="1:12">
      <c r="A713" s="3089"/>
      <c r="B713" s="3089"/>
      <c r="C713" s="3089"/>
      <c r="D713" s="3089"/>
      <c r="E713" s="3089"/>
      <c r="F713" s="3089"/>
      <c r="G713" s="3089"/>
      <c r="H713" s="3089"/>
      <c r="I713" s="3089"/>
      <c r="J713" s="3089"/>
      <c r="K713" s="3089"/>
      <c r="L713" s="3089"/>
    </row>
    <row r="714" spans="1:12">
      <c r="A714" s="3070"/>
    </row>
    <row r="716" spans="1:12" ht="14.25" thickBot="1">
      <c r="A716" s="3078"/>
    </row>
    <row r="717" spans="1:12">
      <c r="A717" s="3458" t="s">
        <v>3223</v>
      </c>
      <c r="B717" s="3458" t="s">
        <v>3224</v>
      </c>
      <c r="C717" s="3071" t="s">
        <v>3225</v>
      </c>
      <c r="D717" s="3458" t="s">
        <v>3227</v>
      </c>
      <c r="E717" s="3458" t="s">
        <v>1341</v>
      </c>
      <c r="F717" s="3458" t="s">
        <v>3228</v>
      </c>
      <c r="G717" s="3460" t="s">
        <v>3229</v>
      </c>
      <c r="H717" s="3467"/>
      <c r="I717" s="3461"/>
      <c r="J717" s="3458" t="s">
        <v>3231</v>
      </c>
      <c r="K717" s="3460" t="s">
        <v>3232</v>
      </c>
      <c r="L717" s="3461"/>
    </row>
    <row r="718" spans="1:12" ht="14.25" thickBot="1">
      <c r="A718" s="3459"/>
      <c r="B718" s="3459"/>
      <c r="C718" s="3072" t="s">
        <v>3226</v>
      </c>
      <c r="D718" s="3459"/>
      <c r="E718" s="3459"/>
      <c r="F718" s="3459"/>
      <c r="G718" s="3462" t="s">
        <v>3230</v>
      </c>
      <c r="H718" s="3468"/>
      <c r="I718" s="3463"/>
      <c r="J718" s="3459"/>
      <c r="K718" s="3462"/>
      <c r="L718" s="3463"/>
    </row>
    <row r="719" spans="1:12" ht="26.25" thickBot="1">
      <c r="A719" s="3073">
        <v>109</v>
      </c>
      <c r="B719" s="3074">
        <v>13</v>
      </c>
      <c r="C719" s="3079">
        <v>44283</v>
      </c>
      <c r="D719" s="3074" t="s">
        <v>3395</v>
      </c>
      <c r="E719" s="3072" t="s">
        <v>3109</v>
      </c>
      <c r="F719" s="3072" t="s">
        <v>3235</v>
      </c>
      <c r="G719" s="3464" t="s">
        <v>3689</v>
      </c>
      <c r="H719" s="3466"/>
      <c r="I719" s="3465"/>
      <c r="J719" s="3074">
        <v>5725</v>
      </c>
      <c r="K719" s="3464" t="s">
        <v>3690</v>
      </c>
      <c r="L719" s="3465"/>
    </row>
    <row r="720" spans="1:12" ht="26.25" thickBot="1">
      <c r="A720" s="3073">
        <v>110</v>
      </c>
      <c r="B720" s="3074">
        <v>13</v>
      </c>
      <c r="C720" s="3079">
        <v>44283</v>
      </c>
      <c r="D720" s="3074" t="s">
        <v>3397</v>
      </c>
      <c r="E720" s="3072" t="s">
        <v>3109</v>
      </c>
      <c r="F720" s="3072" t="s">
        <v>3235</v>
      </c>
      <c r="G720" s="3469">
        <v>139</v>
      </c>
      <c r="H720" s="3470"/>
      <c r="I720" s="3074">
        <v>1</v>
      </c>
      <c r="J720" s="3074">
        <v>5725</v>
      </c>
      <c r="K720" s="3087">
        <v>79</v>
      </c>
      <c r="L720" s="3074">
        <v>58</v>
      </c>
    </row>
    <row r="721" spans="1:12" ht="23.25" thickBot="1">
      <c r="A721" s="3073">
        <v>111</v>
      </c>
      <c r="B721" s="3074">
        <v>13</v>
      </c>
      <c r="C721" s="3079">
        <v>44314</v>
      </c>
      <c r="D721" s="3082" t="s">
        <v>3630</v>
      </c>
      <c r="E721" s="3083" t="s">
        <v>3109</v>
      </c>
      <c r="F721" s="3083" t="s">
        <v>3235</v>
      </c>
      <c r="G721" s="3464" t="s">
        <v>3687</v>
      </c>
      <c r="H721" s="3466"/>
      <c r="I721" s="3465"/>
      <c r="J721" s="3074">
        <v>5725</v>
      </c>
      <c r="K721" s="3464" t="s">
        <v>3688</v>
      </c>
      <c r="L721" s="3465"/>
    </row>
    <row r="722" spans="1:12" ht="23.25" thickBot="1">
      <c r="A722" s="3073">
        <v>112</v>
      </c>
      <c r="B722" s="3074">
        <v>13</v>
      </c>
      <c r="C722" s="3079">
        <v>44314</v>
      </c>
      <c r="D722" s="3082" t="s">
        <v>3399</v>
      </c>
      <c r="E722" s="3083" t="s">
        <v>3109</v>
      </c>
      <c r="F722" s="3083" t="s">
        <v>3235</v>
      </c>
      <c r="G722" s="3464" t="s">
        <v>3689</v>
      </c>
      <c r="H722" s="3466"/>
      <c r="I722" s="3465"/>
      <c r="J722" s="3074">
        <v>5725</v>
      </c>
      <c r="K722" s="3464" t="s">
        <v>3690</v>
      </c>
      <c r="L722" s="3465"/>
    </row>
    <row r="723" spans="1:12" ht="23.25" thickBot="1">
      <c r="A723" s="3073">
        <v>113</v>
      </c>
      <c r="B723" s="3074">
        <v>13</v>
      </c>
      <c r="C723" s="3079">
        <v>44314</v>
      </c>
      <c r="D723" s="3090" t="s">
        <v>3693</v>
      </c>
      <c r="E723" s="3091" t="s">
        <v>3109</v>
      </c>
      <c r="F723" s="3091" t="s">
        <v>3235</v>
      </c>
      <c r="G723" s="3464" t="s">
        <v>3691</v>
      </c>
      <c r="H723" s="3466"/>
      <c r="I723" s="3465"/>
      <c r="J723" s="3074">
        <v>5725</v>
      </c>
      <c r="K723" s="3464" t="s">
        <v>3692</v>
      </c>
      <c r="L723" s="3465"/>
    </row>
    <row r="724" spans="1:12" ht="26.25" thickBot="1">
      <c r="A724" s="3073">
        <v>114</v>
      </c>
      <c r="B724" s="3074">
        <v>13</v>
      </c>
      <c r="C724" s="3079">
        <v>44314</v>
      </c>
      <c r="D724" s="3074" t="s">
        <v>3402</v>
      </c>
      <c r="E724" s="3072" t="s">
        <v>3109</v>
      </c>
      <c r="F724" s="3072" t="s">
        <v>3235</v>
      </c>
      <c r="G724" s="3464" t="s">
        <v>3691</v>
      </c>
      <c r="H724" s="3466"/>
      <c r="I724" s="3465"/>
      <c r="J724" s="3074">
        <v>5725</v>
      </c>
      <c r="K724" s="3464" t="s">
        <v>3692</v>
      </c>
      <c r="L724" s="3465"/>
    </row>
    <row r="725" spans="1:12" ht="26.25" thickBot="1">
      <c r="A725" s="3073">
        <v>115</v>
      </c>
      <c r="B725" s="3074">
        <v>13</v>
      </c>
      <c r="C725" s="3079">
        <v>44314</v>
      </c>
      <c r="D725" s="3074" t="s">
        <v>3403</v>
      </c>
      <c r="E725" s="3072" t="s">
        <v>3109</v>
      </c>
      <c r="F725" s="3072" t="s">
        <v>3235</v>
      </c>
      <c r="G725" s="3464" t="s">
        <v>3689</v>
      </c>
      <c r="H725" s="3466"/>
      <c r="I725" s="3465"/>
      <c r="J725" s="3074">
        <v>5725</v>
      </c>
      <c r="K725" s="3464" t="s">
        <v>3690</v>
      </c>
      <c r="L725" s="3465"/>
    </row>
    <row r="726" spans="1:12" ht="26.25" thickBot="1">
      <c r="A726" s="3073">
        <v>116</v>
      </c>
      <c r="B726" s="3074">
        <v>13</v>
      </c>
      <c r="C726" s="3079">
        <v>44314</v>
      </c>
      <c r="D726" s="3074" t="s">
        <v>3404</v>
      </c>
      <c r="E726" s="3072" t="s">
        <v>3109</v>
      </c>
      <c r="F726" s="3072" t="s">
        <v>3235</v>
      </c>
      <c r="G726" s="3464" t="s">
        <v>3687</v>
      </c>
      <c r="H726" s="3466"/>
      <c r="I726" s="3465"/>
      <c r="J726" s="3074">
        <v>5725</v>
      </c>
      <c r="K726" s="3464" t="s">
        <v>3688</v>
      </c>
      <c r="L726" s="3465"/>
    </row>
    <row r="727" spans="1:12" ht="26.25" thickBot="1">
      <c r="A727" s="3073">
        <v>117</v>
      </c>
      <c r="B727" s="3074">
        <v>13</v>
      </c>
      <c r="C727" s="3079">
        <v>44344</v>
      </c>
      <c r="D727" s="3074" t="s">
        <v>3405</v>
      </c>
      <c r="E727" s="3072" t="s">
        <v>3109</v>
      </c>
      <c r="F727" s="3072" t="s">
        <v>3235</v>
      </c>
      <c r="G727" s="3464" t="s">
        <v>3687</v>
      </c>
      <c r="H727" s="3466"/>
      <c r="I727" s="3465"/>
      <c r="J727" s="3074">
        <v>5725</v>
      </c>
      <c r="K727" s="3464" t="s">
        <v>3688</v>
      </c>
      <c r="L727" s="3465"/>
    </row>
    <row r="728" spans="1:12" ht="26.25" thickBot="1">
      <c r="A728" s="3073">
        <v>118</v>
      </c>
      <c r="B728" s="3074">
        <v>13</v>
      </c>
      <c r="C728" s="3079">
        <v>44344</v>
      </c>
      <c r="D728" s="3074" t="s">
        <v>3406</v>
      </c>
      <c r="E728" s="3072" t="s">
        <v>3109</v>
      </c>
      <c r="F728" s="3072" t="s">
        <v>3235</v>
      </c>
      <c r="G728" s="3464" t="s">
        <v>3689</v>
      </c>
      <c r="H728" s="3466"/>
      <c r="I728" s="3465"/>
      <c r="J728" s="3074">
        <v>5725</v>
      </c>
      <c r="K728" s="3464" t="s">
        <v>3690</v>
      </c>
      <c r="L728" s="3465"/>
    </row>
    <row r="729" spans="1:12" ht="26.25" thickBot="1">
      <c r="A729" s="3073">
        <v>119</v>
      </c>
      <c r="B729" s="3074">
        <v>13</v>
      </c>
      <c r="C729" s="3079">
        <v>44344</v>
      </c>
      <c r="D729" s="3074" t="s">
        <v>3407</v>
      </c>
      <c r="E729" s="3072" t="s">
        <v>3109</v>
      </c>
      <c r="F729" s="3072" t="s">
        <v>3235</v>
      </c>
      <c r="G729" s="3464" t="s">
        <v>3691</v>
      </c>
      <c r="H729" s="3466"/>
      <c r="I729" s="3465"/>
      <c r="J729" s="3074">
        <v>5725</v>
      </c>
      <c r="K729" s="3464" t="s">
        <v>3692</v>
      </c>
      <c r="L729" s="3465"/>
    </row>
    <row r="730" spans="1:12" ht="26.25" thickBot="1">
      <c r="A730" s="3073">
        <v>120</v>
      </c>
      <c r="B730" s="3074">
        <v>13</v>
      </c>
      <c r="C730" s="3079">
        <v>44344</v>
      </c>
      <c r="D730" s="3074" t="s">
        <v>3408</v>
      </c>
      <c r="E730" s="3072" t="s">
        <v>3109</v>
      </c>
      <c r="F730" s="3072" t="s">
        <v>3235</v>
      </c>
      <c r="G730" s="3469">
        <v>118</v>
      </c>
      <c r="H730" s="3470"/>
      <c r="I730" s="3074">
        <v>5</v>
      </c>
      <c r="J730" s="3074">
        <v>5725</v>
      </c>
      <c r="K730" s="3087">
        <v>67</v>
      </c>
      <c r="L730" s="3074">
        <v>87</v>
      </c>
    </row>
    <row r="731" spans="1:12" ht="23.25" thickBot="1">
      <c r="A731" s="3073">
        <v>121</v>
      </c>
      <c r="B731" s="3074">
        <v>13</v>
      </c>
      <c r="C731" s="3079">
        <v>44344</v>
      </c>
      <c r="D731" s="3082" t="s">
        <v>3694</v>
      </c>
      <c r="E731" s="3083" t="s">
        <v>3109</v>
      </c>
      <c r="F731" s="3083" t="s">
        <v>3235</v>
      </c>
      <c r="G731" s="3464" t="s">
        <v>3689</v>
      </c>
      <c r="H731" s="3466"/>
      <c r="I731" s="3465"/>
      <c r="J731" s="3074">
        <v>5725</v>
      </c>
      <c r="K731" s="3464" t="s">
        <v>3690</v>
      </c>
      <c r="L731" s="3465"/>
    </row>
    <row r="732" spans="1:12" ht="23.25" thickBot="1">
      <c r="A732" s="3073">
        <v>122</v>
      </c>
      <c r="B732" s="3074">
        <v>13</v>
      </c>
      <c r="C732" s="3079">
        <v>44344</v>
      </c>
      <c r="D732" s="3082" t="s">
        <v>3695</v>
      </c>
      <c r="E732" s="3083" t="s">
        <v>3109</v>
      </c>
      <c r="F732" s="3083" t="s">
        <v>3235</v>
      </c>
      <c r="G732" s="3464" t="s">
        <v>3687</v>
      </c>
      <c r="H732" s="3466"/>
      <c r="I732" s="3465"/>
      <c r="J732" s="3074">
        <v>5725</v>
      </c>
      <c r="K732" s="3464" t="s">
        <v>3688</v>
      </c>
      <c r="L732" s="3465"/>
    </row>
    <row r="733" spans="1:12" ht="23.25" thickBot="1">
      <c r="A733" s="3073">
        <v>123</v>
      </c>
      <c r="B733" s="3074">
        <v>13</v>
      </c>
      <c r="C733" s="3079">
        <v>44375</v>
      </c>
      <c r="D733" s="3082" t="s">
        <v>3696</v>
      </c>
      <c r="E733" s="3083" t="s">
        <v>3109</v>
      </c>
      <c r="F733" s="3083" t="s">
        <v>3235</v>
      </c>
      <c r="G733" s="3464" t="s">
        <v>3687</v>
      </c>
      <c r="H733" s="3466"/>
      <c r="I733" s="3465"/>
      <c r="J733" s="3074">
        <v>5725</v>
      </c>
      <c r="K733" s="3464" t="s">
        <v>3688</v>
      </c>
      <c r="L733" s="3465"/>
    </row>
    <row r="734" spans="1:12" ht="26.25" thickBot="1">
      <c r="A734" s="3073">
        <v>124</v>
      </c>
      <c r="B734" s="3074">
        <v>13</v>
      </c>
      <c r="C734" s="3079">
        <v>44375</v>
      </c>
      <c r="D734" s="3074" t="s">
        <v>3412</v>
      </c>
      <c r="E734" s="3072" t="s">
        <v>3109</v>
      </c>
      <c r="F734" s="3072" t="s">
        <v>3235</v>
      </c>
      <c r="G734" s="3464" t="s">
        <v>3689</v>
      </c>
      <c r="H734" s="3466"/>
      <c r="I734" s="3465"/>
      <c r="J734" s="3074">
        <v>5725</v>
      </c>
      <c r="K734" s="3464" t="s">
        <v>3690</v>
      </c>
      <c r="L734" s="3465"/>
    </row>
    <row r="735" spans="1:12" ht="26.25" thickBot="1">
      <c r="A735" s="3073">
        <v>125</v>
      </c>
      <c r="B735" s="3074">
        <v>13</v>
      </c>
      <c r="C735" s="3079">
        <v>44375</v>
      </c>
      <c r="D735" s="3074" t="s">
        <v>3413</v>
      </c>
      <c r="E735" s="3072" t="s">
        <v>3109</v>
      </c>
      <c r="F735" s="3072" t="s">
        <v>3235</v>
      </c>
      <c r="G735" s="3464" t="s">
        <v>3691</v>
      </c>
      <c r="H735" s="3466"/>
      <c r="I735" s="3465"/>
      <c r="J735" s="3074">
        <v>5725</v>
      </c>
      <c r="K735" s="3464" t="s">
        <v>3692</v>
      </c>
      <c r="L735" s="3465"/>
    </row>
    <row r="736" spans="1:12" ht="26.25" thickBot="1">
      <c r="A736" s="3073">
        <v>126</v>
      </c>
      <c r="B736" s="3074">
        <v>13</v>
      </c>
      <c r="C736" s="3079">
        <v>44375</v>
      </c>
      <c r="D736" s="3074" t="s">
        <v>3414</v>
      </c>
      <c r="E736" s="3072" t="s">
        <v>3109</v>
      </c>
      <c r="F736" s="3072" t="s">
        <v>3235</v>
      </c>
      <c r="G736" s="3464" t="s">
        <v>3691</v>
      </c>
      <c r="H736" s="3466"/>
      <c r="I736" s="3465"/>
      <c r="J736" s="3074">
        <v>5725</v>
      </c>
      <c r="K736" s="3464" t="s">
        <v>3692</v>
      </c>
      <c r="L736" s="3465"/>
    </row>
    <row r="737" spans="1:12" ht="26.25" thickBot="1">
      <c r="A737" s="3073">
        <v>127</v>
      </c>
      <c r="B737" s="3074">
        <v>13</v>
      </c>
      <c r="C737" s="3079">
        <v>44375</v>
      </c>
      <c r="D737" s="3074" t="s">
        <v>3416</v>
      </c>
      <c r="E737" s="3072" t="s">
        <v>3109</v>
      </c>
      <c r="F737" s="3072" t="s">
        <v>3235</v>
      </c>
      <c r="G737" s="3464" t="s">
        <v>3689</v>
      </c>
      <c r="H737" s="3466"/>
      <c r="I737" s="3465"/>
      <c r="J737" s="3074">
        <v>5725</v>
      </c>
      <c r="K737" s="3464" t="s">
        <v>3690</v>
      </c>
      <c r="L737" s="3465"/>
    </row>
    <row r="738" spans="1:12" ht="26.25" thickBot="1">
      <c r="A738" s="3073">
        <v>128</v>
      </c>
      <c r="B738" s="3074">
        <v>13</v>
      </c>
      <c r="C738" s="3079">
        <v>44375</v>
      </c>
      <c r="D738" s="3074" t="s">
        <v>3417</v>
      </c>
      <c r="E738" s="3072" t="s">
        <v>3109</v>
      </c>
      <c r="F738" s="3072" t="s">
        <v>3235</v>
      </c>
      <c r="G738" s="3464" t="s">
        <v>3687</v>
      </c>
      <c r="H738" s="3466"/>
      <c r="I738" s="3465"/>
      <c r="J738" s="3074">
        <v>5725</v>
      </c>
      <c r="K738" s="3464" t="s">
        <v>3688</v>
      </c>
      <c r="L738" s="3465"/>
    </row>
    <row r="739" spans="1:12" ht="26.25" thickBot="1">
      <c r="A739" s="3073">
        <v>129</v>
      </c>
      <c r="B739" s="3074">
        <v>13</v>
      </c>
      <c r="C739" s="3079">
        <v>44405</v>
      </c>
      <c r="D739" s="3074" t="s">
        <v>3418</v>
      </c>
      <c r="E739" s="3072" t="s">
        <v>3109</v>
      </c>
      <c r="F739" s="3072" t="s">
        <v>3235</v>
      </c>
      <c r="G739" s="3464" t="s">
        <v>3687</v>
      </c>
      <c r="H739" s="3466"/>
      <c r="I739" s="3465"/>
      <c r="J739" s="3074">
        <v>5725</v>
      </c>
      <c r="K739" s="3464" t="s">
        <v>3688</v>
      </c>
      <c r="L739" s="3465"/>
    </row>
    <row r="740" spans="1:12" ht="26.25" thickBot="1">
      <c r="A740" s="3073">
        <v>130</v>
      </c>
      <c r="B740" s="3074">
        <v>13</v>
      </c>
      <c r="C740" s="3079">
        <v>44405</v>
      </c>
      <c r="D740" s="3074" t="s">
        <v>3419</v>
      </c>
      <c r="E740" s="3072" t="s">
        <v>3109</v>
      </c>
      <c r="F740" s="3072" t="s">
        <v>3235</v>
      </c>
      <c r="G740" s="3464" t="s">
        <v>3689</v>
      </c>
      <c r="H740" s="3466"/>
      <c r="I740" s="3465"/>
      <c r="J740" s="3074">
        <v>5725</v>
      </c>
      <c r="K740" s="3464" t="s">
        <v>3690</v>
      </c>
      <c r="L740" s="3465"/>
    </row>
    <row r="741" spans="1:12" ht="26.25" thickBot="1">
      <c r="A741" s="3073">
        <v>131</v>
      </c>
      <c r="B741" s="3074">
        <v>13</v>
      </c>
      <c r="C741" s="3079">
        <v>44405</v>
      </c>
      <c r="D741" s="3074" t="s">
        <v>3420</v>
      </c>
      <c r="E741" s="3072" t="s">
        <v>3109</v>
      </c>
      <c r="F741" s="3072" t="s">
        <v>3235</v>
      </c>
      <c r="G741" s="3464" t="s">
        <v>3691</v>
      </c>
      <c r="H741" s="3466"/>
      <c r="I741" s="3465"/>
      <c r="J741" s="3074">
        <v>5725</v>
      </c>
      <c r="K741" s="3464" t="s">
        <v>3692</v>
      </c>
      <c r="L741" s="3465"/>
    </row>
    <row r="742" spans="1:12" ht="26.25" thickBot="1">
      <c r="A742" s="3073">
        <v>132</v>
      </c>
      <c r="B742" s="3074">
        <v>13</v>
      </c>
      <c r="C742" s="3079">
        <v>44405</v>
      </c>
      <c r="D742" s="3074" t="s">
        <v>3421</v>
      </c>
      <c r="E742" s="3072" t="s">
        <v>3109</v>
      </c>
      <c r="F742" s="3072" t="s">
        <v>3235</v>
      </c>
      <c r="G742" s="3464" t="s">
        <v>3691</v>
      </c>
      <c r="H742" s="3466"/>
      <c r="I742" s="3465"/>
      <c r="J742" s="3074">
        <v>5725</v>
      </c>
      <c r="K742" s="3464" t="s">
        <v>3692</v>
      </c>
      <c r="L742" s="3465"/>
    </row>
    <row r="743" spans="1:12" ht="26.25" thickBot="1">
      <c r="A743" s="3073">
        <v>133</v>
      </c>
      <c r="B743" s="3074">
        <v>13</v>
      </c>
      <c r="C743" s="3079">
        <v>44405</v>
      </c>
      <c r="D743" s="3074" t="s">
        <v>3422</v>
      </c>
      <c r="E743" s="3072" t="s">
        <v>3109</v>
      </c>
      <c r="F743" s="3072" t="s">
        <v>3235</v>
      </c>
      <c r="G743" s="3464" t="s">
        <v>3689</v>
      </c>
      <c r="H743" s="3466"/>
      <c r="I743" s="3465"/>
      <c r="J743" s="3074">
        <v>5725</v>
      </c>
      <c r="K743" s="3464" t="s">
        <v>3690</v>
      </c>
      <c r="L743" s="3465"/>
    </row>
    <row r="744" spans="1:12" ht="26.25" thickBot="1">
      <c r="A744" s="3073">
        <v>134</v>
      </c>
      <c r="B744" s="3074">
        <v>13</v>
      </c>
      <c r="C744" s="3079">
        <v>44405</v>
      </c>
      <c r="D744" s="3074" t="s">
        <v>3423</v>
      </c>
      <c r="E744" s="3072" t="s">
        <v>3109</v>
      </c>
      <c r="F744" s="3072" t="s">
        <v>3235</v>
      </c>
      <c r="G744" s="3464" t="s">
        <v>3687</v>
      </c>
      <c r="H744" s="3466"/>
      <c r="I744" s="3465"/>
      <c r="J744" s="3074">
        <v>5725</v>
      </c>
      <c r="K744" s="3464" t="s">
        <v>3688</v>
      </c>
      <c r="L744" s="3465"/>
    </row>
    <row r="745" spans="1:12" ht="26.25" thickBot="1">
      <c r="A745" s="3073">
        <v>135</v>
      </c>
      <c r="B745" s="3074">
        <v>13</v>
      </c>
      <c r="C745" s="3079">
        <v>44436</v>
      </c>
      <c r="D745" s="3074" t="s">
        <v>3424</v>
      </c>
      <c r="E745" s="3072" t="s">
        <v>3109</v>
      </c>
      <c r="F745" s="3072" t="s">
        <v>3235</v>
      </c>
      <c r="G745" s="3464" t="s">
        <v>3687</v>
      </c>
      <c r="H745" s="3466"/>
      <c r="I745" s="3465"/>
      <c r="J745" s="3074">
        <v>5725</v>
      </c>
      <c r="K745" s="3464" t="s">
        <v>3688</v>
      </c>
      <c r="L745" s="3465"/>
    </row>
    <row r="746" spans="1:12" ht="26.25" thickBot="1">
      <c r="A746" s="3073">
        <v>136</v>
      </c>
      <c r="B746" s="3074">
        <v>13</v>
      </c>
      <c r="C746" s="3079">
        <v>44436</v>
      </c>
      <c r="D746" s="3074" t="s">
        <v>3425</v>
      </c>
      <c r="E746" s="3072" t="s">
        <v>3109</v>
      </c>
      <c r="F746" s="3072" t="s">
        <v>3235</v>
      </c>
      <c r="G746" s="3464" t="s">
        <v>3689</v>
      </c>
      <c r="H746" s="3466"/>
      <c r="I746" s="3465"/>
      <c r="J746" s="3074">
        <v>5725</v>
      </c>
      <c r="K746" s="3464" t="s">
        <v>3690</v>
      </c>
      <c r="L746" s="3465"/>
    </row>
    <row r="747" spans="1:12" ht="26.25" thickBot="1">
      <c r="A747" s="3073">
        <v>137</v>
      </c>
      <c r="B747" s="3074">
        <v>13</v>
      </c>
      <c r="C747" s="3079">
        <v>44436</v>
      </c>
      <c r="D747" s="3074" t="s">
        <v>3426</v>
      </c>
      <c r="E747" s="3072" t="s">
        <v>3109</v>
      </c>
      <c r="F747" s="3072" t="s">
        <v>3235</v>
      </c>
      <c r="G747" s="3469">
        <v>118</v>
      </c>
      <c r="H747" s="3470"/>
      <c r="I747" s="3074">
        <v>5</v>
      </c>
      <c r="J747" s="3074">
        <v>5725</v>
      </c>
      <c r="K747" s="3087">
        <v>67</v>
      </c>
      <c r="L747" s="3074">
        <v>87</v>
      </c>
    </row>
    <row r="748" spans="1:12" ht="26.25" thickBot="1">
      <c r="A748" s="3073">
        <v>138</v>
      </c>
      <c r="B748" s="3074">
        <v>13</v>
      </c>
      <c r="C748" s="3079">
        <v>44436</v>
      </c>
      <c r="D748" s="3074" t="s">
        <v>3427</v>
      </c>
      <c r="E748" s="3072" t="s">
        <v>3109</v>
      </c>
      <c r="F748" s="3072" t="s">
        <v>3235</v>
      </c>
      <c r="G748" s="3464" t="s">
        <v>3691</v>
      </c>
      <c r="H748" s="3466"/>
      <c r="I748" s="3465"/>
      <c r="J748" s="3074">
        <v>5725</v>
      </c>
      <c r="K748" s="3464" t="s">
        <v>3692</v>
      </c>
      <c r="L748" s="3465"/>
    </row>
    <row r="749" spans="1:12" ht="26.25" thickBot="1">
      <c r="A749" s="3073">
        <v>139</v>
      </c>
      <c r="B749" s="3074">
        <v>13</v>
      </c>
      <c r="C749" s="3079">
        <v>44436</v>
      </c>
      <c r="D749" s="3074" t="s">
        <v>3428</v>
      </c>
      <c r="E749" s="3072" t="s">
        <v>3109</v>
      </c>
      <c r="F749" s="3072" t="s">
        <v>3235</v>
      </c>
      <c r="G749" s="3464" t="s">
        <v>3689</v>
      </c>
      <c r="H749" s="3466"/>
      <c r="I749" s="3465"/>
      <c r="J749" s="3074">
        <v>5725</v>
      </c>
      <c r="K749" s="3464" t="s">
        <v>3690</v>
      </c>
      <c r="L749" s="3465"/>
    </row>
    <row r="750" spans="1:12" ht="26.25" thickBot="1">
      <c r="A750" s="3073">
        <v>140</v>
      </c>
      <c r="B750" s="3074">
        <v>13</v>
      </c>
      <c r="C750" s="3079">
        <v>44436</v>
      </c>
      <c r="D750" s="3074" t="s">
        <v>3429</v>
      </c>
      <c r="E750" s="3072" t="s">
        <v>3109</v>
      </c>
      <c r="F750" s="3072" t="s">
        <v>3235</v>
      </c>
      <c r="G750" s="3464" t="s">
        <v>3687</v>
      </c>
      <c r="H750" s="3466"/>
      <c r="I750" s="3465"/>
      <c r="J750" s="3074">
        <v>5725</v>
      </c>
      <c r="K750" s="3464" t="s">
        <v>3688</v>
      </c>
      <c r="L750" s="3465"/>
    </row>
    <row r="751" spans="1:12" ht="26.25" thickBot="1">
      <c r="A751" s="3073">
        <v>141</v>
      </c>
      <c r="B751" s="3074">
        <v>13</v>
      </c>
      <c r="C751" s="3079">
        <v>44467</v>
      </c>
      <c r="D751" s="3074" t="s">
        <v>3430</v>
      </c>
      <c r="E751" s="3072" t="s">
        <v>3109</v>
      </c>
      <c r="F751" s="3072" t="s">
        <v>3235</v>
      </c>
      <c r="G751" s="3464" t="s">
        <v>3687</v>
      </c>
      <c r="H751" s="3466"/>
      <c r="I751" s="3465"/>
      <c r="J751" s="3074">
        <v>5725</v>
      </c>
      <c r="K751" s="3464" t="s">
        <v>3688</v>
      </c>
      <c r="L751" s="3465"/>
    </row>
    <row r="752" spans="1:12" ht="26.25" thickBot="1">
      <c r="A752" s="3073">
        <v>142</v>
      </c>
      <c r="B752" s="3074">
        <v>13</v>
      </c>
      <c r="C752" s="3079">
        <v>44467</v>
      </c>
      <c r="D752" s="3074" t="s">
        <v>3431</v>
      </c>
      <c r="E752" s="3072" t="s">
        <v>3109</v>
      </c>
      <c r="F752" s="3072" t="s">
        <v>3235</v>
      </c>
      <c r="G752" s="3464" t="s">
        <v>3689</v>
      </c>
      <c r="H752" s="3466"/>
      <c r="I752" s="3465"/>
      <c r="J752" s="3074">
        <v>5725</v>
      </c>
      <c r="K752" s="3464" t="s">
        <v>3690</v>
      </c>
      <c r="L752" s="3465"/>
    </row>
    <row r="753" spans="1:12" ht="26.25" thickBot="1">
      <c r="A753" s="3073">
        <v>143</v>
      </c>
      <c r="B753" s="3074">
        <v>13</v>
      </c>
      <c r="C753" s="3079">
        <v>44467</v>
      </c>
      <c r="D753" s="3074" t="s">
        <v>3432</v>
      </c>
      <c r="E753" s="3072" t="s">
        <v>3109</v>
      </c>
      <c r="F753" s="3072" t="s">
        <v>3235</v>
      </c>
      <c r="G753" s="3464" t="s">
        <v>3691</v>
      </c>
      <c r="H753" s="3466"/>
      <c r="I753" s="3465"/>
      <c r="J753" s="3074">
        <v>5725</v>
      </c>
      <c r="K753" s="3464" t="s">
        <v>3692</v>
      </c>
      <c r="L753" s="3465"/>
    </row>
    <row r="754" spans="1:12" ht="26.25" thickBot="1">
      <c r="A754" s="3073">
        <v>144</v>
      </c>
      <c r="B754" s="3074">
        <v>13</v>
      </c>
      <c r="C754" s="3079">
        <v>44467</v>
      </c>
      <c r="D754" s="3074" t="s">
        <v>3433</v>
      </c>
      <c r="E754" s="3072" t="s">
        <v>3109</v>
      </c>
      <c r="F754" s="3072" t="s">
        <v>3235</v>
      </c>
      <c r="G754" s="3464" t="s">
        <v>3691</v>
      </c>
      <c r="H754" s="3466"/>
      <c r="I754" s="3465"/>
      <c r="J754" s="3074">
        <v>5725</v>
      </c>
      <c r="K754" s="3464" t="s">
        <v>3692</v>
      </c>
      <c r="L754" s="3465"/>
    </row>
    <row r="755" spans="1:12" ht="26.25" thickBot="1">
      <c r="A755" s="3073">
        <v>145</v>
      </c>
      <c r="B755" s="3074">
        <v>13</v>
      </c>
      <c r="C755" s="3079">
        <v>44467</v>
      </c>
      <c r="D755" s="3074" t="s">
        <v>3434</v>
      </c>
      <c r="E755" s="3072" t="s">
        <v>3109</v>
      </c>
      <c r="F755" s="3072" t="s">
        <v>3235</v>
      </c>
      <c r="G755" s="3464" t="s">
        <v>3689</v>
      </c>
      <c r="H755" s="3466"/>
      <c r="I755" s="3465"/>
      <c r="J755" s="3074">
        <v>5725</v>
      </c>
      <c r="K755" s="3464" t="s">
        <v>3690</v>
      </c>
      <c r="L755" s="3465"/>
    </row>
    <row r="756" spans="1:12" ht="26.25" thickBot="1">
      <c r="A756" s="3073">
        <v>146</v>
      </c>
      <c r="B756" s="3074">
        <v>13</v>
      </c>
      <c r="C756" s="3079">
        <v>44467</v>
      </c>
      <c r="D756" s="3074" t="s">
        <v>3435</v>
      </c>
      <c r="E756" s="3072" t="s">
        <v>3109</v>
      </c>
      <c r="F756" s="3072" t="s">
        <v>3235</v>
      </c>
      <c r="G756" s="3464" t="s">
        <v>3687</v>
      </c>
      <c r="H756" s="3466"/>
      <c r="I756" s="3465"/>
      <c r="J756" s="3074">
        <v>5725</v>
      </c>
      <c r="K756" s="3464" t="s">
        <v>3688</v>
      </c>
      <c r="L756" s="3465"/>
    </row>
    <row r="757" spans="1:12" ht="26.25" thickBot="1">
      <c r="A757" s="3073">
        <v>147</v>
      </c>
      <c r="B757" s="3074">
        <v>13</v>
      </c>
      <c r="C757" s="3079">
        <v>44497</v>
      </c>
      <c r="D757" s="3074" t="s">
        <v>3436</v>
      </c>
      <c r="E757" s="3072" t="s">
        <v>3109</v>
      </c>
      <c r="F757" s="3072" t="s">
        <v>3235</v>
      </c>
      <c r="G757" s="3469">
        <v>139</v>
      </c>
      <c r="H757" s="3470"/>
      <c r="I757" s="3074">
        <v>1</v>
      </c>
      <c r="J757" s="3074">
        <v>5725</v>
      </c>
      <c r="K757" s="3087">
        <v>79</v>
      </c>
      <c r="L757" s="3074">
        <v>58</v>
      </c>
    </row>
    <row r="758" spans="1:12" ht="26.25" thickBot="1">
      <c r="A758" s="3073">
        <v>148</v>
      </c>
      <c r="B758" s="3074">
        <v>13</v>
      </c>
      <c r="C758" s="3079">
        <v>44497</v>
      </c>
      <c r="D758" s="3074" t="s">
        <v>3437</v>
      </c>
      <c r="E758" s="3072" t="s">
        <v>3109</v>
      </c>
      <c r="F758" s="3072" t="s">
        <v>3235</v>
      </c>
      <c r="G758" s="3464" t="s">
        <v>3689</v>
      </c>
      <c r="H758" s="3466"/>
      <c r="I758" s="3465"/>
      <c r="J758" s="3074">
        <v>5725</v>
      </c>
      <c r="K758" s="3464" t="s">
        <v>3690</v>
      </c>
      <c r="L758" s="3465"/>
    </row>
    <row r="759" spans="1:12" ht="26.25" thickBot="1">
      <c r="A759" s="3073">
        <v>149</v>
      </c>
      <c r="B759" s="3074">
        <v>13</v>
      </c>
      <c r="C759" s="3079">
        <v>44497</v>
      </c>
      <c r="D759" s="3074" t="s">
        <v>3438</v>
      </c>
      <c r="E759" s="3072" t="s">
        <v>3109</v>
      </c>
      <c r="F759" s="3072" t="s">
        <v>3235</v>
      </c>
      <c r="G759" s="3464" t="s">
        <v>3691</v>
      </c>
      <c r="H759" s="3466"/>
      <c r="I759" s="3465"/>
      <c r="J759" s="3074">
        <v>5725</v>
      </c>
      <c r="K759" s="3464" t="s">
        <v>3692</v>
      </c>
      <c r="L759" s="3465"/>
    </row>
    <row r="760" spans="1:12" ht="26.25" thickBot="1">
      <c r="A760" s="3073">
        <v>150</v>
      </c>
      <c r="B760" s="3074">
        <v>13</v>
      </c>
      <c r="C760" s="3079">
        <v>44497</v>
      </c>
      <c r="D760" s="3074" t="s">
        <v>3439</v>
      </c>
      <c r="E760" s="3072" t="s">
        <v>3109</v>
      </c>
      <c r="F760" s="3072" t="s">
        <v>3235</v>
      </c>
      <c r="G760" s="3464" t="s">
        <v>3691</v>
      </c>
      <c r="H760" s="3466"/>
      <c r="I760" s="3465"/>
      <c r="J760" s="3074">
        <v>5725</v>
      </c>
      <c r="K760" s="3464" t="s">
        <v>3692</v>
      </c>
      <c r="L760" s="3465"/>
    </row>
    <row r="761" spans="1:12" ht="26.25" thickBot="1">
      <c r="A761" s="3073">
        <v>151</v>
      </c>
      <c r="B761" s="3074">
        <v>13</v>
      </c>
      <c r="C761" s="3079">
        <v>44497</v>
      </c>
      <c r="D761" s="3074" t="s">
        <v>3440</v>
      </c>
      <c r="E761" s="3072" t="s">
        <v>3109</v>
      </c>
      <c r="F761" s="3072" t="s">
        <v>3235</v>
      </c>
      <c r="G761" s="3464" t="s">
        <v>3689</v>
      </c>
      <c r="H761" s="3466"/>
      <c r="I761" s="3465"/>
      <c r="J761" s="3074">
        <v>5725</v>
      </c>
      <c r="K761" s="3464" t="s">
        <v>3690</v>
      </c>
      <c r="L761" s="3465"/>
    </row>
    <row r="762" spans="1:12" ht="26.25" thickBot="1">
      <c r="A762" s="3073">
        <v>152</v>
      </c>
      <c r="B762" s="3074">
        <v>13</v>
      </c>
      <c r="C762" s="3079">
        <v>44497</v>
      </c>
      <c r="D762" s="3074" t="s">
        <v>3441</v>
      </c>
      <c r="E762" s="3072" t="s">
        <v>3109</v>
      </c>
      <c r="F762" s="3072" t="s">
        <v>3235</v>
      </c>
      <c r="G762" s="3464" t="s">
        <v>3687</v>
      </c>
      <c r="H762" s="3466"/>
      <c r="I762" s="3465"/>
      <c r="J762" s="3074">
        <v>5725</v>
      </c>
      <c r="K762" s="3464" t="s">
        <v>3688</v>
      </c>
      <c r="L762" s="3465"/>
    </row>
    <row r="763" spans="1:12" ht="26.25" thickBot="1">
      <c r="A763" s="3073">
        <v>153</v>
      </c>
      <c r="B763" s="3074">
        <v>13</v>
      </c>
      <c r="C763" s="3079">
        <v>44528</v>
      </c>
      <c r="D763" s="3074" t="s">
        <v>3442</v>
      </c>
      <c r="E763" s="3072" t="s">
        <v>3109</v>
      </c>
      <c r="F763" s="3072" t="s">
        <v>3235</v>
      </c>
      <c r="G763" s="3464" t="s">
        <v>3687</v>
      </c>
      <c r="H763" s="3466"/>
      <c r="I763" s="3465"/>
      <c r="J763" s="3074">
        <v>5725</v>
      </c>
      <c r="K763" s="3464" t="s">
        <v>3688</v>
      </c>
      <c r="L763" s="3465"/>
    </row>
    <row r="764" spans="1:12" ht="26.25" thickBot="1">
      <c r="A764" s="3073">
        <v>154</v>
      </c>
      <c r="B764" s="3074">
        <v>13</v>
      </c>
      <c r="C764" s="3079">
        <v>44528</v>
      </c>
      <c r="D764" s="3074" t="s">
        <v>3443</v>
      </c>
      <c r="E764" s="3072" t="s">
        <v>3109</v>
      </c>
      <c r="F764" s="3072" t="s">
        <v>3235</v>
      </c>
      <c r="G764" s="3088"/>
      <c r="H764" s="3466">
        <v>77</v>
      </c>
      <c r="I764" s="3465"/>
      <c r="J764" s="3074">
        <v>5725</v>
      </c>
      <c r="K764" s="3087">
        <v>54</v>
      </c>
      <c r="L764" s="3074">
        <v>26</v>
      </c>
    </row>
    <row r="765" spans="1:12" ht="26.25" thickBot="1">
      <c r="A765" s="3073">
        <v>155</v>
      </c>
      <c r="B765" s="3074">
        <v>13</v>
      </c>
      <c r="C765" s="3079">
        <v>44528</v>
      </c>
      <c r="D765" s="3074" t="s">
        <v>3444</v>
      </c>
      <c r="E765" s="3072" t="s">
        <v>3109</v>
      </c>
      <c r="F765" s="3072" t="s">
        <v>3235</v>
      </c>
      <c r="G765" s="3464" t="s">
        <v>3691</v>
      </c>
      <c r="H765" s="3466"/>
      <c r="I765" s="3465"/>
      <c r="J765" s="3074">
        <v>5725</v>
      </c>
      <c r="K765" s="3464" t="s">
        <v>3692</v>
      </c>
      <c r="L765" s="3465"/>
    </row>
    <row r="766" spans="1:12" ht="26.25" thickBot="1">
      <c r="A766" s="3073">
        <v>156</v>
      </c>
      <c r="B766" s="3074">
        <v>13</v>
      </c>
      <c r="C766" s="3079">
        <v>44528</v>
      </c>
      <c r="D766" s="3074" t="s">
        <v>3697</v>
      </c>
      <c r="E766" s="3072" t="s">
        <v>3109</v>
      </c>
      <c r="F766" s="3072" t="s">
        <v>3235</v>
      </c>
      <c r="G766" s="3464" t="s">
        <v>3691</v>
      </c>
      <c r="H766" s="3466"/>
      <c r="I766" s="3465"/>
      <c r="J766" s="3074">
        <v>5725</v>
      </c>
      <c r="K766" s="3464" t="s">
        <v>3692</v>
      </c>
      <c r="L766" s="3465"/>
    </row>
    <row r="767" spans="1:12" ht="26.25" thickBot="1">
      <c r="A767" s="3073">
        <v>157</v>
      </c>
      <c r="B767" s="3074">
        <v>13</v>
      </c>
      <c r="C767" s="3079">
        <v>44528</v>
      </c>
      <c r="D767" s="3074" t="s">
        <v>3635</v>
      </c>
      <c r="E767" s="3072" t="s">
        <v>3109</v>
      </c>
      <c r="F767" s="3072" t="s">
        <v>3235</v>
      </c>
      <c r="G767" s="3464" t="s">
        <v>3689</v>
      </c>
      <c r="H767" s="3466"/>
      <c r="I767" s="3465"/>
      <c r="J767" s="3074">
        <v>5725</v>
      </c>
      <c r="K767" s="3464" t="s">
        <v>3690</v>
      </c>
      <c r="L767" s="3465"/>
    </row>
    <row r="768" spans="1:12" ht="26.25" thickBot="1">
      <c r="A768" s="3073">
        <v>158</v>
      </c>
      <c r="B768" s="3074">
        <v>13</v>
      </c>
      <c r="C768" s="3079">
        <v>44528</v>
      </c>
      <c r="D768" s="3074" t="s">
        <v>3447</v>
      </c>
      <c r="E768" s="3072" t="s">
        <v>3109</v>
      </c>
      <c r="F768" s="3072" t="s">
        <v>3235</v>
      </c>
      <c r="G768" s="3464" t="s">
        <v>3687</v>
      </c>
      <c r="H768" s="3466"/>
      <c r="I768" s="3465"/>
      <c r="J768" s="3074">
        <v>5725</v>
      </c>
      <c r="K768" s="3464" t="s">
        <v>3688</v>
      </c>
      <c r="L768" s="3465"/>
    </row>
    <row r="769" spans="1:12" ht="26.25" thickBot="1">
      <c r="A769" s="3073">
        <v>159</v>
      </c>
      <c r="B769" s="3074">
        <v>13</v>
      </c>
      <c r="C769" s="3079">
        <v>44558</v>
      </c>
      <c r="D769" s="3074" t="s">
        <v>3448</v>
      </c>
      <c r="E769" s="3072" t="s">
        <v>3109</v>
      </c>
      <c r="F769" s="3072" t="s">
        <v>3235</v>
      </c>
      <c r="G769" s="3464" t="s">
        <v>3687</v>
      </c>
      <c r="H769" s="3466"/>
      <c r="I769" s="3465"/>
      <c r="J769" s="3074">
        <v>5725</v>
      </c>
      <c r="K769" s="3464" t="s">
        <v>3688</v>
      </c>
      <c r="L769" s="3465"/>
    </row>
    <row r="770" spans="1:12" ht="26.25" thickBot="1">
      <c r="A770" s="3073">
        <v>160</v>
      </c>
      <c r="B770" s="3074">
        <v>13</v>
      </c>
      <c r="C770" s="3079">
        <v>44558</v>
      </c>
      <c r="D770" s="3074" t="s">
        <v>3449</v>
      </c>
      <c r="E770" s="3072" t="s">
        <v>3109</v>
      </c>
      <c r="F770" s="3072" t="s">
        <v>3235</v>
      </c>
      <c r="G770" s="3464" t="s">
        <v>3689</v>
      </c>
      <c r="H770" s="3466"/>
      <c r="I770" s="3465"/>
      <c r="J770" s="3074">
        <v>5725</v>
      </c>
      <c r="K770" s="3464" t="s">
        <v>3690</v>
      </c>
      <c r="L770" s="3465"/>
    </row>
    <row r="771" spans="1:12" ht="26.25" thickBot="1">
      <c r="A771" s="3073">
        <v>161</v>
      </c>
      <c r="B771" s="3074">
        <v>13</v>
      </c>
      <c r="C771" s="3079">
        <v>44558</v>
      </c>
      <c r="D771" s="3074" t="s">
        <v>3450</v>
      </c>
      <c r="E771" s="3072" t="s">
        <v>3109</v>
      </c>
      <c r="F771" s="3072" t="s">
        <v>3235</v>
      </c>
      <c r="G771" s="3464" t="s">
        <v>3691</v>
      </c>
      <c r="H771" s="3466"/>
      <c r="I771" s="3465"/>
      <c r="J771" s="3074">
        <v>5725</v>
      </c>
      <c r="K771" s="3464" t="s">
        <v>3692</v>
      </c>
      <c r="L771" s="3465"/>
    </row>
    <row r="772" spans="1:12" ht="26.25" thickBot="1">
      <c r="A772" s="3073">
        <v>162</v>
      </c>
      <c r="B772" s="3074">
        <v>13</v>
      </c>
      <c r="C772" s="3079">
        <v>44558</v>
      </c>
      <c r="D772" s="3074" t="s">
        <v>3451</v>
      </c>
      <c r="E772" s="3072" t="s">
        <v>3109</v>
      </c>
      <c r="F772" s="3072" t="s">
        <v>3235</v>
      </c>
      <c r="G772" s="3464" t="s">
        <v>3691</v>
      </c>
      <c r="H772" s="3466"/>
      <c r="I772" s="3465"/>
      <c r="J772" s="3074">
        <v>5725</v>
      </c>
      <c r="K772" s="3464" t="s">
        <v>3692</v>
      </c>
      <c r="L772" s="3465"/>
    </row>
    <row r="773" spans="1:12" ht="26.25" thickBot="1">
      <c r="A773" s="3073">
        <v>163</v>
      </c>
      <c r="B773" s="3074">
        <v>13</v>
      </c>
      <c r="C773" s="3079">
        <v>44558</v>
      </c>
      <c r="D773" s="3074" t="s">
        <v>3452</v>
      </c>
      <c r="E773" s="3072" t="s">
        <v>3109</v>
      </c>
      <c r="F773" s="3072" t="s">
        <v>3235</v>
      </c>
      <c r="G773" s="3464" t="s">
        <v>3689</v>
      </c>
      <c r="H773" s="3466"/>
      <c r="I773" s="3465"/>
      <c r="J773" s="3074">
        <v>5725</v>
      </c>
      <c r="K773" s="3464" t="s">
        <v>3690</v>
      </c>
      <c r="L773" s="3465"/>
    </row>
    <row r="774" spans="1:12">
      <c r="A774" s="3089"/>
      <c r="B774" s="3089"/>
      <c r="C774" s="3089"/>
      <c r="D774" s="3089"/>
      <c r="E774" s="3089"/>
      <c r="F774" s="3089"/>
      <c r="G774" s="3089"/>
      <c r="H774" s="3089"/>
      <c r="I774" s="3089"/>
      <c r="J774" s="3089"/>
      <c r="K774" s="3089"/>
      <c r="L774" s="3089"/>
    </row>
    <row r="775" spans="1:12">
      <c r="A775" s="3070"/>
    </row>
    <row r="777" spans="1:12" ht="14.25" thickBot="1">
      <c r="A777" s="3078"/>
    </row>
    <row r="778" spans="1:12">
      <c r="A778" s="3458" t="s">
        <v>3223</v>
      </c>
      <c r="B778" s="3458" t="s">
        <v>3224</v>
      </c>
      <c r="C778" s="3071" t="s">
        <v>3225</v>
      </c>
      <c r="D778" s="3458" t="s">
        <v>3227</v>
      </c>
      <c r="E778" s="3458" t="s">
        <v>1341</v>
      </c>
      <c r="F778" s="3458" t="s">
        <v>3228</v>
      </c>
      <c r="G778" s="3460" t="s">
        <v>3229</v>
      </c>
      <c r="H778" s="3467"/>
      <c r="I778" s="3461"/>
      <c r="J778" s="3458" t="s">
        <v>3231</v>
      </c>
      <c r="K778" s="3460" t="s">
        <v>3232</v>
      </c>
      <c r="L778" s="3461"/>
    </row>
    <row r="779" spans="1:12" ht="14.25" thickBot="1">
      <c r="A779" s="3459"/>
      <c r="B779" s="3459"/>
      <c r="C779" s="3072" t="s">
        <v>3226</v>
      </c>
      <c r="D779" s="3459"/>
      <c r="E779" s="3459"/>
      <c r="F779" s="3459"/>
      <c r="G779" s="3462" t="s">
        <v>3230</v>
      </c>
      <c r="H779" s="3468"/>
      <c r="I779" s="3463"/>
      <c r="J779" s="3459"/>
      <c r="K779" s="3462"/>
      <c r="L779" s="3463"/>
    </row>
    <row r="780" spans="1:12" ht="26.25" thickBot="1">
      <c r="A780" s="3073">
        <v>164</v>
      </c>
      <c r="B780" s="3074">
        <v>13</v>
      </c>
      <c r="C780" s="3079">
        <v>44558</v>
      </c>
      <c r="D780" s="3074" t="s">
        <v>3453</v>
      </c>
      <c r="E780" s="3072" t="s">
        <v>3109</v>
      </c>
      <c r="F780" s="3072" t="s">
        <v>3235</v>
      </c>
      <c r="G780" s="3464" t="s">
        <v>3687</v>
      </c>
      <c r="H780" s="3466"/>
      <c r="I780" s="3465"/>
      <c r="J780" s="3074">
        <v>5725</v>
      </c>
      <c r="K780" s="3464" t="s">
        <v>3688</v>
      </c>
      <c r="L780" s="3465"/>
    </row>
    <row r="781" spans="1:12" ht="26.25" thickBot="1">
      <c r="A781" s="3073">
        <v>165</v>
      </c>
      <c r="B781" s="3074">
        <v>13</v>
      </c>
      <c r="C781" s="3074" t="s">
        <v>3454</v>
      </c>
      <c r="D781" s="3074" t="s">
        <v>3455</v>
      </c>
      <c r="E781" s="3072" t="s">
        <v>3109</v>
      </c>
      <c r="F781" s="3072" t="s">
        <v>3235</v>
      </c>
      <c r="G781" s="3469">
        <v>139</v>
      </c>
      <c r="H781" s="3470"/>
      <c r="I781" s="3074">
        <v>1</v>
      </c>
      <c r="J781" s="3074">
        <v>5725</v>
      </c>
      <c r="K781" s="3087">
        <v>79</v>
      </c>
      <c r="L781" s="3074">
        <v>58</v>
      </c>
    </row>
    <row r="782" spans="1:12" ht="23.25" thickBot="1">
      <c r="A782" s="3073">
        <v>166</v>
      </c>
      <c r="B782" s="3074">
        <v>13</v>
      </c>
      <c r="C782" s="3074" t="s">
        <v>3454</v>
      </c>
      <c r="D782" s="3082" t="s">
        <v>3636</v>
      </c>
      <c r="E782" s="3083" t="s">
        <v>3109</v>
      </c>
      <c r="F782" s="3083" t="s">
        <v>3235</v>
      </c>
      <c r="G782" s="3464" t="s">
        <v>3689</v>
      </c>
      <c r="H782" s="3466"/>
      <c r="I782" s="3465"/>
      <c r="J782" s="3074">
        <v>5725</v>
      </c>
      <c r="K782" s="3464" t="s">
        <v>3690</v>
      </c>
      <c r="L782" s="3465"/>
    </row>
    <row r="783" spans="1:12" ht="23.25" thickBot="1">
      <c r="A783" s="3073">
        <v>167</v>
      </c>
      <c r="B783" s="3074">
        <v>13</v>
      </c>
      <c r="C783" s="3074" t="s">
        <v>3454</v>
      </c>
      <c r="D783" s="3082" t="s">
        <v>3457</v>
      </c>
      <c r="E783" s="3083" t="s">
        <v>3109</v>
      </c>
      <c r="F783" s="3083" t="s">
        <v>3235</v>
      </c>
      <c r="G783" s="3464" t="s">
        <v>3691</v>
      </c>
      <c r="H783" s="3466"/>
      <c r="I783" s="3465"/>
      <c r="J783" s="3074">
        <v>5725</v>
      </c>
      <c r="K783" s="3464" t="s">
        <v>3692</v>
      </c>
      <c r="L783" s="3465"/>
    </row>
    <row r="784" spans="1:12" ht="23.25" thickBot="1">
      <c r="A784" s="3073">
        <v>168</v>
      </c>
      <c r="B784" s="3074">
        <v>13</v>
      </c>
      <c r="C784" s="3074" t="s">
        <v>3454</v>
      </c>
      <c r="D784" s="3090" t="s">
        <v>3698</v>
      </c>
      <c r="E784" s="3091" t="s">
        <v>3109</v>
      </c>
      <c r="F784" s="3091" t="s">
        <v>3235</v>
      </c>
      <c r="G784" s="3464" t="s">
        <v>3691</v>
      </c>
      <c r="H784" s="3466"/>
      <c r="I784" s="3465"/>
      <c r="J784" s="3074">
        <v>5725</v>
      </c>
      <c r="K784" s="3464" t="s">
        <v>3692</v>
      </c>
      <c r="L784" s="3465"/>
    </row>
    <row r="785" spans="1:12" ht="26.25" thickBot="1">
      <c r="A785" s="3073">
        <v>169</v>
      </c>
      <c r="B785" s="3074">
        <v>13</v>
      </c>
      <c r="C785" s="3074" t="s">
        <v>3454</v>
      </c>
      <c r="D785" s="3074" t="s">
        <v>3459</v>
      </c>
      <c r="E785" s="3072" t="s">
        <v>3109</v>
      </c>
      <c r="F785" s="3072" t="s">
        <v>3235</v>
      </c>
      <c r="G785" s="3464" t="s">
        <v>3689</v>
      </c>
      <c r="H785" s="3466"/>
      <c r="I785" s="3465"/>
      <c r="J785" s="3074">
        <v>5725</v>
      </c>
      <c r="K785" s="3464" t="s">
        <v>3690</v>
      </c>
      <c r="L785" s="3465"/>
    </row>
    <row r="786" spans="1:12" ht="26.25" thickBot="1">
      <c r="A786" s="3073">
        <v>170</v>
      </c>
      <c r="B786" s="3074">
        <v>13</v>
      </c>
      <c r="C786" s="3074" t="s">
        <v>3454</v>
      </c>
      <c r="D786" s="3074" t="s">
        <v>3460</v>
      </c>
      <c r="E786" s="3072" t="s">
        <v>3109</v>
      </c>
      <c r="F786" s="3072" t="s">
        <v>3235</v>
      </c>
      <c r="G786" s="3464" t="s">
        <v>3687</v>
      </c>
      <c r="H786" s="3466"/>
      <c r="I786" s="3465"/>
      <c r="J786" s="3074">
        <v>5725</v>
      </c>
      <c r="K786" s="3464" t="s">
        <v>3688</v>
      </c>
      <c r="L786" s="3465"/>
    </row>
    <row r="787" spans="1:12" ht="26.25" thickBot="1">
      <c r="A787" s="3073">
        <v>171</v>
      </c>
      <c r="B787" s="3074">
        <v>13</v>
      </c>
      <c r="C787" s="3074" t="s">
        <v>3461</v>
      </c>
      <c r="D787" s="3074" t="s">
        <v>3462</v>
      </c>
      <c r="E787" s="3072" t="s">
        <v>3109</v>
      </c>
      <c r="F787" s="3072" t="s">
        <v>3235</v>
      </c>
      <c r="G787" s="3464" t="s">
        <v>3687</v>
      </c>
      <c r="H787" s="3466"/>
      <c r="I787" s="3465"/>
      <c r="J787" s="3074">
        <v>5725</v>
      </c>
      <c r="K787" s="3464" t="s">
        <v>3688</v>
      </c>
      <c r="L787" s="3465"/>
    </row>
    <row r="788" spans="1:12" ht="26.25" thickBot="1">
      <c r="A788" s="3073">
        <v>172</v>
      </c>
      <c r="B788" s="3074">
        <v>13</v>
      </c>
      <c r="C788" s="3074" t="s">
        <v>3461</v>
      </c>
      <c r="D788" s="3074" t="s">
        <v>3463</v>
      </c>
      <c r="E788" s="3072" t="s">
        <v>3109</v>
      </c>
      <c r="F788" s="3072" t="s">
        <v>3235</v>
      </c>
      <c r="G788" s="3464" t="s">
        <v>3689</v>
      </c>
      <c r="H788" s="3466"/>
      <c r="I788" s="3465"/>
      <c r="J788" s="3074">
        <v>5725</v>
      </c>
      <c r="K788" s="3464" t="s">
        <v>3690</v>
      </c>
      <c r="L788" s="3465"/>
    </row>
    <row r="789" spans="1:12" ht="26.25" thickBot="1">
      <c r="A789" s="3073">
        <v>173</v>
      </c>
      <c r="B789" s="3074">
        <v>13</v>
      </c>
      <c r="C789" s="3074" t="s">
        <v>3461</v>
      </c>
      <c r="D789" s="3074" t="s">
        <v>3464</v>
      </c>
      <c r="E789" s="3072" t="s">
        <v>3109</v>
      </c>
      <c r="F789" s="3072" t="s">
        <v>3235</v>
      </c>
      <c r="G789" s="3464" t="s">
        <v>3691</v>
      </c>
      <c r="H789" s="3466"/>
      <c r="I789" s="3465"/>
      <c r="J789" s="3074">
        <v>5725</v>
      </c>
      <c r="K789" s="3464" t="s">
        <v>3692</v>
      </c>
      <c r="L789" s="3465"/>
    </row>
    <row r="790" spans="1:12" ht="26.25" thickBot="1">
      <c r="A790" s="3073">
        <v>174</v>
      </c>
      <c r="B790" s="3074">
        <v>13</v>
      </c>
      <c r="C790" s="3074" t="s">
        <v>3461</v>
      </c>
      <c r="D790" s="3074" t="s">
        <v>3465</v>
      </c>
      <c r="E790" s="3072" t="s">
        <v>3109</v>
      </c>
      <c r="F790" s="3072" t="s">
        <v>3235</v>
      </c>
      <c r="G790" s="3464" t="s">
        <v>3691</v>
      </c>
      <c r="H790" s="3466"/>
      <c r="I790" s="3465"/>
      <c r="J790" s="3074">
        <v>5725</v>
      </c>
      <c r="K790" s="3464" t="s">
        <v>3692</v>
      </c>
      <c r="L790" s="3465"/>
    </row>
    <row r="791" spans="1:12" ht="23.25" thickBot="1">
      <c r="A791" s="3073">
        <v>175</v>
      </c>
      <c r="B791" s="3074">
        <v>13</v>
      </c>
      <c r="C791" s="3074" t="s">
        <v>3461</v>
      </c>
      <c r="D791" s="3082" t="s">
        <v>3699</v>
      </c>
      <c r="E791" s="3083" t="s">
        <v>3109</v>
      </c>
      <c r="F791" s="3083" t="s">
        <v>3235</v>
      </c>
      <c r="G791" s="3088"/>
      <c r="H791" s="3466">
        <v>77</v>
      </c>
      <c r="I791" s="3465"/>
      <c r="J791" s="3074">
        <v>5725</v>
      </c>
      <c r="K791" s="3087">
        <v>54</v>
      </c>
      <c r="L791" s="3074">
        <v>26</v>
      </c>
    </row>
    <row r="792" spans="1:12" ht="23.25" thickBot="1">
      <c r="A792" s="3073">
        <v>176</v>
      </c>
      <c r="B792" s="3074">
        <v>13</v>
      </c>
      <c r="C792" s="3074" t="s">
        <v>3461</v>
      </c>
      <c r="D792" s="3082" t="s">
        <v>3700</v>
      </c>
      <c r="E792" s="3083" t="s">
        <v>3109</v>
      </c>
      <c r="F792" s="3083" t="s">
        <v>3235</v>
      </c>
      <c r="G792" s="3464" t="s">
        <v>3687</v>
      </c>
      <c r="H792" s="3466"/>
      <c r="I792" s="3465"/>
      <c r="J792" s="3074">
        <v>5725</v>
      </c>
      <c r="K792" s="3464" t="s">
        <v>3688</v>
      </c>
      <c r="L792" s="3465"/>
    </row>
    <row r="793" spans="1:12" ht="23.25" thickBot="1">
      <c r="A793" s="3073">
        <v>177</v>
      </c>
      <c r="B793" s="3074">
        <v>13</v>
      </c>
      <c r="C793" s="3074" t="s">
        <v>3468</v>
      </c>
      <c r="D793" s="3082" t="s">
        <v>3701</v>
      </c>
      <c r="E793" s="3083" t="s">
        <v>3109</v>
      </c>
      <c r="F793" s="3083" t="s">
        <v>3235</v>
      </c>
      <c r="G793" s="3464" t="s">
        <v>3687</v>
      </c>
      <c r="H793" s="3466"/>
      <c r="I793" s="3465"/>
      <c r="J793" s="3074">
        <v>5725</v>
      </c>
      <c r="K793" s="3464" t="s">
        <v>3688</v>
      </c>
      <c r="L793" s="3465"/>
    </row>
    <row r="794" spans="1:12" ht="23.25" thickBot="1">
      <c r="A794" s="3073">
        <v>178</v>
      </c>
      <c r="B794" s="3074">
        <v>13</v>
      </c>
      <c r="C794" s="3074" t="s">
        <v>3468</v>
      </c>
      <c r="D794" s="3090" t="s">
        <v>3702</v>
      </c>
      <c r="E794" s="3091" t="s">
        <v>3109</v>
      </c>
      <c r="F794" s="3091" t="s">
        <v>3235</v>
      </c>
      <c r="G794" s="3464" t="s">
        <v>3689</v>
      </c>
      <c r="H794" s="3466"/>
      <c r="I794" s="3465"/>
      <c r="J794" s="3074">
        <v>5725</v>
      </c>
      <c r="K794" s="3464" t="s">
        <v>3690</v>
      </c>
      <c r="L794" s="3465"/>
    </row>
    <row r="795" spans="1:12" ht="26.25" thickBot="1">
      <c r="A795" s="3073">
        <v>179</v>
      </c>
      <c r="B795" s="3074">
        <v>13</v>
      </c>
      <c r="C795" s="3074" t="s">
        <v>3468</v>
      </c>
      <c r="D795" s="3074" t="s">
        <v>3471</v>
      </c>
      <c r="E795" s="3072" t="s">
        <v>3109</v>
      </c>
      <c r="F795" s="3072" t="s">
        <v>3235</v>
      </c>
      <c r="G795" s="3464" t="s">
        <v>3691</v>
      </c>
      <c r="H795" s="3466"/>
      <c r="I795" s="3465"/>
      <c r="J795" s="3074">
        <v>5725</v>
      </c>
      <c r="K795" s="3464" t="s">
        <v>3692</v>
      </c>
      <c r="L795" s="3465"/>
    </row>
    <row r="796" spans="1:12" ht="26.25" thickBot="1">
      <c r="A796" s="3073">
        <v>180</v>
      </c>
      <c r="B796" s="3074">
        <v>13</v>
      </c>
      <c r="C796" s="3074" t="s">
        <v>3468</v>
      </c>
      <c r="D796" s="3074" t="s">
        <v>3472</v>
      </c>
      <c r="E796" s="3072" t="s">
        <v>3109</v>
      </c>
      <c r="F796" s="3072" t="s">
        <v>3235</v>
      </c>
      <c r="G796" s="3464" t="s">
        <v>3691</v>
      </c>
      <c r="H796" s="3466"/>
      <c r="I796" s="3465"/>
      <c r="J796" s="3074">
        <v>5725</v>
      </c>
      <c r="K796" s="3464" t="s">
        <v>3692</v>
      </c>
      <c r="L796" s="3465"/>
    </row>
    <row r="797" spans="1:12" ht="26.25" thickBot="1">
      <c r="A797" s="3073">
        <v>181</v>
      </c>
      <c r="B797" s="3074">
        <v>13</v>
      </c>
      <c r="C797" s="3074" t="s">
        <v>3468</v>
      </c>
      <c r="D797" s="3074" t="s">
        <v>3473</v>
      </c>
      <c r="E797" s="3072" t="s">
        <v>3109</v>
      </c>
      <c r="F797" s="3072" t="s">
        <v>3235</v>
      </c>
      <c r="G797" s="3464" t="s">
        <v>3689</v>
      </c>
      <c r="H797" s="3466"/>
      <c r="I797" s="3465"/>
      <c r="J797" s="3074">
        <v>5725</v>
      </c>
      <c r="K797" s="3464" t="s">
        <v>3690</v>
      </c>
      <c r="L797" s="3465"/>
    </row>
    <row r="798" spans="1:12" ht="26.25" thickBot="1">
      <c r="A798" s="3073">
        <v>182</v>
      </c>
      <c r="B798" s="3074">
        <v>13</v>
      </c>
      <c r="C798" s="3074" t="s">
        <v>3468</v>
      </c>
      <c r="D798" s="3074" t="s">
        <v>3474</v>
      </c>
      <c r="E798" s="3072" t="s">
        <v>3109</v>
      </c>
      <c r="F798" s="3072" t="s">
        <v>3235</v>
      </c>
      <c r="G798" s="3464" t="s">
        <v>3687</v>
      </c>
      <c r="H798" s="3466"/>
      <c r="I798" s="3465"/>
      <c r="J798" s="3074">
        <v>5725</v>
      </c>
      <c r="K798" s="3464" t="s">
        <v>3688</v>
      </c>
      <c r="L798" s="3465"/>
    </row>
    <row r="799" spans="1:12" ht="26.25" thickBot="1">
      <c r="A799" s="3073">
        <v>183</v>
      </c>
      <c r="B799" s="3074">
        <v>13</v>
      </c>
      <c r="C799" s="3074" t="s">
        <v>3475</v>
      </c>
      <c r="D799" s="3074" t="s">
        <v>3476</v>
      </c>
      <c r="E799" s="3072" t="s">
        <v>3109</v>
      </c>
      <c r="F799" s="3072" t="s">
        <v>3235</v>
      </c>
      <c r="G799" s="3464" t="s">
        <v>3687</v>
      </c>
      <c r="H799" s="3466"/>
      <c r="I799" s="3465"/>
      <c r="J799" s="3074">
        <v>5725</v>
      </c>
      <c r="K799" s="3464" t="s">
        <v>3688</v>
      </c>
      <c r="L799" s="3465"/>
    </row>
    <row r="800" spans="1:12" ht="26.25" thickBot="1">
      <c r="A800" s="3073">
        <v>184</v>
      </c>
      <c r="B800" s="3074">
        <v>13</v>
      </c>
      <c r="C800" s="3074" t="s">
        <v>3475</v>
      </c>
      <c r="D800" s="3074" t="s">
        <v>3477</v>
      </c>
      <c r="E800" s="3072" t="s">
        <v>3109</v>
      </c>
      <c r="F800" s="3072" t="s">
        <v>3235</v>
      </c>
      <c r="G800" s="3464" t="s">
        <v>3689</v>
      </c>
      <c r="H800" s="3466"/>
      <c r="I800" s="3465"/>
      <c r="J800" s="3074">
        <v>5725</v>
      </c>
      <c r="K800" s="3464" t="s">
        <v>3690</v>
      </c>
      <c r="L800" s="3465"/>
    </row>
    <row r="801" spans="1:12" ht="26.25" thickBot="1">
      <c r="A801" s="3073">
        <v>185</v>
      </c>
      <c r="B801" s="3074">
        <v>13</v>
      </c>
      <c r="C801" s="3074" t="s">
        <v>3475</v>
      </c>
      <c r="D801" s="3074" t="s">
        <v>3478</v>
      </c>
      <c r="E801" s="3072" t="s">
        <v>3109</v>
      </c>
      <c r="F801" s="3072" t="s">
        <v>3235</v>
      </c>
      <c r="G801" s="3464" t="s">
        <v>3691</v>
      </c>
      <c r="H801" s="3466"/>
      <c r="I801" s="3465"/>
      <c r="J801" s="3074">
        <v>5725</v>
      </c>
      <c r="K801" s="3464" t="s">
        <v>3692</v>
      </c>
      <c r="L801" s="3465"/>
    </row>
    <row r="802" spans="1:12" ht="26.25" thickBot="1">
      <c r="A802" s="3073">
        <v>186</v>
      </c>
      <c r="B802" s="3074">
        <v>13</v>
      </c>
      <c r="C802" s="3074" t="s">
        <v>3475</v>
      </c>
      <c r="D802" s="3074" t="s">
        <v>3479</v>
      </c>
      <c r="E802" s="3072" t="s">
        <v>3109</v>
      </c>
      <c r="F802" s="3072" t="s">
        <v>3235</v>
      </c>
      <c r="G802" s="3464" t="s">
        <v>3691</v>
      </c>
      <c r="H802" s="3466"/>
      <c r="I802" s="3465"/>
      <c r="J802" s="3074">
        <v>5725</v>
      </c>
      <c r="K802" s="3464" t="s">
        <v>3692</v>
      </c>
      <c r="L802" s="3465"/>
    </row>
    <row r="803" spans="1:12" ht="26.25" thickBot="1">
      <c r="A803" s="3073">
        <v>187</v>
      </c>
      <c r="B803" s="3074">
        <v>13</v>
      </c>
      <c r="C803" s="3074" t="s">
        <v>3475</v>
      </c>
      <c r="D803" s="3074" t="s">
        <v>3480</v>
      </c>
      <c r="E803" s="3072" t="s">
        <v>3109</v>
      </c>
      <c r="F803" s="3072" t="s">
        <v>3235</v>
      </c>
      <c r="G803" s="3464" t="s">
        <v>3689</v>
      </c>
      <c r="H803" s="3466"/>
      <c r="I803" s="3465"/>
      <c r="J803" s="3074">
        <v>5725</v>
      </c>
      <c r="K803" s="3464" t="s">
        <v>3690</v>
      </c>
      <c r="L803" s="3465"/>
    </row>
    <row r="804" spans="1:12" ht="26.25" thickBot="1">
      <c r="A804" s="3073">
        <v>188</v>
      </c>
      <c r="B804" s="3074">
        <v>13</v>
      </c>
      <c r="C804" s="3074" t="s">
        <v>3475</v>
      </c>
      <c r="D804" s="3074" t="s">
        <v>3481</v>
      </c>
      <c r="E804" s="3072" t="s">
        <v>3109</v>
      </c>
      <c r="F804" s="3072" t="s">
        <v>3235</v>
      </c>
      <c r="G804" s="3464" t="s">
        <v>3687</v>
      </c>
      <c r="H804" s="3466"/>
      <c r="I804" s="3465"/>
      <c r="J804" s="3074">
        <v>5725</v>
      </c>
      <c r="K804" s="3464" t="s">
        <v>3688</v>
      </c>
      <c r="L804" s="3465"/>
    </row>
    <row r="805" spans="1:12" ht="26.25" thickBot="1">
      <c r="A805" s="3073">
        <v>189</v>
      </c>
      <c r="B805" s="3074">
        <v>13</v>
      </c>
      <c r="C805" s="3074" t="s">
        <v>3482</v>
      </c>
      <c r="D805" s="3074" t="s">
        <v>3483</v>
      </c>
      <c r="E805" s="3072" t="s">
        <v>3109</v>
      </c>
      <c r="F805" s="3072" t="s">
        <v>3235</v>
      </c>
      <c r="G805" s="3464" t="s">
        <v>3687</v>
      </c>
      <c r="H805" s="3466"/>
      <c r="I805" s="3465"/>
      <c r="J805" s="3074">
        <v>5725</v>
      </c>
      <c r="K805" s="3464" t="s">
        <v>3688</v>
      </c>
      <c r="L805" s="3465"/>
    </row>
    <row r="806" spans="1:12" ht="26.25" thickBot="1">
      <c r="A806" s="3073">
        <v>190</v>
      </c>
      <c r="B806" s="3074">
        <v>13</v>
      </c>
      <c r="C806" s="3074" t="s">
        <v>3482</v>
      </c>
      <c r="D806" s="3074" t="s">
        <v>3484</v>
      </c>
      <c r="E806" s="3072" t="s">
        <v>3109</v>
      </c>
      <c r="F806" s="3072" t="s">
        <v>3235</v>
      </c>
      <c r="G806" s="3464" t="s">
        <v>3689</v>
      </c>
      <c r="H806" s="3466"/>
      <c r="I806" s="3465"/>
      <c r="J806" s="3074">
        <v>5725</v>
      </c>
      <c r="K806" s="3464" t="s">
        <v>3690</v>
      </c>
      <c r="L806" s="3465"/>
    </row>
    <row r="807" spans="1:12" ht="26.25" thickBot="1">
      <c r="A807" s="3073">
        <v>191</v>
      </c>
      <c r="B807" s="3074">
        <v>13</v>
      </c>
      <c r="C807" s="3074" t="s">
        <v>3482</v>
      </c>
      <c r="D807" s="3074" t="s">
        <v>3485</v>
      </c>
      <c r="E807" s="3072" t="s">
        <v>3109</v>
      </c>
      <c r="F807" s="3072" t="s">
        <v>3235</v>
      </c>
      <c r="G807" s="3464" t="s">
        <v>3691</v>
      </c>
      <c r="H807" s="3466"/>
      <c r="I807" s="3465"/>
      <c r="J807" s="3074">
        <v>5725</v>
      </c>
      <c r="K807" s="3464" t="s">
        <v>3692</v>
      </c>
      <c r="L807" s="3465"/>
    </row>
    <row r="808" spans="1:12" ht="26.25" thickBot="1">
      <c r="A808" s="3073">
        <v>192</v>
      </c>
      <c r="B808" s="3074">
        <v>13</v>
      </c>
      <c r="C808" s="3074" t="s">
        <v>3482</v>
      </c>
      <c r="D808" s="3074" t="s">
        <v>3486</v>
      </c>
      <c r="E808" s="3072" t="s">
        <v>3109</v>
      </c>
      <c r="F808" s="3072" t="s">
        <v>3235</v>
      </c>
      <c r="G808" s="3469">
        <v>118</v>
      </c>
      <c r="H808" s="3470"/>
      <c r="I808" s="3074">
        <v>5</v>
      </c>
      <c r="J808" s="3074">
        <v>5725</v>
      </c>
      <c r="K808" s="3087">
        <v>67</v>
      </c>
      <c r="L808" s="3074">
        <v>87</v>
      </c>
    </row>
    <row r="809" spans="1:12" ht="26.25" thickBot="1">
      <c r="A809" s="3073">
        <v>193</v>
      </c>
      <c r="B809" s="3074">
        <v>13</v>
      </c>
      <c r="C809" s="3074" t="s">
        <v>3482</v>
      </c>
      <c r="D809" s="3074" t="s">
        <v>3487</v>
      </c>
      <c r="E809" s="3072" t="s">
        <v>3109</v>
      </c>
      <c r="F809" s="3072" t="s">
        <v>3235</v>
      </c>
      <c r="G809" s="3464" t="s">
        <v>3689</v>
      </c>
      <c r="H809" s="3466"/>
      <c r="I809" s="3465"/>
      <c r="J809" s="3074">
        <v>5725</v>
      </c>
      <c r="K809" s="3464" t="s">
        <v>3690</v>
      </c>
      <c r="L809" s="3465"/>
    </row>
    <row r="810" spans="1:12" ht="26.25" thickBot="1">
      <c r="A810" s="3073">
        <v>194</v>
      </c>
      <c r="B810" s="3074">
        <v>13</v>
      </c>
      <c r="C810" s="3074" t="s">
        <v>3482</v>
      </c>
      <c r="D810" s="3074" t="s">
        <v>3488</v>
      </c>
      <c r="E810" s="3072" t="s">
        <v>3109</v>
      </c>
      <c r="F810" s="3072" t="s">
        <v>3235</v>
      </c>
      <c r="G810" s="3464" t="s">
        <v>3687</v>
      </c>
      <c r="H810" s="3466"/>
      <c r="I810" s="3465"/>
      <c r="J810" s="3074">
        <v>5725</v>
      </c>
      <c r="K810" s="3464" t="s">
        <v>3688</v>
      </c>
      <c r="L810" s="3465"/>
    </row>
    <row r="811" spans="1:12" ht="26.25" thickBot="1">
      <c r="A811" s="3073">
        <v>195</v>
      </c>
      <c r="B811" s="3074">
        <v>13</v>
      </c>
      <c r="C811" s="3074" t="s">
        <v>3489</v>
      </c>
      <c r="D811" s="3074" t="s">
        <v>3490</v>
      </c>
      <c r="E811" s="3072" t="s">
        <v>3109</v>
      </c>
      <c r="F811" s="3072" t="s">
        <v>3235</v>
      </c>
      <c r="G811" s="3464" t="s">
        <v>3687</v>
      </c>
      <c r="H811" s="3466"/>
      <c r="I811" s="3465"/>
      <c r="J811" s="3074">
        <v>5725</v>
      </c>
      <c r="K811" s="3464" t="s">
        <v>3688</v>
      </c>
      <c r="L811" s="3465"/>
    </row>
    <row r="812" spans="1:12" ht="26.25" thickBot="1">
      <c r="A812" s="3073">
        <v>196</v>
      </c>
      <c r="B812" s="3074">
        <v>13</v>
      </c>
      <c r="C812" s="3074" t="s">
        <v>3489</v>
      </c>
      <c r="D812" s="3074" t="s">
        <v>3491</v>
      </c>
      <c r="E812" s="3072" t="s">
        <v>3109</v>
      </c>
      <c r="F812" s="3072" t="s">
        <v>3235</v>
      </c>
      <c r="G812" s="3464" t="s">
        <v>3689</v>
      </c>
      <c r="H812" s="3466"/>
      <c r="I812" s="3465"/>
      <c r="J812" s="3074">
        <v>5725</v>
      </c>
      <c r="K812" s="3464" t="s">
        <v>3690</v>
      </c>
      <c r="L812" s="3465"/>
    </row>
    <row r="813" spans="1:12" ht="26.25" thickBot="1">
      <c r="A813" s="3073">
        <v>197</v>
      </c>
      <c r="B813" s="3074">
        <v>13</v>
      </c>
      <c r="C813" s="3074" t="s">
        <v>3489</v>
      </c>
      <c r="D813" s="3074" t="s">
        <v>3492</v>
      </c>
      <c r="E813" s="3072" t="s">
        <v>3109</v>
      </c>
      <c r="F813" s="3072" t="s">
        <v>3235</v>
      </c>
      <c r="G813" s="3464" t="s">
        <v>3691</v>
      </c>
      <c r="H813" s="3466"/>
      <c r="I813" s="3465"/>
      <c r="J813" s="3074">
        <v>5725</v>
      </c>
      <c r="K813" s="3464" t="s">
        <v>3692</v>
      </c>
      <c r="L813" s="3465"/>
    </row>
    <row r="814" spans="1:12" ht="26.25" thickBot="1">
      <c r="A814" s="3073">
        <v>198</v>
      </c>
      <c r="B814" s="3074">
        <v>13</v>
      </c>
      <c r="C814" s="3074" t="s">
        <v>3489</v>
      </c>
      <c r="D814" s="3074" t="s">
        <v>3493</v>
      </c>
      <c r="E814" s="3072" t="s">
        <v>3109</v>
      </c>
      <c r="F814" s="3072" t="s">
        <v>3235</v>
      </c>
      <c r="G814" s="3464" t="s">
        <v>3691</v>
      </c>
      <c r="H814" s="3466"/>
      <c r="I814" s="3465"/>
      <c r="J814" s="3074">
        <v>5725</v>
      </c>
      <c r="K814" s="3464" t="s">
        <v>3692</v>
      </c>
      <c r="L814" s="3465"/>
    </row>
    <row r="815" spans="1:12" ht="26.25" thickBot="1">
      <c r="A815" s="3073">
        <v>199</v>
      </c>
      <c r="B815" s="3074">
        <v>13</v>
      </c>
      <c r="C815" s="3074" t="s">
        <v>3489</v>
      </c>
      <c r="D815" s="3074" t="s">
        <v>3494</v>
      </c>
      <c r="E815" s="3072" t="s">
        <v>3109</v>
      </c>
      <c r="F815" s="3072" t="s">
        <v>3235</v>
      </c>
      <c r="G815" s="3464" t="s">
        <v>3689</v>
      </c>
      <c r="H815" s="3466"/>
      <c r="I815" s="3465"/>
      <c r="J815" s="3074">
        <v>5725</v>
      </c>
      <c r="K815" s="3464" t="s">
        <v>3690</v>
      </c>
      <c r="L815" s="3465"/>
    </row>
    <row r="816" spans="1:12" ht="26.25" thickBot="1">
      <c r="A816" s="3073">
        <v>200</v>
      </c>
      <c r="B816" s="3074">
        <v>13</v>
      </c>
      <c r="C816" s="3074" t="s">
        <v>3489</v>
      </c>
      <c r="D816" s="3074" t="s">
        <v>3495</v>
      </c>
      <c r="E816" s="3072" t="s">
        <v>3109</v>
      </c>
      <c r="F816" s="3072" t="s">
        <v>3235</v>
      </c>
      <c r="G816" s="3464" t="s">
        <v>3687</v>
      </c>
      <c r="H816" s="3466"/>
      <c r="I816" s="3465"/>
      <c r="J816" s="3074">
        <v>5725</v>
      </c>
      <c r="K816" s="3464" t="s">
        <v>3688</v>
      </c>
      <c r="L816" s="3465"/>
    </row>
    <row r="817" spans="1:12" ht="26.25" thickBot="1">
      <c r="A817" s="3073">
        <v>201</v>
      </c>
      <c r="B817" s="3074">
        <v>13</v>
      </c>
      <c r="C817" s="3074" t="s">
        <v>3496</v>
      </c>
      <c r="D817" s="3074" t="s">
        <v>3497</v>
      </c>
      <c r="E817" s="3072" t="s">
        <v>3109</v>
      </c>
      <c r="F817" s="3072" t="s">
        <v>3235</v>
      </c>
      <c r="G817" s="3464" t="s">
        <v>3687</v>
      </c>
      <c r="H817" s="3466"/>
      <c r="I817" s="3465"/>
      <c r="J817" s="3074">
        <v>5725</v>
      </c>
      <c r="K817" s="3464" t="s">
        <v>3688</v>
      </c>
      <c r="L817" s="3465"/>
    </row>
    <row r="818" spans="1:12" ht="26.25" thickBot="1">
      <c r="A818" s="3073">
        <v>202</v>
      </c>
      <c r="B818" s="3074">
        <v>13</v>
      </c>
      <c r="C818" s="3074" t="s">
        <v>3496</v>
      </c>
      <c r="D818" s="3074" t="s">
        <v>3498</v>
      </c>
      <c r="E818" s="3072" t="s">
        <v>3109</v>
      </c>
      <c r="F818" s="3072" t="s">
        <v>3235</v>
      </c>
      <c r="G818" s="3088"/>
      <c r="H818" s="3466">
        <v>77</v>
      </c>
      <c r="I818" s="3465"/>
      <c r="J818" s="3074">
        <v>5725</v>
      </c>
      <c r="K818" s="3087">
        <v>54</v>
      </c>
      <c r="L818" s="3074">
        <v>26</v>
      </c>
    </row>
    <row r="819" spans="1:12" ht="26.25" thickBot="1">
      <c r="A819" s="3073">
        <v>203</v>
      </c>
      <c r="B819" s="3074">
        <v>13</v>
      </c>
      <c r="C819" s="3074" t="s">
        <v>3496</v>
      </c>
      <c r="D819" s="3074" t="s">
        <v>3499</v>
      </c>
      <c r="E819" s="3072" t="s">
        <v>3109</v>
      </c>
      <c r="F819" s="3072" t="s">
        <v>3235</v>
      </c>
      <c r="G819" s="3464" t="s">
        <v>3691</v>
      </c>
      <c r="H819" s="3466"/>
      <c r="I819" s="3465"/>
      <c r="J819" s="3074">
        <v>5725</v>
      </c>
      <c r="K819" s="3464" t="s">
        <v>3692</v>
      </c>
      <c r="L819" s="3465"/>
    </row>
    <row r="820" spans="1:12" ht="26.25" thickBot="1">
      <c r="A820" s="3073">
        <v>204</v>
      </c>
      <c r="B820" s="3074">
        <v>13</v>
      </c>
      <c r="C820" s="3074" t="s">
        <v>3496</v>
      </c>
      <c r="D820" s="3074" t="s">
        <v>3500</v>
      </c>
      <c r="E820" s="3072" t="s">
        <v>3109</v>
      </c>
      <c r="F820" s="3072" t="s">
        <v>3235</v>
      </c>
      <c r="G820" s="3464" t="s">
        <v>3691</v>
      </c>
      <c r="H820" s="3466"/>
      <c r="I820" s="3465"/>
      <c r="J820" s="3074">
        <v>5725</v>
      </c>
      <c r="K820" s="3464" t="s">
        <v>3692</v>
      </c>
      <c r="L820" s="3465"/>
    </row>
    <row r="821" spans="1:12" ht="26.25" thickBot="1">
      <c r="A821" s="3073">
        <v>205</v>
      </c>
      <c r="B821" s="3074">
        <v>13</v>
      </c>
      <c r="C821" s="3074" t="s">
        <v>3496</v>
      </c>
      <c r="D821" s="3074" t="s">
        <v>3501</v>
      </c>
      <c r="E821" s="3072" t="s">
        <v>3109</v>
      </c>
      <c r="F821" s="3072" t="s">
        <v>3235</v>
      </c>
      <c r="G821" s="3464" t="s">
        <v>3689</v>
      </c>
      <c r="H821" s="3466"/>
      <c r="I821" s="3465"/>
      <c r="J821" s="3074">
        <v>5725</v>
      </c>
      <c r="K821" s="3464" t="s">
        <v>3690</v>
      </c>
      <c r="L821" s="3465"/>
    </row>
    <row r="822" spans="1:12" ht="26.25" thickBot="1">
      <c r="A822" s="3073">
        <v>206</v>
      </c>
      <c r="B822" s="3074">
        <v>13</v>
      </c>
      <c r="C822" s="3074" t="s">
        <v>3496</v>
      </c>
      <c r="D822" s="3074" t="s">
        <v>3502</v>
      </c>
      <c r="E822" s="3072" t="s">
        <v>3109</v>
      </c>
      <c r="F822" s="3072" t="s">
        <v>3235</v>
      </c>
      <c r="G822" s="3464" t="s">
        <v>3687</v>
      </c>
      <c r="H822" s="3466"/>
      <c r="I822" s="3465"/>
      <c r="J822" s="3074">
        <v>5725</v>
      </c>
      <c r="K822" s="3464" t="s">
        <v>3688</v>
      </c>
      <c r="L822" s="3465"/>
    </row>
    <row r="823" spans="1:12" ht="26.25" thickBot="1">
      <c r="A823" s="3073">
        <v>207</v>
      </c>
      <c r="B823" s="3074">
        <v>13</v>
      </c>
      <c r="C823" s="3074" t="s">
        <v>3503</v>
      </c>
      <c r="D823" s="3074" t="s">
        <v>3504</v>
      </c>
      <c r="E823" s="3072" t="s">
        <v>3109</v>
      </c>
      <c r="F823" s="3072" t="s">
        <v>3235</v>
      </c>
      <c r="G823" s="3464" t="s">
        <v>3687</v>
      </c>
      <c r="H823" s="3466"/>
      <c r="I823" s="3465"/>
      <c r="J823" s="3074">
        <v>5725</v>
      </c>
      <c r="K823" s="3464" t="s">
        <v>3688</v>
      </c>
      <c r="L823" s="3465"/>
    </row>
    <row r="824" spans="1:12" ht="26.25" thickBot="1">
      <c r="A824" s="3073">
        <v>208</v>
      </c>
      <c r="B824" s="3074">
        <v>13</v>
      </c>
      <c r="C824" s="3074" t="s">
        <v>3503</v>
      </c>
      <c r="D824" s="3074" t="s">
        <v>3505</v>
      </c>
      <c r="E824" s="3072" t="s">
        <v>3109</v>
      </c>
      <c r="F824" s="3072" t="s">
        <v>3235</v>
      </c>
      <c r="G824" s="3464" t="s">
        <v>3689</v>
      </c>
      <c r="H824" s="3466"/>
      <c r="I824" s="3465"/>
      <c r="J824" s="3074">
        <v>5725</v>
      </c>
      <c r="K824" s="3464" t="s">
        <v>3690</v>
      </c>
      <c r="L824" s="3465"/>
    </row>
    <row r="825" spans="1:12" ht="26.25" thickBot="1">
      <c r="A825" s="3073">
        <v>209</v>
      </c>
      <c r="B825" s="3074">
        <v>13</v>
      </c>
      <c r="C825" s="3074" t="s">
        <v>3503</v>
      </c>
      <c r="D825" s="3074" t="s">
        <v>3506</v>
      </c>
      <c r="E825" s="3072" t="s">
        <v>3109</v>
      </c>
      <c r="F825" s="3072" t="s">
        <v>3235</v>
      </c>
      <c r="G825" s="3469">
        <v>118</v>
      </c>
      <c r="H825" s="3470"/>
      <c r="I825" s="3074">
        <v>5</v>
      </c>
      <c r="J825" s="3074">
        <v>5725</v>
      </c>
      <c r="K825" s="3087">
        <v>67</v>
      </c>
      <c r="L825" s="3074">
        <v>87</v>
      </c>
    </row>
    <row r="826" spans="1:12" ht="26.25" thickBot="1">
      <c r="A826" s="3073">
        <v>210</v>
      </c>
      <c r="B826" s="3074">
        <v>13</v>
      </c>
      <c r="C826" s="3074" t="s">
        <v>3503</v>
      </c>
      <c r="D826" s="3074" t="s">
        <v>3507</v>
      </c>
      <c r="E826" s="3072" t="s">
        <v>3109</v>
      </c>
      <c r="F826" s="3072" t="s">
        <v>3235</v>
      </c>
      <c r="G826" s="3464" t="s">
        <v>3691</v>
      </c>
      <c r="H826" s="3466"/>
      <c r="I826" s="3465"/>
      <c r="J826" s="3074">
        <v>5725</v>
      </c>
      <c r="K826" s="3464" t="s">
        <v>3692</v>
      </c>
      <c r="L826" s="3465"/>
    </row>
    <row r="827" spans="1:12" ht="26.25" thickBot="1">
      <c r="A827" s="3073">
        <v>211</v>
      </c>
      <c r="B827" s="3074">
        <v>13</v>
      </c>
      <c r="C827" s="3074" t="s">
        <v>3503</v>
      </c>
      <c r="D827" s="3074" t="s">
        <v>3703</v>
      </c>
      <c r="E827" s="3072" t="s">
        <v>3109</v>
      </c>
      <c r="F827" s="3072" t="s">
        <v>3235</v>
      </c>
      <c r="G827" s="3464" t="s">
        <v>3689</v>
      </c>
      <c r="H827" s="3466"/>
      <c r="I827" s="3465"/>
      <c r="J827" s="3074">
        <v>5725</v>
      </c>
      <c r="K827" s="3464" t="s">
        <v>3690</v>
      </c>
      <c r="L827" s="3465"/>
    </row>
    <row r="828" spans="1:12" ht="26.25" thickBot="1">
      <c r="A828" s="3073">
        <v>212</v>
      </c>
      <c r="B828" s="3074">
        <v>13</v>
      </c>
      <c r="C828" s="3074" t="s">
        <v>3503</v>
      </c>
      <c r="D828" s="3074" t="s">
        <v>3639</v>
      </c>
      <c r="E828" s="3072" t="s">
        <v>3109</v>
      </c>
      <c r="F828" s="3072" t="s">
        <v>3235</v>
      </c>
      <c r="G828" s="3464" t="s">
        <v>3687</v>
      </c>
      <c r="H828" s="3466"/>
      <c r="I828" s="3465"/>
      <c r="J828" s="3074">
        <v>5725</v>
      </c>
      <c r="K828" s="3464" t="s">
        <v>3688</v>
      </c>
      <c r="L828" s="3465"/>
    </row>
    <row r="829" spans="1:12" ht="26.25" thickBot="1">
      <c r="A829" s="3073">
        <v>213</v>
      </c>
      <c r="B829" s="3074">
        <v>13</v>
      </c>
      <c r="C829" s="3074" t="s">
        <v>3510</v>
      </c>
      <c r="D829" s="3074" t="s">
        <v>3511</v>
      </c>
      <c r="E829" s="3072" t="s">
        <v>3109</v>
      </c>
      <c r="F829" s="3072" t="s">
        <v>3235</v>
      </c>
      <c r="G829" s="3464" t="s">
        <v>3687</v>
      </c>
      <c r="H829" s="3466"/>
      <c r="I829" s="3465"/>
      <c r="J829" s="3074">
        <v>5725</v>
      </c>
      <c r="K829" s="3464" t="s">
        <v>3688</v>
      </c>
      <c r="L829" s="3465"/>
    </row>
    <row r="830" spans="1:12" ht="26.25" thickBot="1">
      <c r="A830" s="3073">
        <v>214</v>
      </c>
      <c r="B830" s="3074">
        <v>13</v>
      </c>
      <c r="C830" s="3074" t="s">
        <v>3510</v>
      </c>
      <c r="D830" s="3074" t="s">
        <v>3512</v>
      </c>
      <c r="E830" s="3072" t="s">
        <v>3109</v>
      </c>
      <c r="F830" s="3072" t="s">
        <v>3235</v>
      </c>
      <c r="G830" s="3464" t="s">
        <v>3689</v>
      </c>
      <c r="H830" s="3466"/>
      <c r="I830" s="3465"/>
      <c r="J830" s="3074">
        <v>5725</v>
      </c>
      <c r="K830" s="3464" t="s">
        <v>3690</v>
      </c>
      <c r="L830" s="3465"/>
    </row>
    <row r="831" spans="1:12" ht="26.25" thickBot="1">
      <c r="A831" s="3073">
        <v>215</v>
      </c>
      <c r="B831" s="3074">
        <v>13</v>
      </c>
      <c r="C831" s="3074" t="s">
        <v>3510</v>
      </c>
      <c r="D831" s="3074" t="s">
        <v>3513</v>
      </c>
      <c r="E831" s="3072" t="s">
        <v>3109</v>
      </c>
      <c r="F831" s="3072" t="s">
        <v>3235</v>
      </c>
      <c r="G831" s="3464" t="s">
        <v>3691</v>
      </c>
      <c r="H831" s="3466"/>
      <c r="I831" s="3465"/>
      <c r="J831" s="3074">
        <v>5725</v>
      </c>
      <c r="K831" s="3464" t="s">
        <v>3692</v>
      </c>
      <c r="L831" s="3465"/>
    </row>
    <row r="832" spans="1:12" ht="26.25" thickBot="1">
      <c r="A832" s="3073">
        <v>216</v>
      </c>
      <c r="B832" s="3074">
        <v>13</v>
      </c>
      <c r="C832" s="3074" t="s">
        <v>3510</v>
      </c>
      <c r="D832" s="3074" t="s">
        <v>3514</v>
      </c>
      <c r="E832" s="3072" t="s">
        <v>3109</v>
      </c>
      <c r="F832" s="3072" t="s">
        <v>3235</v>
      </c>
      <c r="G832" s="3464" t="s">
        <v>3691</v>
      </c>
      <c r="H832" s="3466"/>
      <c r="I832" s="3465"/>
      <c r="J832" s="3074">
        <v>5725</v>
      </c>
      <c r="K832" s="3464" t="s">
        <v>3692</v>
      </c>
      <c r="L832" s="3465"/>
    </row>
    <row r="833" spans="1:12" ht="26.25" thickBot="1">
      <c r="A833" s="3073">
        <v>217</v>
      </c>
      <c r="B833" s="3074">
        <v>13</v>
      </c>
      <c r="C833" s="3074" t="s">
        <v>3510</v>
      </c>
      <c r="D833" s="3074" t="s">
        <v>3515</v>
      </c>
      <c r="E833" s="3072" t="s">
        <v>3109</v>
      </c>
      <c r="F833" s="3072" t="s">
        <v>3235</v>
      </c>
      <c r="G833" s="3464" t="s">
        <v>3689</v>
      </c>
      <c r="H833" s="3466"/>
      <c r="I833" s="3465"/>
      <c r="J833" s="3074">
        <v>5725</v>
      </c>
      <c r="K833" s="3464" t="s">
        <v>3690</v>
      </c>
      <c r="L833" s="3465"/>
    </row>
    <row r="834" spans="1:12" ht="26.25" thickBot="1">
      <c r="A834" s="3073">
        <v>218</v>
      </c>
      <c r="B834" s="3074">
        <v>13</v>
      </c>
      <c r="C834" s="3074" t="s">
        <v>3510</v>
      </c>
      <c r="D834" s="3074" t="s">
        <v>3516</v>
      </c>
      <c r="E834" s="3072" t="s">
        <v>3109</v>
      </c>
      <c r="F834" s="3072" t="s">
        <v>3235</v>
      </c>
      <c r="G834" s="3464" t="s">
        <v>3687</v>
      </c>
      <c r="H834" s="3466"/>
      <c r="I834" s="3465"/>
      <c r="J834" s="3074">
        <v>5725</v>
      </c>
      <c r="K834" s="3464" t="s">
        <v>3688</v>
      </c>
      <c r="L834" s="3465"/>
    </row>
    <row r="835" spans="1:12">
      <c r="A835" s="3089"/>
      <c r="B835" s="3089"/>
      <c r="C835" s="3089"/>
      <c r="D835" s="3089"/>
      <c r="E835" s="3089"/>
      <c r="F835" s="3089"/>
      <c r="G835" s="3089"/>
      <c r="H835" s="3089"/>
      <c r="I835" s="3089"/>
      <c r="J835" s="3089"/>
      <c r="K835" s="3089"/>
      <c r="L835" s="3089"/>
    </row>
    <row r="836" spans="1:12">
      <c r="A836" s="3070"/>
    </row>
    <row r="838" spans="1:12" ht="14.25" thickBot="1">
      <c r="A838" s="3078"/>
    </row>
    <row r="839" spans="1:12">
      <c r="A839" s="3458" t="s">
        <v>3223</v>
      </c>
      <c r="B839" s="3458" t="s">
        <v>3224</v>
      </c>
      <c r="C839" s="3071" t="s">
        <v>3225</v>
      </c>
      <c r="D839" s="3458" t="s">
        <v>3227</v>
      </c>
      <c r="E839" s="3458" t="s">
        <v>1341</v>
      </c>
      <c r="F839" s="3458" t="s">
        <v>3228</v>
      </c>
      <c r="G839" s="3460" t="s">
        <v>3229</v>
      </c>
      <c r="H839" s="3467"/>
      <c r="I839" s="3461"/>
      <c r="J839" s="3458" t="s">
        <v>3231</v>
      </c>
      <c r="K839" s="3460" t="s">
        <v>3232</v>
      </c>
      <c r="L839" s="3461"/>
    </row>
    <row r="840" spans="1:12" ht="14.25" thickBot="1">
      <c r="A840" s="3459"/>
      <c r="B840" s="3459"/>
      <c r="C840" s="3072" t="s">
        <v>3226</v>
      </c>
      <c r="D840" s="3459"/>
      <c r="E840" s="3459"/>
      <c r="F840" s="3459"/>
      <c r="G840" s="3462" t="s">
        <v>3230</v>
      </c>
      <c r="H840" s="3468"/>
      <c r="I840" s="3463"/>
      <c r="J840" s="3459"/>
      <c r="K840" s="3462"/>
      <c r="L840" s="3463"/>
    </row>
    <row r="841" spans="1:12" ht="26.25" thickBot="1">
      <c r="A841" s="3073">
        <v>219</v>
      </c>
      <c r="B841" s="3074">
        <v>13</v>
      </c>
      <c r="C841" s="3074" t="s">
        <v>3517</v>
      </c>
      <c r="D841" s="3074" t="s">
        <v>3518</v>
      </c>
      <c r="E841" s="3072" t="s">
        <v>3109</v>
      </c>
      <c r="F841" s="3072" t="s">
        <v>3235</v>
      </c>
      <c r="G841" s="3464" t="s">
        <v>3687</v>
      </c>
      <c r="H841" s="3466"/>
      <c r="I841" s="3465"/>
      <c r="J841" s="3074">
        <v>5725</v>
      </c>
      <c r="K841" s="3464" t="s">
        <v>3688</v>
      </c>
      <c r="L841" s="3465"/>
    </row>
    <row r="842" spans="1:12" ht="23.25" thickBot="1">
      <c r="A842" s="3073">
        <v>220</v>
      </c>
      <c r="B842" s="3074">
        <v>13</v>
      </c>
      <c r="C842" s="3074" t="s">
        <v>3517</v>
      </c>
      <c r="D842" s="3082" t="s">
        <v>3704</v>
      </c>
      <c r="E842" s="3083" t="s">
        <v>3109</v>
      </c>
      <c r="F842" s="3083" t="s">
        <v>3235</v>
      </c>
      <c r="G842" s="3088"/>
      <c r="H842" s="3466">
        <v>77</v>
      </c>
      <c r="I842" s="3465"/>
      <c r="J842" s="3074">
        <v>5725</v>
      </c>
      <c r="K842" s="3087">
        <v>54</v>
      </c>
      <c r="L842" s="3074">
        <v>26</v>
      </c>
    </row>
    <row r="843" spans="1:12" ht="23.25" thickBot="1">
      <c r="A843" s="3073">
        <v>221</v>
      </c>
      <c r="B843" s="3074">
        <v>13</v>
      </c>
      <c r="C843" s="3074" t="s">
        <v>3517</v>
      </c>
      <c r="D843" s="3082" t="s">
        <v>3640</v>
      </c>
      <c r="E843" s="3083" t="s">
        <v>3109</v>
      </c>
      <c r="F843" s="3083" t="s">
        <v>3235</v>
      </c>
      <c r="G843" s="3464" t="s">
        <v>3691</v>
      </c>
      <c r="H843" s="3466"/>
      <c r="I843" s="3465"/>
      <c r="J843" s="3074">
        <v>5725</v>
      </c>
      <c r="K843" s="3464" t="s">
        <v>3692</v>
      </c>
      <c r="L843" s="3465"/>
    </row>
    <row r="844" spans="1:12" ht="23.25" thickBot="1">
      <c r="A844" s="3073">
        <v>222</v>
      </c>
      <c r="B844" s="3074">
        <v>13</v>
      </c>
      <c r="C844" s="3074" t="s">
        <v>3517</v>
      </c>
      <c r="D844" s="3090" t="s">
        <v>3705</v>
      </c>
      <c r="E844" s="3091" t="s">
        <v>3109</v>
      </c>
      <c r="F844" s="3091" t="s">
        <v>3235</v>
      </c>
      <c r="G844" s="3464" t="s">
        <v>3691</v>
      </c>
      <c r="H844" s="3466"/>
      <c r="I844" s="3465"/>
      <c r="J844" s="3074">
        <v>5725</v>
      </c>
      <c r="K844" s="3464" t="s">
        <v>3692</v>
      </c>
      <c r="L844" s="3465"/>
    </row>
    <row r="845" spans="1:12" ht="23.25" thickBot="1">
      <c r="A845" s="3073">
        <v>223</v>
      </c>
      <c r="B845" s="3074">
        <v>13</v>
      </c>
      <c r="C845" s="3074" t="s">
        <v>3517</v>
      </c>
      <c r="D845" s="3090" t="s">
        <v>3706</v>
      </c>
      <c r="E845" s="3091" t="s">
        <v>3109</v>
      </c>
      <c r="F845" s="3091" t="s">
        <v>3235</v>
      </c>
      <c r="G845" s="3464" t="s">
        <v>3689</v>
      </c>
      <c r="H845" s="3466"/>
      <c r="I845" s="3465"/>
      <c r="J845" s="3074">
        <v>5725</v>
      </c>
      <c r="K845" s="3464" t="s">
        <v>3690</v>
      </c>
      <c r="L845" s="3465"/>
    </row>
    <row r="846" spans="1:12" ht="26.25" thickBot="1">
      <c r="A846" s="3073">
        <v>224</v>
      </c>
      <c r="B846" s="3074">
        <v>13</v>
      </c>
      <c r="C846" s="3074" t="s">
        <v>3517</v>
      </c>
      <c r="D846" s="3074" t="s">
        <v>3523</v>
      </c>
      <c r="E846" s="3072" t="s">
        <v>3109</v>
      </c>
      <c r="F846" s="3072" t="s">
        <v>3235</v>
      </c>
      <c r="G846" s="3464" t="s">
        <v>3687</v>
      </c>
      <c r="H846" s="3466"/>
      <c r="I846" s="3465"/>
      <c r="J846" s="3074">
        <v>5725</v>
      </c>
      <c r="K846" s="3464" t="s">
        <v>3688</v>
      </c>
      <c r="L846" s="3465"/>
    </row>
    <row r="847" spans="1:12" ht="26.25" thickBot="1">
      <c r="A847" s="3073">
        <v>225</v>
      </c>
      <c r="B847" s="3074">
        <v>13</v>
      </c>
      <c r="C847" s="3074" t="s">
        <v>3524</v>
      </c>
      <c r="D847" s="3074" t="s">
        <v>3525</v>
      </c>
      <c r="E847" s="3072" t="s">
        <v>3109</v>
      </c>
      <c r="F847" s="3072" t="s">
        <v>3235</v>
      </c>
      <c r="G847" s="3464" t="s">
        <v>3687</v>
      </c>
      <c r="H847" s="3466"/>
      <c r="I847" s="3465"/>
      <c r="J847" s="3074">
        <v>5725</v>
      </c>
      <c r="K847" s="3464" t="s">
        <v>3688</v>
      </c>
      <c r="L847" s="3465"/>
    </row>
    <row r="848" spans="1:12" ht="23.25" thickBot="1">
      <c r="A848" s="3073">
        <v>226</v>
      </c>
      <c r="B848" s="3074">
        <v>13</v>
      </c>
      <c r="C848" s="3074" t="s">
        <v>3524</v>
      </c>
      <c r="D848" s="3082" t="s">
        <v>3707</v>
      </c>
      <c r="E848" s="3083" t="s">
        <v>3109</v>
      </c>
      <c r="F848" s="3083" t="s">
        <v>3235</v>
      </c>
      <c r="G848" s="3464" t="s">
        <v>3689</v>
      </c>
      <c r="H848" s="3466"/>
      <c r="I848" s="3465"/>
      <c r="J848" s="3074">
        <v>5725</v>
      </c>
      <c r="K848" s="3464" t="s">
        <v>3690</v>
      </c>
      <c r="L848" s="3465"/>
    </row>
    <row r="849" spans="1:12" ht="26.25" thickBot="1">
      <c r="A849" s="3073">
        <v>227</v>
      </c>
      <c r="B849" s="3074">
        <v>13</v>
      </c>
      <c r="C849" s="3074" t="s">
        <v>3524</v>
      </c>
      <c r="D849" s="3074" t="s">
        <v>3527</v>
      </c>
      <c r="E849" s="3072" t="s">
        <v>3109</v>
      </c>
      <c r="F849" s="3072" t="s">
        <v>3235</v>
      </c>
      <c r="G849" s="3464" t="s">
        <v>3691</v>
      </c>
      <c r="H849" s="3466"/>
      <c r="I849" s="3465"/>
      <c r="J849" s="3074">
        <v>5725</v>
      </c>
      <c r="K849" s="3464" t="s">
        <v>3692</v>
      </c>
      <c r="L849" s="3465"/>
    </row>
    <row r="850" spans="1:12" ht="26.25" thickBot="1">
      <c r="A850" s="3073">
        <v>228</v>
      </c>
      <c r="B850" s="3074">
        <v>13</v>
      </c>
      <c r="C850" s="3074" t="s">
        <v>3524</v>
      </c>
      <c r="D850" s="3074" t="s">
        <v>3528</v>
      </c>
      <c r="E850" s="3072" t="s">
        <v>3109</v>
      </c>
      <c r="F850" s="3072" t="s">
        <v>3235</v>
      </c>
      <c r="G850" s="3464" t="s">
        <v>3691</v>
      </c>
      <c r="H850" s="3466"/>
      <c r="I850" s="3465"/>
      <c r="J850" s="3074">
        <v>5725</v>
      </c>
      <c r="K850" s="3464" t="s">
        <v>3692</v>
      </c>
      <c r="L850" s="3465"/>
    </row>
    <row r="851" spans="1:12" ht="26.25" thickBot="1">
      <c r="A851" s="3073">
        <v>229</v>
      </c>
      <c r="B851" s="3074">
        <v>13</v>
      </c>
      <c r="C851" s="3074" t="s">
        <v>3524</v>
      </c>
      <c r="D851" s="3074" t="s">
        <v>3529</v>
      </c>
      <c r="E851" s="3072" t="s">
        <v>3109</v>
      </c>
      <c r="F851" s="3072" t="s">
        <v>3235</v>
      </c>
      <c r="G851" s="3464" t="s">
        <v>3689</v>
      </c>
      <c r="H851" s="3466"/>
      <c r="I851" s="3465"/>
      <c r="J851" s="3074">
        <v>5725</v>
      </c>
      <c r="K851" s="3464" t="s">
        <v>3690</v>
      </c>
      <c r="L851" s="3465"/>
    </row>
    <row r="852" spans="1:12" ht="23.25" thickBot="1">
      <c r="A852" s="3073">
        <v>230</v>
      </c>
      <c r="B852" s="3074">
        <v>13</v>
      </c>
      <c r="C852" s="3074" t="s">
        <v>3524</v>
      </c>
      <c r="D852" s="3082" t="s">
        <v>3708</v>
      </c>
      <c r="E852" s="3083" t="s">
        <v>3109</v>
      </c>
      <c r="F852" s="3083" t="s">
        <v>3235</v>
      </c>
      <c r="G852" s="3469">
        <v>139</v>
      </c>
      <c r="H852" s="3470"/>
      <c r="I852" s="3074">
        <v>1</v>
      </c>
      <c r="J852" s="3074">
        <v>5725</v>
      </c>
      <c r="K852" s="3087">
        <v>79</v>
      </c>
      <c r="L852" s="3074">
        <v>58</v>
      </c>
    </row>
    <row r="853" spans="1:12" ht="23.25" thickBot="1">
      <c r="A853" s="3073">
        <v>231</v>
      </c>
      <c r="B853" s="3074">
        <v>13</v>
      </c>
      <c r="C853" s="3074" t="s">
        <v>3531</v>
      </c>
      <c r="D853" s="3082" t="s">
        <v>3709</v>
      </c>
      <c r="E853" s="3083" t="s">
        <v>3109</v>
      </c>
      <c r="F853" s="3083" t="s">
        <v>3235</v>
      </c>
      <c r="G853" s="3464" t="s">
        <v>3687</v>
      </c>
      <c r="H853" s="3466"/>
      <c r="I853" s="3465"/>
      <c r="J853" s="3074">
        <v>5725</v>
      </c>
      <c r="K853" s="3464" t="s">
        <v>3688</v>
      </c>
      <c r="L853" s="3465"/>
    </row>
    <row r="854" spans="1:12" ht="23.25" thickBot="1">
      <c r="A854" s="3073">
        <v>232</v>
      </c>
      <c r="B854" s="3074">
        <v>13</v>
      </c>
      <c r="C854" s="3074" t="s">
        <v>3531</v>
      </c>
      <c r="D854" s="3082" t="s">
        <v>3710</v>
      </c>
      <c r="E854" s="3083" t="s">
        <v>3109</v>
      </c>
      <c r="F854" s="3083" t="s">
        <v>3235</v>
      </c>
      <c r="G854" s="3464" t="s">
        <v>3689</v>
      </c>
      <c r="H854" s="3466"/>
      <c r="I854" s="3465"/>
      <c r="J854" s="3074">
        <v>5725</v>
      </c>
      <c r="K854" s="3464" t="s">
        <v>3690</v>
      </c>
      <c r="L854" s="3465"/>
    </row>
    <row r="855" spans="1:12" ht="23.25" thickBot="1">
      <c r="A855" s="3073">
        <v>233</v>
      </c>
      <c r="B855" s="3074">
        <v>13</v>
      </c>
      <c r="C855" s="3074" t="s">
        <v>3531</v>
      </c>
      <c r="D855" s="3090" t="s">
        <v>3711</v>
      </c>
      <c r="E855" s="3091" t="s">
        <v>3109</v>
      </c>
      <c r="F855" s="3091" t="s">
        <v>3235</v>
      </c>
      <c r="G855" s="3464" t="s">
        <v>3691</v>
      </c>
      <c r="H855" s="3466"/>
      <c r="I855" s="3465"/>
      <c r="J855" s="3074">
        <v>5725</v>
      </c>
      <c r="K855" s="3464" t="s">
        <v>3692</v>
      </c>
      <c r="L855" s="3465"/>
    </row>
    <row r="856" spans="1:12" ht="26.25" thickBot="1">
      <c r="A856" s="3073">
        <v>234</v>
      </c>
      <c r="B856" s="3074">
        <v>13</v>
      </c>
      <c r="C856" s="3074" t="s">
        <v>3531</v>
      </c>
      <c r="D856" s="3074" t="s">
        <v>3535</v>
      </c>
      <c r="E856" s="3072" t="s">
        <v>3109</v>
      </c>
      <c r="F856" s="3072" t="s">
        <v>3235</v>
      </c>
      <c r="G856" s="3464" t="s">
        <v>3691</v>
      </c>
      <c r="H856" s="3466"/>
      <c r="I856" s="3465"/>
      <c r="J856" s="3074">
        <v>5725</v>
      </c>
      <c r="K856" s="3464" t="s">
        <v>3692</v>
      </c>
      <c r="L856" s="3465"/>
    </row>
    <row r="857" spans="1:12" ht="26.25" thickBot="1">
      <c r="A857" s="3073">
        <v>235</v>
      </c>
      <c r="B857" s="3074">
        <v>13</v>
      </c>
      <c r="C857" s="3074" t="s">
        <v>3531</v>
      </c>
      <c r="D857" s="3074" t="s">
        <v>3536</v>
      </c>
      <c r="E857" s="3072" t="s">
        <v>3109</v>
      </c>
      <c r="F857" s="3072" t="s">
        <v>3235</v>
      </c>
      <c r="G857" s="3464" t="s">
        <v>3689</v>
      </c>
      <c r="H857" s="3466"/>
      <c r="I857" s="3465"/>
      <c r="J857" s="3074">
        <v>5725</v>
      </c>
      <c r="K857" s="3464" t="s">
        <v>3690</v>
      </c>
      <c r="L857" s="3465"/>
    </row>
    <row r="858" spans="1:12" ht="23.25" thickBot="1">
      <c r="A858" s="3073">
        <v>236</v>
      </c>
      <c r="B858" s="3074">
        <v>13</v>
      </c>
      <c r="C858" s="3074" t="s">
        <v>3531</v>
      </c>
      <c r="D858" s="3082" t="s">
        <v>3712</v>
      </c>
      <c r="E858" s="3083" t="s">
        <v>3109</v>
      </c>
      <c r="F858" s="3083" t="s">
        <v>3235</v>
      </c>
      <c r="G858" s="3464" t="s">
        <v>3687</v>
      </c>
      <c r="H858" s="3466"/>
      <c r="I858" s="3465"/>
      <c r="J858" s="3074">
        <v>5725</v>
      </c>
      <c r="K858" s="3464" t="s">
        <v>3688</v>
      </c>
      <c r="L858" s="3465"/>
    </row>
    <row r="859" spans="1:12" ht="26.25" thickBot="1">
      <c r="A859" s="3073">
        <v>237</v>
      </c>
      <c r="B859" s="3074">
        <v>13</v>
      </c>
      <c r="C859" s="3074" t="s">
        <v>3538</v>
      </c>
      <c r="D859" s="3074" t="s">
        <v>3539</v>
      </c>
      <c r="E859" s="3072" t="s">
        <v>3109</v>
      </c>
      <c r="F859" s="3072" t="s">
        <v>3235</v>
      </c>
      <c r="G859" s="3464" t="s">
        <v>3687</v>
      </c>
      <c r="H859" s="3466"/>
      <c r="I859" s="3465"/>
      <c r="J859" s="3074">
        <v>5725</v>
      </c>
      <c r="K859" s="3464" t="s">
        <v>3688</v>
      </c>
      <c r="L859" s="3465"/>
    </row>
    <row r="860" spans="1:12" ht="26.25" thickBot="1">
      <c r="A860" s="3073">
        <v>238</v>
      </c>
      <c r="B860" s="3074">
        <v>13</v>
      </c>
      <c r="C860" s="3074" t="s">
        <v>3538</v>
      </c>
      <c r="D860" s="3074" t="s">
        <v>3540</v>
      </c>
      <c r="E860" s="3072" t="s">
        <v>3109</v>
      </c>
      <c r="F860" s="3072" t="s">
        <v>3235</v>
      </c>
      <c r="G860" s="3464" t="s">
        <v>3689</v>
      </c>
      <c r="H860" s="3466"/>
      <c r="I860" s="3465"/>
      <c r="J860" s="3074">
        <v>5725</v>
      </c>
      <c r="K860" s="3464" t="s">
        <v>3690</v>
      </c>
      <c r="L860" s="3465"/>
    </row>
    <row r="861" spans="1:12" ht="26.25" thickBot="1">
      <c r="A861" s="3073">
        <v>239</v>
      </c>
      <c r="B861" s="3074">
        <v>13</v>
      </c>
      <c r="C861" s="3074" t="s">
        <v>3538</v>
      </c>
      <c r="D861" s="3074" t="s">
        <v>3541</v>
      </c>
      <c r="E861" s="3072" t="s">
        <v>3109</v>
      </c>
      <c r="F861" s="3072" t="s">
        <v>3235</v>
      </c>
      <c r="G861" s="3464" t="s">
        <v>3691</v>
      </c>
      <c r="H861" s="3466"/>
      <c r="I861" s="3465"/>
      <c r="J861" s="3074">
        <v>5725</v>
      </c>
      <c r="K861" s="3464" t="s">
        <v>3692</v>
      </c>
      <c r="L861" s="3465"/>
    </row>
    <row r="862" spans="1:12" ht="26.25" thickBot="1">
      <c r="A862" s="3073">
        <v>240</v>
      </c>
      <c r="B862" s="3074">
        <v>13</v>
      </c>
      <c r="C862" s="3074" t="s">
        <v>3538</v>
      </c>
      <c r="D862" s="3074" t="s">
        <v>3542</v>
      </c>
      <c r="E862" s="3072" t="s">
        <v>3109</v>
      </c>
      <c r="F862" s="3072" t="s">
        <v>3235</v>
      </c>
      <c r="G862" s="3464" t="s">
        <v>3691</v>
      </c>
      <c r="H862" s="3466"/>
      <c r="I862" s="3465"/>
      <c r="J862" s="3074">
        <v>5725</v>
      </c>
      <c r="K862" s="3464" t="s">
        <v>3692</v>
      </c>
      <c r="L862" s="3465"/>
    </row>
    <row r="863" spans="1:12" ht="26.25" thickBot="1">
      <c r="A863" s="3073">
        <v>241</v>
      </c>
      <c r="B863" s="3074">
        <v>13</v>
      </c>
      <c r="C863" s="3074" t="s">
        <v>3538</v>
      </c>
      <c r="D863" s="3074" t="s">
        <v>3543</v>
      </c>
      <c r="E863" s="3072" t="s">
        <v>3109</v>
      </c>
      <c r="F863" s="3072" t="s">
        <v>3235</v>
      </c>
      <c r="G863" s="3464" t="s">
        <v>3689</v>
      </c>
      <c r="H863" s="3466"/>
      <c r="I863" s="3465"/>
      <c r="J863" s="3074">
        <v>5725</v>
      </c>
      <c r="K863" s="3464" t="s">
        <v>3690</v>
      </c>
      <c r="L863" s="3465"/>
    </row>
    <row r="864" spans="1:12" ht="26.25" thickBot="1">
      <c r="A864" s="3073">
        <v>242</v>
      </c>
      <c r="B864" s="3074">
        <v>13</v>
      </c>
      <c r="C864" s="3074" t="s">
        <v>3538</v>
      </c>
      <c r="D864" s="3074" t="s">
        <v>3544</v>
      </c>
      <c r="E864" s="3072" t="s">
        <v>3109</v>
      </c>
      <c r="F864" s="3072" t="s">
        <v>3235</v>
      </c>
      <c r="G864" s="3464" t="s">
        <v>3687</v>
      </c>
      <c r="H864" s="3466"/>
      <c r="I864" s="3465"/>
      <c r="J864" s="3074">
        <v>5725</v>
      </c>
      <c r="K864" s="3464" t="s">
        <v>3688</v>
      </c>
      <c r="L864" s="3465"/>
    </row>
    <row r="865" spans="1:12" ht="26.25" thickBot="1">
      <c r="A865" s="3073">
        <v>243</v>
      </c>
      <c r="B865" s="3074">
        <v>13</v>
      </c>
      <c r="C865" s="3074" t="s">
        <v>3545</v>
      </c>
      <c r="D865" s="3074" t="s">
        <v>3546</v>
      </c>
      <c r="E865" s="3072" t="s">
        <v>3109</v>
      </c>
      <c r="F865" s="3072" t="s">
        <v>3235</v>
      </c>
      <c r="G865" s="3464" t="s">
        <v>3687</v>
      </c>
      <c r="H865" s="3466"/>
      <c r="I865" s="3465"/>
      <c r="J865" s="3074">
        <v>5725</v>
      </c>
      <c r="K865" s="3464" t="s">
        <v>3688</v>
      </c>
      <c r="L865" s="3465"/>
    </row>
    <row r="866" spans="1:12" ht="26.25" thickBot="1">
      <c r="A866" s="3073">
        <v>244</v>
      </c>
      <c r="B866" s="3074">
        <v>13</v>
      </c>
      <c r="C866" s="3074" t="s">
        <v>3545</v>
      </c>
      <c r="D866" s="3074" t="s">
        <v>3547</v>
      </c>
      <c r="E866" s="3072" t="s">
        <v>3109</v>
      </c>
      <c r="F866" s="3072" t="s">
        <v>3235</v>
      </c>
      <c r="G866" s="3464" t="s">
        <v>3689</v>
      </c>
      <c r="H866" s="3466"/>
      <c r="I866" s="3465"/>
      <c r="J866" s="3074">
        <v>5725</v>
      </c>
      <c r="K866" s="3464" t="s">
        <v>3690</v>
      </c>
      <c r="L866" s="3465"/>
    </row>
    <row r="867" spans="1:12" ht="26.25" thickBot="1">
      <c r="A867" s="3073">
        <v>245</v>
      </c>
      <c r="B867" s="3074">
        <v>13</v>
      </c>
      <c r="C867" s="3074" t="s">
        <v>3545</v>
      </c>
      <c r="D867" s="3074" t="s">
        <v>3548</v>
      </c>
      <c r="E867" s="3072" t="s">
        <v>3109</v>
      </c>
      <c r="F867" s="3072" t="s">
        <v>3235</v>
      </c>
      <c r="G867" s="3464" t="s">
        <v>3691</v>
      </c>
      <c r="H867" s="3466"/>
      <c r="I867" s="3465"/>
      <c r="J867" s="3074">
        <v>5725</v>
      </c>
      <c r="K867" s="3464" t="s">
        <v>3692</v>
      </c>
      <c r="L867" s="3465"/>
    </row>
    <row r="868" spans="1:12" ht="26.25" thickBot="1">
      <c r="A868" s="3073">
        <v>246</v>
      </c>
      <c r="B868" s="3074">
        <v>13</v>
      </c>
      <c r="C868" s="3074" t="s">
        <v>3545</v>
      </c>
      <c r="D868" s="3074" t="s">
        <v>3549</v>
      </c>
      <c r="E868" s="3072" t="s">
        <v>3109</v>
      </c>
      <c r="F868" s="3072" t="s">
        <v>3235</v>
      </c>
      <c r="G868" s="3464" t="s">
        <v>3691</v>
      </c>
      <c r="H868" s="3466"/>
      <c r="I868" s="3465"/>
      <c r="J868" s="3074">
        <v>5725</v>
      </c>
      <c r="K868" s="3464" t="s">
        <v>3692</v>
      </c>
      <c r="L868" s="3465"/>
    </row>
    <row r="869" spans="1:12" ht="26.25" thickBot="1">
      <c r="A869" s="3073">
        <v>247</v>
      </c>
      <c r="B869" s="3074">
        <v>13</v>
      </c>
      <c r="C869" s="3074" t="s">
        <v>3545</v>
      </c>
      <c r="D869" s="3074" t="s">
        <v>3550</v>
      </c>
      <c r="E869" s="3072" t="s">
        <v>3109</v>
      </c>
      <c r="F869" s="3072" t="s">
        <v>3235</v>
      </c>
      <c r="G869" s="3088"/>
      <c r="H869" s="3466">
        <v>77</v>
      </c>
      <c r="I869" s="3465"/>
      <c r="J869" s="3074">
        <v>5725</v>
      </c>
      <c r="K869" s="3087">
        <v>54</v>
      </c>
      <c r="L869" s="3074">
        <v>26</v>
      </c>
    </row>
    <row r="870" spans="1:12" ht="26.25" thickBot="1">
      <c r="A870" s="3073">
        <v>248</v>
      </c>
      <c r="B870" s="3074">
        <v>13</v>
      </c>
      <c r="C870" s="3074" t="s">
        <v>3545</v>
      </c>
      <c r="D870" s="3074" t="s">
        <v>3551</v>
      </c>
      <c r="E870" s="3072" t="s">
        <v>3109</v>
      </c>
      <c r="F870" s="3072" t="s">
        <v>3235</v>
      </c>
      <c r="G870" s="3464" t="s">
        <v>3687</v>
      </c>
      <c r="H870" s="3466"/>
      <c r="I870" s="3465"/>
      <c r="J870" s="3074">
        <v>5725</v>
      </c>
      <c r="K870" s="3464" t="s">
        <v>3688</v>
      </c>
      <c r="L870" s="3465"/>
    </row>
    <row r="871" spans="1:12" ht="26.25" thickBot="1">
      <c r="A871" s="3073">
        <v>249</v>
      </c>
      <c r="B871" s="3074">
        <v>13</v>
      </c>
      <c r="C871" s="3074" t="s">
        <v>3552</v>
      </c>
      <c r="D871" s="3074" t="s">
        <v>3553</v>
      </c>
      <c r="E871" s="3072" t="s">
        <v>3109</v>
      </c>
      <c r="F871" s="3072" t="s">
        <v>3235</v>
      </c>
      <c r="G871" s="3464" t="s">
        <v>3687</v>
      </c>
      <c r="H871" s="3466"/>
      <c r="I871" s="3465"/>
      <c r="J871" s="3074">
        <v>5725</v>
      </c>
      <c r="K871" s="3464" t="s">
        <v>3688</v>
      </c>
      <c r="L871" s="3465"/>
    </row>
    <row r="872" spans="1:12" ht="26.25" thickBot="1">
      <c r="A872" s="3073">
        <v>250</v>
      </c>
      <c r="B872" s="3074">
        <v>13</v>
      </c>
      <c r="C872" s="3074" t="s">
        <v>3552</v>
      </c>
      <c r="D872" s="3074" t="s">
        <v>3554</v>
      </c>
      <c r="E872" s="3072" t="s">
        <v>3109</v>
      </c>
      <c r="F872" s="3072" t="s">
        <v>3235</v>
      </c>
      <c r="G872" s="3464" t="s">
        <v>3689</v>
      </c>
      <c r="H872" s="3466"/>
      <c r="I872" s="3465"/>
      <c r="J872" s="3074">
        <v>5725</v>
      </c>
      <c r="K872" s="3464" t="s">
        <v>3690</v>
      </c>
      <c r="L872" s="3465"/>
    </row>
    <row r="873" spans="1:12" ht="26.25" thickBot="1">
      <c r="A873" s="3073">
        <v>251</v>
      </c>
      <c r="B873" s="3074">
        <v>13</v>
      </c>
      <c r="C873" s="3074" t="s">
        <v>3552</v>
      </c>
      <c r="D873" s="3074" t="s">
        <v>3555</v>
      </c>
      <c r="E873" s="3072" t="s">
        <v>3109</v>
      </c>
      <c r="F873" s="3072" t="s">
        <v>3235</v>
      </c>
      <c r="G873" s="3464" t="s">
        <v>3691</v>
      </c>
      <c r="H873" s="3466"/>
      <c r="I873" s="3465"/>
      <c r="J873" s="3074">
        <v>5725</v>
      </c>
      <c r="K873" s="3464" t="s">
        <v>3692</v>
      </c>
      <c r="L873" s="3465"/>
    </row>
    <row r="874" spans="1:12" ht="26.25" thickBot="1">
      <c r="A874" s="3073">
        <v>252</v>
      </c>
      <c r="B874" s="3074">
        <v>13</v>
      </c>
      <c r="C874" s="3074" t="s">
        <v>3552</v>
      </c>
      <c r="D874" s="3074" t="s">
        <v>3556</v>
      </c>
      <c r="E874" s="3072" t="s">
        <v>3109</v>
      </c>
      <c r="F874" s="3072" t="s">
        <v>3235</v>
      </c>
      <c r="G874" s="3464" t="s">
        <v>3691</v>
      </c>
      <c r="H874" s="3466"/>
      <c r="I874" s="3465"/>
      <c r="J874" s="3074">
        <v>5725</v>
      </c>
      <c r="K874" s="3464" t="s">
        <v>3692</v>
      </c>
      <c r="L874" s="3465"/>
    </row>
    <row r="875" spans="1:12" ht="26.25" thickBot="1">
      <c r="A875" s="3073">
        <v>253</v>
      </c>
      <c r="B875" s="3074">
        <v>13</v>
      </c>
      <c r="C875" s="3074" t="s">
        <v>3552</v>
      </c>
      <c r="D875" s="3074" t="s">
        <v>3557</v>
      </c>
      <c r="E875" s="3072" t="s">
        <v>3109</v>
      </c>
      <c r="F875" s="3072" t="s">
        <v>3235</v>
      </c>
      <c r="G875" s="3464" t="s">
        <v>3689</v>
      </c>
      <c r="H875" s="3466"/>
      <c r="I875" s="3465"/>
      <c r="J875" s="3074">
        <v>5725</v>
      </c>
      <c r="K875" s="3464" t="s">
        <v>3690</v>
      </c>
      <c r="L875" s="3465"/>
    </row>
    <row r="876" spans="1:12" ht="26.25" thickBot="1">
      <c r="A876" s="3073">
        <v>254</v>
      </c>
      <c r="B876" s="3074">
        <v>13</v>
      </c>
      <c r="C876" s="3074" t="s">
        <v>3552</v>
      </c>
      <c r="D876" s="3074" t="s">
        <v>3558</v>
      </c>
      <c r="E876" s="3072" t="s">
        <v>3109</v>
      </c>
      <c r="F876" s="3072" t="s">
        <v>3235</v>
      </c>
      <c r="G876" s="3464" t="s">
        <v>3687</v>
      </c>
      <c r="H876" s="3466"/>
      <c r="I876" s="3465"/>
      <c r="J876" s="3074">
        <v>5725</v>
      </c>
      <c r="K876" s="3464" t="s">
        <v>3688</v>
      </c>
      <c r="L876" s="3465"/>
    </row>
    <row r="877" spans="1:12" ht="26.25" thickBot="1">
      <c r="A877" s="3073">
        <v>255</v>
      </c>
      <c r="B877" s="3074">
        <v>13</v>
      </c>
      <c r="C877" s="3074" t="s">
        <v>3559</v>
      </c>
      <c r="D877" s="3074" t="s">
        <v>3560</v>
      </c>
      <c r="E877" s="3072" t="s">
        <v>3109</v>
      </c>
      <c r="F877" s="3072" t="s">
        <v>3235</v>
      </c>
      <c r="G877" s="3464" t="s">
        <v>3687</v>
      </c>
      <c r="H877" s="3466"/>
      <c r="I877" s="3465"/>
      <c r="J877" s="3074">
        <v>5725</v>
      </c>
      <c r="K877" s="3464" t="s">
        <v>3688</v>
      </c>
      <c r="L877" s="3465"/>
    </row>
    <row r="878" spans="1:12" ht="26.25" thickBot="1">
      <c r="A878" s="3073">
        <v>256</v>
      </c>
      <c r="B878" s="3074">
        <v>13</v>
      </c>
      <c r="C878" s="3074" t="s">
        <v>3559</v>
      </c>
      <c r="D878" s="3074" t="s">
        <v>3561</v>
      </c>
      <c r="E878" s="3072" t="s">
        <v>3109</v>
      </c>
      <c r="F878" s="3072" t="s">
        <v>3235</v>
      </c>
      <c r="G878" s="3464" t="s">
        <v>3689</v>
      </c>
      <c r="H878" s="3466"/>
      <c r="I878" s="3465"/>
      <c r="J878" s="3074">
        <v>5725</v>
      </c>
      <c r="K878" s="3464" t="s">
        <v>3690</v>
      </c>
      <c r="L878" s="3465"/>
    </row>
    <row r="879" spans="1:12" ht="26.25" thickBot="1">
      <c r="A879" s="3073">
        <v>257</v>
      </c>
      <c r="B879" s="3074">
        <v>13</v>
      </c>
      <c r="C879" s="3074" t="s">
        <v>3559</v>
      </c>
      <c r="D879" s="3074" t="s">
        <v>3562</v>
      </c>
      <c r="E879" s="3072" t="s">
        <v>3109</v>
      </c>
      <c r="F879" s="3072" t="s">
        <v>3235</v>
      </c>
      <c r="G879" s="3469">
        <v>118</v>
      </c>
      <c r="H879" s="3470"/>
      <c r="I879" s="3074">
        <v>5</v>
      </c>
      <c r="J879" s="3074">
        <v>5725</v>
      </c>
      <c r="K879" s="3087">
        <v>67</v>
      </c>
      <c r="L879" s="3074">
        <v>87</v>
      </c>
    </row>
    <row r="880" spans="1:12" ht="26.25" thickBot="1">
      <c r="A880" s="3073">
        <v>258</v>
      </c>
      <c r="B880" s="3074">
        <v>13</v>
      </c>
      <c r="C880" s="3074" t="s">
        <v>3559</v>
      </c>
      <c r="D880" s="3074" t="s">
        <v>3563</v>
      </c>
      <c r="E880" s="3072" t="s">
        <v>3109</v>
      </c>
      <c r="F880" s="3072" t="s">
        <v>3235</v>
      </c>
      <c r="G880" s="3464" t="s">
        <v>3691</v>
      </c>
      <c r="H880" s="3466"/>
      <c r="I880" s="3465"/>
      <c r="J880" s="3074">
        <v>5725</v>
      </c>
      <c r="K880" s="3464" t="s">
        <v>3692</v>
      </c>
      <c r="L880" s="3465"/>
    </row>
    <row r="881" spans="1:12" ht="26.25" thickBot="1">
      <c r="A881" s="3073">
        <v>259</v>
      </c>
      <c r="B881" s="3074">
        <v>13</v>
      </c>
      <c r="C881" s="3074" t="s">
        <v>3559</v>
      </c>
      <c r="D881" s="3074" t="s">
        <v>3564</v>
      </c>
      <c r="E881" s="3072" t="s">
        <v>3109</v>
      </c>
      <c r="F881" s="3072" t="s">
        <v>3235</v>
      </c>
      <c r="G881" s="3464" t="s">
        <v>3689</v>
      </c>
      <c r="H881" s="3466"/>
      <c r="I881" s="3465"/>
      <c r="J881" s="3074">
        <v>5725</v>
      </c>
      <c r="K881" s="3464" t="s">
        <v>3690</v>
      </c>
      <c r="L881" s="3465"/>
    </row>
    <row r="882" spans="1:12" ht="26.25" thickBot="1">
      <c r="A882" s="3073">
        <v>260</v>
      </c>
      <c r="B882" s="3074">
        <v>13</v>
      </c>
      <c r="C882" s="3074" t="s">
        <v>3559</v>
      </c>
      <c r="D882" s="3074" t="s">
        <v>3565</v>
      </c>
      <c r="E882" s="3072" t="s">
        <v>3109</v>
      </c>
      <c r="F882" s="3072" t="s">
        <v>3235</v>
      </c>
      <c r="G882" s="3464" t="s">
        <v>3687</v>
      </c>
      <c r="H882" s="3466"/>
      <c r="I882" s="3465"/>
      <c r="J882" s="3074">
        <v>5725</v>
      </c>
      <c r="K882" s="3464" t="s">
        <v>3688</v>
      </c>
      <c r="L882" s="3465"/>
    </row>
    <row r="883" spans="1:12" ht="14.25" thickBot="1">
      <c r="A883" s="3084" t="s">
        <v>37</v>
      </c>
      <c r="B883" s="3085"/>
      <c r="C883" s="3085"/>
      <c r="D883" s="3085"/>
      <c r="E883" s="3085"/>
      <c r="F883" s="3085"/>
      <c r="G883" s="3464" t="s">
        <v>3713</v>
      </c>
      <c r="H883" s="3466"/>
      <c r="I883" s="3465"/>
      <c r="J883" s="3085"/>
      <c r="K883" s="3464" t="s">
        <v>3714</v>
      </c>
      <c r="L883" s="3465"/>
    </row>
    <row r="884" spans="1:12">
      <c r="A884" s="3089"/>
      <c r="B884" s="3089"/>
      <c r="C884" s="3089"/>
      <c r="D884" s="3089"/>
      <c r="E884" s="3089"/>
      <c r="F884" s="3089"/>
      <c r="G884" s="3089"/>
      <c r="H884" s="3089"/>
      <c r="I884" s="3089"/>
      <c r="J884" s="3089"/>
      <c r="K884" s="3089"/>
      <c r="L884" s="3089"/>
    </row>
    <row r="885" spans="1:12" ht="14.25">
      <c r="A885" s="3069" t="s">
        <v>3715</v>
      </c>
    </row>
    <row r="886" spans="1:12" ht="14.25" thickBot="1">
      <c r="A886" s="3070"/>
    </row>
    <row r="887" spans="1:12">
      <c r="A887" s="3458" t="s">
        <v>3223</v>
      </c>
      <c r="B887" s="3458" t="s">
        <v>3224</v>
      </c>
      <c r="C887" s="3071" t="s">
        <v>3225</v>
      </c>
      <c r="D887" s="3458" t="s">
        <v>3227</v>
      </c>
      <c r="E887" s="3458" t="s">
        <v>1341</v>
      </c>
      <c r="F887" s="3458" t="s">
        <v>3228</v>
      </c>
      <c r="G887" s="3460" t="s">
        <v>3229</v>
      </c>
      <c r="H887" s="3461"/>
      <c r="I887" s="3458" t="s">
        <v>3231</v>
      </c>
      <c r="J887" s="3458" t="s">
        <v>3232</v>
      </c>
    </row>
    <row r="888" spans="1:12" ht="14.25" thickBot="1">
      <c r="A888" s="3459"/>
      <c r="B888" s="3459"/>
      <c r="C888" s="3072" t="s">
        <v>3226</v>
      </c>
      <c r="D888" s="3459"/>
      <c r="E888" s="3459"/>
      <c r="F888" s="3459"/>
      <c r="G888" s="3462" t="s">
        <v>3230</v>
      </c>
      <c r="H888" s="3463"/>
      <c r="I888" s="3459"/>
      <c r="J888" s="3459"/>
    </row>
    <row r="889" spans="1:12" ht="24.75" thickBot="1">
      <c r="A889" s="3073">
        <v>1</v>
      </c>
      <c r="B889" s="3074">
        <v>14</v>
      </c>
      <c r="C889" s="3074">
        <f t="shared" ref="C889:C896" si="10">-2/28</f>
        <v>-7.1428571428571425E-2</v>
      </c>
      <c r="D889" s="3072" t="s">
        <v>3233</v>
      </c>
      <c r="E889" s="3072" t="s">
        <v>3234</v>
      </c>
      <c r="F889" s="3072" t="s">
        <v>3235</v>
      </c>
      <c r="G889" s="3464" t="s">
        <v>3716</v>
      </c>
      <c r="H889" s="3465"/>
      <c r="I889" s="3074">
        <v>2016</v>
      </c>
      <c r="J889" s="3074">
        <v>6.23</v>
      </c>
    </row>
    <row r="890" spans="1:12" ht="24.75" thickBot="1">
      <c r="A890" s="3073">
        <v>2</v>
      </c>
      <c r="B890" s="3074">
        <v>14</v>
      </c>
      <c r="C890" s="3074">
        <f t="shared" si="10"/>
        <v>-7.1428571428571425E-2</v>
      </c>
      <c r="D890" s="3072" t="s">
        <v>3237</v>
      </c>
      <c r="E890" s="3072" t="s">
        <v>3234</v>
      </c>
      <c r="F890" s="3072" t="s">
        <v>3235</v>
      </c>
      <c r="G890" s="3075">
        <v>1</v>
      </c>
      <c r="H890" s="3082" t="s">
        <v>3717</v>
      </c>
      <c r="I890" s="3074">
        <v>2016</v>
      </c>
      <c r="J890" s="3074">
        <v>2.75</v>
      </c>
    </row>
    <row r="891" spans="1:12" ht="24.75" thickBot="1">
      <c r="A891" s="3073">
        <v>3</v>
      </c>
      <c r="B891" s="3074">
        <v>14</v>
      </c>
      <c r="C891" s="3074">
        <f t="shared" si="10"/>
        <v>-7.1428571428571425E-2</v>
      </c>
      <c r="D891" s="3072" t="s">
        <v>3238</v>
      </c>
      <c r="E891" s="3072" t="s">
        <v>3234</v>
      </c>
      <c r="F891" s="3072" t="s">
        <v>3235</v>
      </c>
      <c r="G891" s="3464" t="s">
        <v>3718</v>
      </c>
      <c r="H891" s="3465"/>
      <c r="I891" s="3074">
        <v>2016</v>
      </c>
      <c r="J891" s="3074">
        <v>2.98</v>
      </c>
    </row>
    <row r="892" spans="1:12" ht="24.75" thickBot="1">
      <c r="A892" s="3073">
        <v>4</v>
      </c>
      <c r="B892" s="3074">
        <v>14</v>
      </c>
      <c r="C892" s="3074">
        <f t="shared" si="10"/>
        <v>-7.1428571428571425E-2</v>
      </c>
      <c r="D892" s="3072" t="s">
        <v>3240</v>
      </c>
      <c r="E892" s="3072" t="s">
        <v>3234</v>
      </c>
      <c r="F892" s="3072" t="s">
        <v>3235</v>
      </c>
      <c r="G892" s="3464" t="s">
        <v>3719</v>
      </c>
      <c r="H892" s="3465"/>
      <c r="I892" s="3074">
        <v>2016</v>
      </c>
      <c r="J892" s="3074">
        <v>2.88</v>
      </c>
    </row>
    <row r="893" spans="1:12" ht="24.75" thickBot="1">
      <c r="A893" s="3073">
        <v>5</v>
      </c>
      <c r="B893" s="3074">
        <v>14</v>
      </c>
      <c r="C893" s="3074">
        <f t="shared" si="10"/>
        <v>-7.1428571428571425E-2</v>
      </c>
      <c r="D893" s="3072" t="s">
        <v>3242</v>
      </c>
      <c r="E893" s="3072" t="s">
        <v>3234</v>
      </c>
      <c r="F893" s="3072" t="s">
        <v>3235</v>
      </c>
      <c r="G893" s="3464" t="s">
        <v>3720</v>
      </c>
      <c r="H893" s="3465"/>
      <c r="I893" s="3074">
        <v>2016</v>
      </c>
      <c r="J893" s="3074">
        <v>2.4</v>
      </c>
    </row>
    <row r="894" spans="1:12" ht="24.75" thickBot="1">
      <c r="A894" s="3073">
        <v>6</v>
      </c>
      <c r="B894" s="3074">
        <v>14</v>
      </c>
      <c r="C894" s="3074">
        <f t="shared" si="10"/>
        <v>-7.1428571428571425E-2</v>
      </c>
      <c r="D894" s="3072" t="s">
        <v>3244</v>
      </c>
      <c r="E894" s="3072" t="s">
        <v>3234</v>
      </c>
      <c r="F894" s="3072" t="s">
        <v>3235</v>
      </c>
      <c r="G894" s="3464" t="s">
        <v>3721</v>
      </c>
      <c r="H894" s="3465"/>
      <c r="I894" s="3074">
        <v>2016</v>
      </c>
      <c r="J894" s="3074">
        <v>2.5</v>
      </c>
    </row>
    <row r="895" spans="1:12" ht="24.75" thickBot="1">
      <c r="A895" s="3073">
        <v>7</v>
      </c>
      <c r="B895" s="3074">
        <v>14</v>
      </c>
      <c r="C895" s="3074">
        <f t="shared" si="10"/>
        <v>-7.1428571428571425E-2</v>
      </c>
      <c r="D895" s="3072" t="s">
        <v>3246</v>
      </c>
      <c r="E895" s="3072" t="s">
        <v>3234</v>
      </c>
      <c r="F895" s="3072" t="s">
        <v>3235</v>
      </c>
      <c r="G895" s="3464" t="s">
        <v>3722</v>
      </c>
      <c r="H895" s="3465"/>
      <c r="I895" s="3074">
        <v>2016</v>
      </c>
      <c r="J895" s="3074">
        <v>3.63</v>
      </c>
    </row>
    <row r="896" spans="1:12" ht="24.75" thickBot="1">
      <c r="A896" s="3073">
        <v>8</v>
      </c>
      <c r="B896" s="3074">
        <v>14</v>
      </c>
      <c r="C896" s="3074">
        <f t="shared" si="10"/>
        <v>-7.1428571428571425E-2</v>
      </c>
      <c r="D896" s="3072" t="s">
        <v>3248</v>
      </c>
      <c r="E896" s="3072" t="s">
        <v>3234</v>
      </c>
      <c r="F896" s="3072" t="s">
        <v>3235</v>
      </c>
      <c r="G896" s="3464" t="s">
        <v>3723</v>
      </c>
      <c r="H896" s="3465"/>
      <c r="I896" s="3074">
        <v>2016</v>
      </c>
      <c r="J896" s="3074">
        <v>3.49</v>
      </c>
    </row>
    <row r="897" spans="1:10">
      <c r="A897" s="3089"/>
      <c r="B897" s="3089"/>
      <c r="C897" s="3089"/>
      <c r="D897" s="3089"/>
      <c r="E897" s="3089"/>
      <c r="F897" s="3089"/>
      <c r="G897" s="3089"/>
      <c r="H897" s="3089"/>
      <c r="I897" s="3089"/>
      <c r="J897" s="3089"/>
    </row>
    <row r="898" spans="1:10">
      <c r="A898" s="3070"/>
    </row>
    <row r="900" spans="1:10" ht="14.25" thickBot="1">
      <c r="A900" s="3078"/>
    </row>
    <row r="901" spans="1:10">
      <c r="A901" s="3458" t="s">
        <v>3223</v>
      </c>
      <c r="B901" s="3458" t="s">
        <v>3224</v>
      </c>
      <c r="C901" s="3071" t="s">
        <v>3225</v>
      </c>
      <c r="D901" s="3458" t="s">
        <v>3227</v>
      </c>
      <c r="E901" s="3458" t="s">
        <v>1341</v>
      </c>
      <c r="F901" s="3458" t="s">
        <v>3228</v>
      </c>
      <c r="G901" s="3460" t="s">
        <v>3229</v>
      </c>
      <c r="H901" s="3461"/>
      <c r="I901" s="3458" t="s">
        <v>3231</v>
      </c>
      <c r="J901" s="3458" t="s">
        <v>3232</v>
      </c>
    </row>
    <row r="902" spans="1:10" ht="14.25" thickBot="1">
      <c r="A902" s="3459"/>
      <c r="B902" s="3459"/>
      <c r="C902" s="3072" t="s">
        <v>3226</v>
      </c>
      <c r="D902" s="3459"/>
      <c r="E902" s="3459"/>
      <c r="F902" s="3459"/>
      <c r="G902" s="3462" t="s">
        <v>3230</v>
      </c>
      <c r="H902" s="3463"/>
      <c r="I902" s="3459"/>
      <c r="J902" s="3459"/>
    </row>
    <row r="903" spans="1:10" ht="24.75" thickBot="1">
      <c r="A903" s="3073">
        <v>9</v>
      </c>
      <c r="B903" s="3074">
        <v>14</v>
      </c>
      <c r="C903" s="3074">
        <f t="shared" ref="C903:C943" si="11">-2/28</f>
        <v>-7.1428571428571425E-2</v>
      </c>
      <c r="D903" s="3072" t="s">
        <v>3249</v>
      </c>
      <c r="E903" s="3072" t="s">
        <v>3234</v>
      </c>
      <c r="F903" s="3072" t="s">
        <v>3235</v>
      </c>
      <c r="G903" s="3464" t="s">
        <v>3724</v>
      </c>
      <c r="H903" s="3465"/>
      <c r="I903" s="3074">
        <v>2016</v>
      </c>
      <c r="J903" s="3074">
        <v>2.33</v>
      </c>
    </row>
    <row r="904" spans="1:10" ht="24.75" thickBot="1">
      <c r="A904" s="3073">
        <v>10</v>
      </c>
      <c r="B904" s="3074">
        <v>14</v>
      </c>
      <c r="C904" s="3074">
        <f t="shared" si="11"/>
        <v>-7.1428571428571425E-2</v>
      </c>
      <c r="D904" s="3072" t="s">
        <v>3251</v>
      </c>
      <c r="E904" s="3072" t="s">
        <v>3234</v>
      </c>
      <c r="F904" s="3072" t="s">
        <v>3235</v>
      </c>
      <c r="G904" s="3075">
        <v>1</v>
      </c>
      <c r="H904" s="3074" t="s">
        <v>3725</v>
      </c>
      <c r="I904" s="3074">
        <v>2016</v>
      </c>
      <c r="J904" s="3074">
        <v>2.35</v>
      </c>
    </row>
    <row r="905" spans="1:10" ht="24.75" thickBot="1">
      <c r="A905" s="3073">
        <v>11</v>
      </c>
      <c r="B905" s="3074">
        <v>14</v>
      </c>
      <c r="C905" s="3074">
        <f t="shared" si="11"/>
        <v>-7.1428571428571425E-2</v>
      </c>
      <c r="D905" s="3072" t="s">
        <v>3252</v>
      </c>
      <c r="E905" s="3072" t="s">
        <v>3234</v>
      </c>
      <c r="F905" s="3072" t="s">
        <v>3235</v>
      </c>
      <c r="G905" s="3464" t="s">
        <v>3726</v>
      </c>
      <c r="H905" s="3465"/>
      <c r="I905" s="3074">
        <v>2016</v>
      </c>
      <c r="J905" s="3074">
        <v>2.2799999999999998</v>
      </c>
    </row>
    <row r="906" spans="1:10" ht="24.75" thickBot="1">
      <c r="A906" s="3073">
        <v>12</v>
      </c>
      <c r="B906" s="3074">
        <v>14</v>
      </c>
      <c r="C906" s="3074">
        <f t="shared" si="11"/>
        <v>-7.1428571428571425E-2</v>
      </c>
      <c r="D906" s="3072" t="s">
        <v>3254</v>
      </c>
      <c r="E906" s="3072" t="s">
        <v>3234</v>
      </c>
      <c r="F906" s="3072" t="s">
        <v>3235</v>
      </c>
      <c r="G906" s="3464" t="s">
        <v>3727</v>
      </c>
      <c r="H906" s="3465"/>
      <c r="I906" s="3074">
        <v>2016</v>
      </c>
      <c r="J906" s="3074">
        <v>5.21</v>
      </c>
    </row>
    <row r="907" spans="1:10" ht="24.75" thickBot="1">
      <c r="A907" s="3073">
        <v>13</v>
      </c>
      <c r="B907" s="3074">
        <v>14</v>
      </c>
      <c r="C907" s="3074">
        <f t="shared" si="11"/>
        <v>-7.1428571428571425E-2</v>
      </c>
      <c r="D907" s="3072" t="s">
        <v>3255</v>
      </c>
      <c r="E907" s="3072" t="s">
        <v>3234</v>
      </c>
      <c r="F907" s="3072" t="s">
        <v>3235</v>
      </c>
      <c r="G907" s="3464" t="s">
        <v>3728</v>
      </c>
      <c r="H907" s="3465"/>
      <c r="I907" s="3074">
        <v>2016</v>
      </c>
      <c r="J907" s="3074">
        <v>3.45</v>
      </c>
    </row>
    <row r="908" spans="1:10" ht="24.75" thickBot="1">
      <c r="A908" s="3073">
        <v>14</v>
      </c>
      <c r="B908" s="3074">
        <v>14</v>
      </c>
      <c r="C908" s="3074">
        <f t="shared" si="11"/>
        <v>-7.1428571428571425E-2</v>
      </c>
      <c r="D908" s="3072" t="s">
        <v>3257</v>
      </c>
      <c r="E908" s="3072" t="s">
        <v>3234</v>
      </c>
      <c r="F908" s="3072" t="s">
        <v>3235</v>
      </c>
      <c r="G908" s="3464" t="s">
        <v>3729</v>
      </c>
      <c r="H908" s="3465"/>
      <c r="I908" s="3074">
        <v>2016</v>
      </c>
      <c r="J908" s="3074">
        <v>3.53</v>
      </c>
    </row>
    <row r="909" spans="1:10" ht="24.75" thickBot="1">
      <c r="A909" s="3073">
        <v>15</v>
      </c>
      <c r="B909" s="3074">
        <v>14</v>
      </c>
      <c r="C909" s="3074">
        <f t="shared" si="11"/>
        <v>-7.1428571428571425E-2</v>
      </c>
      <c r="D909" s="3072" t="s">
        <v>3259</v>
      </c>
      <c r="E909" s="3072" t="s">
        <v>3234</v>
      </c>
      <c r="F909" s="3072" t="s">
        <v>3235</v>
      </c>
      <c r="G909" s="3464" t="s">
        <v>3730</v>
      </c>
      <c r="H909" s="3465"/>
      <c r="I909" s="3074">
        <v>2016</v>
      </c>
      <c r="J909" s="3074">
        <v>3.07</v>
      </c>
    </row>
    <row r="910" spans="1:10" ht="24.75" thickBot="1">
      <c r="A910" s="3073">
        <v>16</v>
      </c>
      <c r="B910" s="3074">
        <v>14</v>
      </c>
      <c r="C910" s="3074">
        <f t="shared" si="11"/>
        <v>-7.1428571428571425E-2</v>
      </c>
      <c r="D910" s="3072" t="s">
        <v>3261</v>
      </c>
      <c r="E910" s="3072" t="s">
        <v>3234</v>
      </c>
      <c r="F910" s="3072" t="s">
        <v>3235</v>
      </c>
      <c r="G910" s="3464" t="s">
        <v>3731</v>
      </c>
      <c r="H910" s="3465"/>
      <c r="I910" s="3074">
        <v>2016</v>
      </c>
      <c r="J910" s="3074">
        <v>2.86</v>
      </c>
    </row>
    <row r="911" spans="1:10" ht="24.75" thickBot="1">
      <c r="A911" s="3073">
        <v>17</v>
      </c>
      <c r="B911" s="3074">
        <v>14</v>
      </c>
      <c r="C911" s="3074">
        <f t="shared" si="11"/>
        <v>-7.1428571428571425E-2</v>
      </c>
      <c r="D911" s="3072" t="s">
        <v>3263</v>
      </c>
      <c r="E911" s="3072" t="s">
        <v>3234</v>
      </c>
      <c r="F911" s="3072" t="s">
        <v>3235</v>
      </c>
      <c r="G911" s="3464">
        <v>8.94</v>
      </c>
      <c r="H911" s="3465"/>
      <c r="I911" s="3074">
        <v>2016</v>
      </c>
      <c r="J911" s="3074">
        <v>1.8</v>
      </c>
    </row>
    <row r="912" spans="1:10" ht="24.75" thickBot="1">
      <c r="A912" s="3073">
        <v>18</v>
      </c>
      <c r="B912" s="3074">
        <v>14</v>
      </c>
      <c r="C912" s="3074">
        <f t="shared" si="11"/>
        <v>-7.1428571428571425E-2</v>
      </c>
      <c r="D912" s="3072" t="s">
        <v>3265</v>
      </c>
      <c r="E912" s="3072" t="s">
        <v>3234</v>
      </c>
      <c r="F912" s="3072" t="s">
        <v>3235</v>
      </c>
      <c r="G912" s="3464">
        <v>8.7100000000000009</v>
      </c>
      <c r="H912" s="3465"/>
      <c r="I912" s="3074">
        <v>2016</v>
      </c>
      <c r="J912" s="3074">
        <v>1.76</v>
      </c>
    </row>
    <row r="913" spans="1:10" ht="24.75" thickBot="1">
      <c r="A913" s="3073">
        <v>19</v>
      </c>
      <c r="B913" s="3074">
        <v>14</v>
      </c>
      <c r="C913" s="3074">
        <f t="shared" si="11"/>
        <v>-7.1428571428571425E-2</v>
      </c>
      <c r="D913" s="3072" t="s">
        <v>3267</v>
      </c>
      <c r="E913" s="3072" t="s">
        <v>3234</v>
      </c>
      <c r="F913" s="3072" t="s">
        <v>3235</v>
      </c>
      <c r="G913" s="3464" t="s">
        <v>3732</v>
      </c>
      <c r="H913" s="3465"/>
      <c r="I913" s="3074">
        <v>2016</v>
      </c>
      <c r="J913" s="3074">
        <v>2.4700000000000002</v>
      </c>
    </row>
    <row r="914" spans="1:10" ht="24.75" thickBot="1">
      <c r="A914" s="3073">
        <v>20</v>
      </c>
      <c r="B914" s="3074">
        <v>14</v>
      </c>
      <c r="C914" s="3074">
        <f t="shared" si="11"/>
        <v>-7.1428571428571425E-2</v>
      </c>
      <c r="D914" s="3072" t="s">
        <v>3268</v>
      </c>
      <c r="E914" s="3072" t="s">
        <v>3234</v>
      </c>
      <c r="F914" s="3072" t="s">
        <v>3235</v>
      </c>
      <c r="G914" s="3075">
        <v>1</v>
      </c>
      <c r="H914" s="3074" t="s">
        <v>3733</v>
      </c>
      <c r="I914" s="3074">
        <v>2016</v>
      </c>
      <c r="J914" s="3074">
        <v>2.4</v>
      </c>
    </row>
    <row r="915" spans="1:10" ht="24.75" thickBot="1">
      <c r="A915" s="3073">
        <v>21</v>
      </c>
      <c r="B915" s="3074">
        <v>14</v>
      </c>
      <c r="C915" s="3074">
        <f t="shared" si="11"/>
        <v>-7.1428571428571425E-2</v>
      </c>
      <c r="D915" s="3072" t="s">
        <v>3270</v>
      </c>
      <c r="E915" s="3072" t="s">
        <v>3234</v>
      </c>
      <c r="F915" s="3072" t="s">
        <v>3235</v>
      </c>
      <c r="G915" s="3464" t="s">
        <v>3734</v>
      </c>
      <c r="H915" s="3465"/>
      <c r="I915" s="3074">
        <v>2016</v>
      </c>
      <c r="J915" s="3074">
        <v>2.21</v>
      </c>
    </row>
    <row r="916" spans="1:10" ht="24.75" thickBot="1">
      <c r="A916" s="3073">
        <v>22</v>
      </c>
      <c r="B916" s="3074">
        <v>14</v>
      </c>
      <c r="C916" s="3074">
        <f t="shared" si="11"/>
        <v>-7.1428571428571425E-2</v>
      </c>
      <c r="D916" s="3072" t="s">
        <v>3272</v>
      </c>
      <c r="E916" s="3072" t="s">
        <v>3234</v>
      </c>
      <c r="F916" s="3072" t="s">
        <v>3235</v>
      </c>
      <c r="G916" s="3464" t="s">
        <v>3735</v>
      </c>
      <c r="H916" s="3465"/>
      <c r="I916" s="3074">
        <v>2016</v>
      </c>
      <c r="J916" s="3074">
        <v>4.92</v>
      </c>
    </row>
    <row r="917" spans="1:10" ht="24.75" thickBot="1">
      <c r="A917" s="3073">
        <v>23</v>
      </c>
      <c r="B917" s="3074">
        <v>14</v>
      </c>
      <c r="C917" s="3074">
        <f t="shared" si="11"/>
        <v>-7.1428571428571425E-2</v>
      </c>
      <c r="D917" s="3072" t="s">
        <v>3273</v>
      </c>
      <c r="E917" s="3072" t="s">
        <v>3234</v>
      </c>
      <c r="F917" s="3072" t="s">
        <v>3235</v>
      </c>
      <c r="G917" s="3464" t="s">
        <v>3736</v>
      </c>
      <c r="H917" s="3465"/>
      <c r="I917" s="3074">
        <v>2016</v>
      </c>
      <c r="J917" s="3074">
        <v>2.4500000000000002</v>
      </c>
    </row>
    <row r="918" spans="1:10" ht="24.75" thickBot="1">
      <c r="A918" s="3073">
        <v>24</v>
      </c>
      <c r="B918" s="3074">
        <v>14</v>
      </c>
      <c r="C918" s="3074">
        <f t="shared" si="11"/>
        <v>-7.1428571428571425E-2</v>
      </c>
      <c r="D918" s="3072" t="s">
        <v>3274</v>
      </c>
      <c r="E918" s="3072" t="s">
        <v>3234</v>
      </c>
      <c r="F918" s="3072" t="s">
        <v>3235</v>
      </c>
      <c r="G918" s="3464" t="s">
        <v>3737</v>
      </c>
      <c r="H918" s="3465"/>
      <c r="I918" s="3074">
        <v>2016</v>
      </c>
      <c r="J918" s="3074">
        <v>2.2200000000000002</v>
      </c>
    </row>
    <row r="919" spans="1:10" ht="24.75" thickBot="1">
      <c r="A919" s="3073">
        <v>25</v>
      </c>
      <c r="B919" s="3074">
        <v>14</v>
      </c>
      <c r="C919" s="3074">
        <f t="shared" si="11"/>
        <v>-7.1428571428571425E-2</v>
      </c>
      <c r="D919" s="3072" t="s">
        <v>3276</v>
      </c>
      <c r="E919" s="3072" t="s">
        <v>3234</v>
      </c>
      <c r="F919" s="3072" t="s">
        <v>3235</v>
      </c>
      <c r="G919" s="3464" t="s">
        <v>3737</v>
      </c>
      <c r="H919" s="3465"/>
      <c r="I919" s="3074">
        <v>2016</v>
      </c>
      <c r="J919" s="3074">
        <v>2.2200000000000002</v>
      </c>
    </row>
    <row r="920" spans="1:10" ht="24.75" thickBot="1">
      <c r="A920" s="3073">
        <v>26</v>
      </c>
      <c r="B920" s="3074">
        <v>14</v>
      </c>
      <c r="C920" s="3074">
        <f t="shared" si="11"/>
        <v>-7.1428571428571425E-2</v>
      </c>
      <c r="D920" s="3072" t="s">
        <v>3277</v>
      </c>
      <c r="E920" s="3072" t="s">
        <v>3234</v>
      </c>
      <c r="F920" s="3072" t="s">
        <v>3235</v>
      </c>
      <c r="G920" s="3464" t="s">
        <v>3736</v>
      </c>
      <c r="H920" s="3465"/>
      <c r="I920" s="3074">
        <v>2016</v>
      </c>
      <c r="J920" s="3074">
        <v>2.4500000000000002</v>
      </c>
    </row>
    <row r="921" spans="1:10" ht="24.75" thickBot="1">
      <c r="A921" s="3073">
        <v>27</v>
      </c>
      <c r="B921" s="3074">
        <v>14</v>
      </c>
      <c r="C921" s="3074">
        <f t="shared" si="11"/>
        <v>-7.1428571428571425E-2</v>
      </c>
      <c r="D921" s="3072" t="s">
        <v>3278</v>
      </c>
      <c r="E921" s="3072" t="s">
        <v>3234</v>
      </c>
      <c r="F921" s="3072" t="s">
        <v>3235</v>
      </c>
      <c r="G921" s="3464" t="s">
        <v>3735</v>
      </c>
      <c r="H921" s="3465"/>
      <c r="I921" s="3074">
        <v>2016</v>
      </c>
      <c r="J921" s="3074">
        <v>4.92</v>
      </c>
    </row>
    <row r="922" spans="1:10" ht="24.75" thickBot="1">
      <c r="A922" s="3073">
        <v>28</v>
      </c>
      <c r="B922" s="3074">
        <v>14</v>
      </c>
      <c r="C922" s="3074">
        <f t="shared" si="11"/>
        <v>-7.1428571428571425E-2</v>
      </c>
      <c r="D922" s="3072" t="s">
        <v>3280</v>
      </c>
      <c r="E922" s="3072" t="s">
        <v>3234</v>
      </c>
      <c r="F922" s="3072" t="s">
        <v>3235</v>
      </c>
      <c r="G922" s="3464" t="s">
        <v>3734</v>
      </c>
      <c r="H922" s="3465"/>
      <c r="I922" s="3074">
        <v>2016</v>
      </c>
      <c r="J922" s="3074">
        <v>2.21</v>
      </c>
    </row>
    <row r="923" spans="1:10" ht="24.75" thickBot="1">
      <c r="A923" s="3073">
        <v>29</v>
      </c>
      <c r="B923" s="3074">
        <v>14</v>
      </c>
      <c r="C923" s="3074">
        <f t="shared" si="11"/>
        <v>-7.1428571428571425E-2</v>
      </c>
      <c r="D923" s="3072" t="s">
        <v>3281</v>
      </c>
      <c r="E923" s="3072" t="s">
        <v>3234</v>
      </c>
      <c r="F923" s="3072" t="s">
        <v>3235</v>
      </c>
      <c r="G923" s="3464" t="s">
        <v>3738</v>
      </c>
      <c r="H923" s="3465"/>
      <c r="I923" s="3074">
        <v>2016</v>
      </c>
      <c r="J923" s="3074">
        <v>4.3</v>
      </c>
    </row>
    <row r="924" spans="1:10" ht="24.75" thickBot="1">
      <c r="A924" s="3073">
        <v>30</v>
      </c>
      <c r="B924" s="3074">
        <v>14</v>
      </c>
      <c r="C924" s="3074">
        <f t="shared" si="11"/>
        <v>-7.1428571428571425E-2</v>
      </c>
      <c r="D924" s="3072" t="s">
        <v>3282</v>
      </c>
      <c r="E924" s="3072" t="s">
        <v>3234</v>
      </c>
      <c r="F924" s="3072" t="s">
        <v>3235</v>
      </c>
      <c r="G924" s="3464">
        <v>8.94</v>
      </c>
      <c r="H924" s="3465"/>
      <c r="I924" s="3074">
        <v>2016</v>
      </c>
      <c r="J924" s="3074">
        <v>1.8</v>
      </c>
    </row>
    <row r="925" spans="1:10" ht="24.75" thickBot="1">
      <c r="A925" s="3073">
        <v>31</v>
      </c>
      <c r="B925" s="3074">
        <v>14</v>
      </c>
      <c r="C925" s="3074">
        <f t="shared" si="11"/>
        <v>-7.1428571428571425E-2</v>
      </c>
      <c r="D925" s="3072" t="s">
        <v>3284</v>
      </c>
      <c r="E925" s="3072" t="s">
        <v>3234</v>
      </c>
      <c r="F925" s="3072" t="s">
        <v>3235</v>
      </c>
      <c r="G925" s="3464">
        <v>8.7100000000000009</v>
      </c>
      <c r="H925" s="3465"/>
      <c r="I925" s="3074">
        <v>2016</v>
      </c>
      <c r="J925" s="3074">
        <v>1.76</v>
      </c>
    </row>
    <row r="926" spans="1:10" ht="24.75" thickBot="1">
      <c r="A926" s="3073">
        <v>32</v>
      </c>
      <c r="B926" s="3074">
        <v>14</v>
      </c>
      <c r="C926" s="3074">
        <f t="shared" si="11"/>
        <v>-7.1428571428571425E-2</v>
      </c>
      <c r="D926" s="3072" t="s">
        <v>3285</v>
      </c>
      <c r="E926" s="3072" t="s">
        <v>3234</v>
      </c>
      <c r="F926" s="3072" t="s">
        <v>3235</v>
      </c>
      <c r="G926" s="3464" t="s">
        <v>3732</v>
      </c>
      <c r="H926" s="3465"/>
      <c r="I926" s="3074">
        <v>2016</v>
      </c>
      <c r="J926" s="3074">
        <v>2.4700000000000002</v>
      </c>
    </row>
    <row r="927" spans="1:10" ht="24.75" thickBot="1">
      <c r="A927" s="3073">
        <v>33</v>
      </c>
      <c r="B927" s="3074">
        <v>14</v>
      </c>
      <c r="C927" s="3074">
        <f t="shared" si="11"/>
        <v>-7.1428571428571425E-2</v>
      </c>
      <c r="D927" s="3072" t="s">
        <v>3286</v>
      </c>
      <c r="E927" s="3072" t="s">
        <v>3234</v>
      </c>
      <c r="F927" s="3072" t="s">
        <v>3235</v>
      </c>
      <c r="G927" s="3464" t="s">
        <v>3739</v>
      </c>
      <c r="H927" s="3465"/>
      <c r="I927" s="3074">
        <v>2016</v>
      </c>
      <c r="J927" s="3074">
        <v>2.0299999999999998</v>
      </c>
    </row>
    <row r="928" spans="1:10" ht="24.75" thickBot="1">
      <c r="A928" s="3073">
        <v>34</v>
      </c>
      <c r="B928" s="3074">
        <v>14</v>
      </c>
      <c r="C928" s="3074">
        <f t="shared" si="11"/>
        <v>-7.1428571428571425E-2</v>
      </c>
      <c r="D928" s="3072" t="s">
        <v>3288</v>
      </c>
      <c r="E928" s="3072" t="s">
        <v>3234</v>
      </c>
      <c r="F928" s="3072" t="s">
        <v>3235</v>
      </c>
      <c r="G928" s="3464">
        <v>9.92</v>
      </c>
      <c r="H928" s="3465"/>
      <c r="I928" s="3074">
        <v>2016</v>
      </c>
      <c r="J928" s="3074">
        <v>2</v>
      </c>
    </row>
    <row r="929" spans="1:10" ht="24.75" thickBot="1">
      <c r="A929" s="3073">
        <v>35</v>
      </c>
      <c r="B929" s="3074">
        <v>14</v>
      </c>
      <c r="C929" s="3074">
        <f t="shared" si="11"/>
        <v>-7.1428571428571425E-2</v>
      </c>
      <c r="D929" s="3072" t="s">
        <v>3289</v>
      </c>
      <c r="E929" s="3072" t="s">
        <v>3234</v>
      </c>
      <c r="F929" s="3072" t="s">
        <v>3235</v>
      </c>
      <c r="G929" s="3464" t="s">
        <v>3729</v>
      </c>
      <c r="H929" s="3465"/>
      <c r="I929" s="3074">
        <v>2016</v>
      </c>
      <c r="J929" s="3074">
        <v>3.53</v>
      </c>
    </row>
    <row r="930" spans="1:10" ht="24.75" thickBot="1">
      <c r="A930" s="3073">
        <v>36</v>
      </c>
      <c r="B930" s="3074">
        <v>14</v>
      </c>
      <c r="C930" s="3074">
        <f t="shared" si="11"/>
        <v>-7.1428571428571425E-2</v>
      </c>
      <c r="D930" s="3072" t="s">
        <v>3290</v>
      </c>
      <c r="E930" s="3072" t="s">
        <v>3234</v>
      </c>
      <c r="F930" s="3072" t="s">
        <v>3235</v>
      </c>
      <c r="G930" s="3464" t="s">
        <v>3740</v>
      </c>
      <c r="H930" s="3465"/>
      <c r="I930" s="3074">
        <v>2016</v>
      </c>
      <c r="J930" s="3074">
        <v>3.45</v>
      </c>
    </row>
    <row r="931" spans="1:10" ht="24.75" thickBot="1">
      <c r="A931" s="3073">
        <v>37</v>
      </c>
      <c r="B931" s="3074">
        <v>14</v>
      </c>
      <c r="C931" s="3074">
        <f t="shared" si="11"/>
        <v>-7.1428571428571425E-2</v>
      </c>
      <c r="D931" s="3072" t="s">
        <v>3291</v>
      </c>
      <c r="E931" s="3072" t="s">
        <v>3234</v>
      </c>
      <c r="F931" s="3072" t="s">
        <v>3235</v>
      </c>
      <c r="G931" s="3075">
        <v>2</v>
      </c>
      <c r="H931" s="3082" t="s">
        <v>3741</v>
      </c>
      <c r="I931" s="3074">
        <v>2016</v>
      </c>
      <c r="J931" s="3074">
        <v>5.21</v>
      </c>
    </row>
    <row r="932" spans="1:10" ht="24.75" thickBot="1">
      <c r="A932" s="3073">
        <v>38</v>
      </c>
      <c r="B932" s="3074">
        <v>14</v>
      </c>
      <c r="C932" s="3074">
        <f t="shared" si="11"/>
        <v>-7.1428571428571425E-2</v>
      </c>
      <c r="D932" s="3072" t="s">
        <v>3292</v>
      </c>
      <c r="E932" s="3072" t="s">
        <v>3234</v>
      </c>
      <c r="F932" s="3072" t="s">
        <v>3235</v>
      </c>
      <c r="G932" s="3464" t="s">
        <v>3742</v>
      </c>
      <c r="H932" s="3465"/>
      <c r="I932" s="3074">
        <v>2016</v>
      </c>
      <c r="J932" s="3074">
        <v>2.2999999999999998</v>
      </c>
    </row>
    <row r="933" spans="1:10" ht="24.75" thickBot="1">
      <c r="A933" s="3073">
        <v>39</v>
      </c>
      <c r="B933" s="3074">
        <v>14</v>
      </c>
      <c r="C933" s="3074">
        <f t="shared" si="11"/>
        <v>-7.1428571428571425E-2</v>
      </c>
      <c r="D933" s="3072" t="s">
        <v>3293</v>
      </c>
      <c r="E933" s="3072" t="s">
        <v>3234</v>
      </c>
      <c r="F933" s="3072" t="s">
        <v>3235</v>
      </c>
      <c r="G933" s="3464" t="s">
        <v>3743</v>
      </c>
      <c r="H933" s="3465"/>
      <c r="I933" s="3074">
        <v>2016</v>
      </c>
      <c r="J933" s="3074">
        <v>2.16</v>
      </c>
    </row>
    <row r="934" spans="1:10" ht="24.75" thickBot="1">
      <c r="A934" s="3073">
        <v>40</v>
      </c>
      <c r="B934" s="3074">
        <v>14</v>
      </c>
      <c r="C934" s="3074">
        <f t="shared" si="11"/>
        <v>-7.1428571428571425E-2</v>
      </c>
      <c r="D934" s="3072" t="s">
        <v>3295</v>
      </c>
      <c r="E934" s="3072" t="s">
        <v>3234</v>
      </c>
      <c r="F934" s="3072" t="s">
        <v>3235</v>
      </c>
      <c r="G934" s="3464" t="s">
        <v>3744</v>
      </c>
      <c r="H934" s="3465"/>
      <c r="I934" s="3074">
        <v>2016</v>
      </c>
      <c r="J934" s="3074">
        <v>2.11</v>
      </c>
    </row>
    <row r="935" spans="1:10" ht="24.75" thickBot="1">
      <c r="A935" s="3073">
        <v>41</v>
      </c>
      <c r="B935" s="3074">
        <v>14</v>
      </c>
      <c r="C935" s="3074">
        <f t="shared" si="11"/>
        <v>-7.1428571428571425E-2</v>
      </c>
      <c r="D935" s="3072" t="s">
        <v>3296</v>
      </c>
      <c r="E935" s="3072" t="s">
        <v>3234</v>
      </c>
      <c r="F935" s="3072" t="s">
        <v>3235</v>
      </c>
      <c r="G935" s="3464" t="s">
        <v>3745</v>
      </c>
      <c r="H935" s="3465"/>
      <c r="I935" s="3074">
        <v>2016</v>
      </c>
      <c r="J935" s="3074">
        <v>2.73</v>
      </c>
    </row>
    <row r="936" spans="1:10" ht="24.75" thickBot="1">
      <c r="A936" s="3073">
        <v>42</v>
      </c>
      <c r="B936" s="3074">
        <v>14</v>
      </c>
      <c r="C936" s="3074">
        <f t="shared" si="11"/>
        <v>-7.1428571428571425E-2</v>
      </c>
      <c r="D936" s="3072" t="s">
        <v>3297</v>
      </c>
      <c r="E936" s="3072" t="s">
        <v>3234</v>
      </c>
      <c r="F936" s="3072" t="s">
        <v>3235</v>
      </c>
      <c r="G936" s="3464" t="s">
        <v>3723</v>
      </c>
      <c r="H936" s="3465"/>
      <c r="I936" s="3074">
        <v>2016</v>
      </c>
      <c r="J936" s="3074">
        <v>3.49</v>
      </c>
    </row>
    <row r="937" spans="1:10" ht="24.75" thickBot="1">
      <c r="A937" s="3073">
        <v>43</v>
      </c>
      <c r="B937" s="3074">
        <v>14</v>
      </c>
      <c r="C937" s="3074">
        <f t="shared" si="11"/>
        <v>-7.1428571428571425E-2</v>
      </c>
      <c r="D937" s="3072" t="s">
        <v>3298</v>
      </c>
      <c r="E937" s="3072" t="s">
        <v>3234</v>
      </c>
      <c r="F937" s="3072" t="s">
        <v>3235</v>
      </c>
      <c r="G937" s="3464" t="s">
        <v>3746</v>
      </c>
      <c r="H937" s="3465"/>
      <c r="I937" s="3074">
        <v>2016</v>
      </c>
      <c r="J937" s="3074">
        <v>3.63</v>
      </c>
    </row>
    <row r="938" spans="1:10" ht="24.75" thickBot="1">
      <c r="A938" s="3073">
        <v>44</v>
      </c>
      <c r="B938" s="3074">
        <v>14</v>
      </c>
      <c r="C938" s="3074">
        <f t="shared" si="11"/>
        <v>-7.1428571428571425E-2</v>
      </c>
      <c r="D938" s="3072" t="s">
        <v>3299</v>
      </c>
      <c r="E938" s="3072" t="s">
        <v>3234</v>
      </c>
      <c r="F938" s="3072" t="s">
        <v>3235</v>
      </c>
      <c r="G938" s="3464" t="s">
        <v>3721</v>
      </c>
      <c r="H938" s="3465"/>
      <c r="I938" s="3074">
        <v>2016</v>
      </c>
      <c r="J938" s="3074">
        <v>2.5</v>
      </c>
    </row>
    <row r="939" spans="1:10" ht="24.75" thickBot="1">
      <c r="A939" s="3073">
        <v>45</v>
      </c>
      <c r="B939" s="3074">
        <v>14</v>
      </c>
      <c r="C939" s="3074">
        <f t="shared" si="11"/>
        <v>-7.1428571428571425E-2</v>
      </c>
      <c r="D939" s="3072" t="s">
        <v>3300</v>
      </c>
      <c r="E939" s="3072" t="s">
        <v>3234</v>
      </c>
      <c r="F939" s="3072" t="s">
        <v>3235</v>
      </c>
      <c r="G939" s="3464" t="s">
        <v>3747</v>
      </c>
      <c r="H939" s="3465"/>
      <c r="I939" s="3074">
        <v>2016</v>
      </c>
      <c r="J939" s="3074">
        <v>2.39</v>
      </c>
    </row>
    <row r="940" spans="1:10" ht="24.75" thickBot="1">
      <c r="A940" s="3073">
        <v>46</v>
      </c>
      <c r="B940" s="3074">
        <v>14</v>
      </c>
      <c r="C940" s="3074">
        <f t="shared" si="11"/>
        <v>-7.1428571428571425E-2</v>
      </c>
      <c r="D940" s="3072" t="s">
        <v>3301</v>
      </c>
      <c r="E940" s="3072" t="s">
        <v>3234</v>
      </c>
      <c r="F940" s="3072" t="s">
        <v>3235</v>
      </c>
      <c r="G940" s="3464" t="s">
        <v>3719</v>
      </c>
      <c r="H940" s="3465"/>
      <c r="I940" s="3074">
        <v>2016</v>
      </c>
      <c r="J940" s="3074">
        <v>2.88</v>
      </c>
    </row>
    <row r="941" spans="1:10" ht="24.75" thickBot="1">
      <c r="A941" s="3073">
        <v>47</v>
      </c>
      <c r="B941" s="3074">
        <v>14</v>
      </c>
      <c r="C941" s="3074">
        <f t="shared" si="11"/>
        <v>-7.1428571428571425E-2</v>
      </c>
      <c r="D941" s="3072" t="s">
        <v>3302</v>
      </c>
      <c r="E941" s="3072" t="s">
        <v>3234</v>
      </c>
      <c r="F941" s="3072" t="s">
        <v>3235</v>
      </c>
      <c r="G941" s="3075">
        <v>1</v>
      </c>
      <c r="H941" s="3082" t="s">
        <v>3748</v>
      </c>
      <c r="I941" s="3074">
        <v>2016</v>
      </c>
      <c r="J941" s="3074">
        <v>2.98</v>
      </c>
    </row>
    <row r="942" spans="1:10" ht="24.75" thickBot="1">
      <c r="A942" s="3073">
        <v>48</v>
      </c>
      <c r="B942" s="3074">
        <v>14</v>
      </c>
      <c r="C942" s="3074">
        <f t="shared" si="11"/>
        <v>-7.1428571428571425E-2</v>
      </c>
      <c r="D942" s="3072" t="s">
        <v>3303</v>
      </c>
      <c r="E942" s="3072" t="s">
        <v>3234</v>
      </c>
      <c r="F942" s="3072" t="s">
        <v>3235</v>
      </c>
      <c r="G942" s="3464" t="s">
        <v>3749</v>
      </c>
      <c r="H942" s="3465"/>
      <c r="I942" s="3074">
        <v>2016</v>
      </c>
      <c r="J942" s="3074">
        <v>2.75</v>
      </c>
    </row>
    <row r="943" spans="1:10" ht="24.75" thickBot="1">
      <c r="A943" s="3073">
        <v>49</v>
      </c>
      <c r="B943" s="3074">
        <v>14</v>
      </c>
      <c r="C943" s="3074">
        <f t="shared" si="11"/>
        <v>-7.1428571428571425E-2</v>
      </c>
      <c r="D943" s="3072" t="s">
        <v>3304</v>
      </c>
      <c r="E943" s="3072" t="s">
        <v>3234</v>
      </c>
      <c r="F943" s="3072" t="s">
        <v>3235</v>
      </c>
      <c r="G943" s="3464" t="s">
        <v>3716</v>
      </c>
      <c r="H943" s="3465"/>
      <c r="I943" s="3074">
        <v>2016</v>
      </c>
      <c r="J943" s="3074">
        <v>6.23</v>
      </c>
    </row>
    <row r="944" spans="1:10" ht="24.75" thickBot="1">
      <c r="A944" s="3073">
        <v>50</v>
      </c>
      <c r="B944" s="3074">
        <v>14</v>
      </c>
      <c r="C944" s="3074">
        <f t="shared" ref="C944:C957" si="12">-1/28</f>
        <v>-3.5714285714285712E-2</v>
      </c>
      <c r="D944" s="3072" t="s">
        <v>3314</v>
      </c>
      <c r="E944" s="3072" t="s">
        <v>3234</v>
      </c>
      <c r="F944" s="3072" t="s">
        <v>3235</v>
      </c>
      <c r="G944" s="3464" t="s">
        <v>3750</v>
      </c>
      <c r="H944" s="3465"/>
      <c r="I944" s="3074">
        <v>2016</v>
      </c>
      <c r="J944" s="3074">
        <v>6.23</v>
      </c>
    </row>
    <row r="945" spans="1:10" ht="24.75" thickBot="1">
      <c r="A945" s="3073">
        <v>51</v>
      </c>
      <c r="B945" s="3074">
        <v>14</v>
      </c>
      <c r="C945" s="3074">
        <f t="shared" si="12"/>
        <v>-3.5714285714285712E-2</v>
      </c>
      <c r="D945" s="3072" t="s">
        <v>3315</v>
      </c>
      <c r="E945" s="3072" t="s">
        <v>3234</v>
      </c>
      <c r="F945" s="3072" t="s">
        <v>3235</v>
      </c>
      <c r="G945" s="3464" t="s">
        <v>3749</v>
      </c>
      <c r="H945" s="3465"/>
      <c r="I945" s="3074">
        <v>2016</v>
      </c>
      <c r="J945" s="3074">
        <v>2.75</v>
      </c>
    </row>
    <row r="946" spans="1:10" ht="24.75" thickBot="1">
      <c r="A946" s="3073">
        <v>52</v>
      </c>
      <c r="B946" s="3074">
        <v>14</v>
      </c>
      <c r="C946" s="3074">
        <f t="shared" si="12"/>
        <v>-3.5714285714285712E-2</v>
      </c>
      <c r="D946" s="3072" t="s">
        <v>3316</v>
      </c>
      <c r="E946" s="3072" t="s">
        <v>3234</v>
      </c>
      <c r="F946" s="3072" t="s">
        <v>3235</v>
      </c>
      <c r="G946" s="3464" t="s">
        <v>3751</v>
      </c>
      <c r="H946" s="3465"/>
      <c r="I946" s="3074">
        <v>2016</v>
      </c>
      <c r="J946" s="3074">
        <v>2.94</v>
      </c>
    </row>
    <row r="947" spans="1:10" ht="24.75" thickBot="1">
      <c r="A947" s="3073">
        <v>53</v>
      </c>
      <c r="B947" s="3074">
        <v>14</v>
      </c>
      <c r="C947" s="3074">
        <f t="shared" si="12"/>
        <v>-3.5714285714285712E-2</v>
      </c>
      <c r="D947" s="3072" t="s">
        <v>3317</v>
      </c>
      <c r="E947" s="3072" t="s">
        <v>3234</v>
      </c>
      <c r="F947" s="3072" t="s">
        <v>3235</v>
      </c>
      <c r="G947" s="3464" t="s">
        <v>3752</v>
      </c>
      <c r="H947" s="3465"/>
      <c r="I947" s="3074">
        <v>2016</v>
      </c>
      <c r="J947" s="3074">
        <v>2.85</v>
      </c>
    </row>
    <row r="948" spans="1:10" ht="24.75" thickBot="1">
      <c r="A948" s="3073">
        <v>54</v>
      </c>
      <c r="B948" s="3074">
        <v>14</v>
      </c>
      <c r="C948" s="3074">
        <f t="shared" si="12"/>
        <v>-3.5714285714285712E-2</v>
      </c>
      <c r="D948" s="3072" t="s">
        <v>3318</v>
      </c>
      <c r="E948" s="3072" t="s">
        <v>3234</v>
      </c>
      <c r="F948" s="3072" t="s">
        <v>3235</v>
      </c>
      <c r="G948" s="3075">
        <v>1</v>
      </c>
      <c r="H948" s="3074" t="s">
        <v>3753</v>
      </c>
      <c r="I948" s="3074">
        <v>2016</v>
      </c>
      <c r="J948" s="3074">
        <v>2.39</v>
      </c>
    </row>
    <row r="949" spans="1:10" ht="24.75" thickBot="1">
      <c r="A949" s="3073">
        <v>55</v>
      </c>
      <c r="B949" s="3074">
        <v>14</v>
      </c>
      <c r="C949" s="3074">
        <f t="shared" si="12"/>
        <v>-3.5714285714285712E-2</v>
      </c>
      <c r="D949" s="3072" t="s">
        <v>3319</v>
      </c>
      <c r="E949" s="3072" t="s">
        <v>3234</v>
      </c>
      <c r="F949" s="3072" t="s">
        <v>3235</v>
      </c>
      <c r="G949" s="3464" t="s">
        <v>3721</v>
      </c>
      <c r="H949" s="3465"/>
      <c r="I949" s="3074">
        <v>2016</v>
      </c>
      <c r="J949" s="3074">
        <v>2.5</v>
      </c>
    </row>
    <row r="950" spans="1:10" ht="24.75" thickBot="1">
      <c r="A950" s="3073">
        <v>56</v>
      </c>
      <c r="B950" s="3074">
        <v>14</v>
      </c>
      <c r="C950" s="3074">
        <f t="shared" si="12"/>
        <v>-3.5714285714285712E-2</v>
      </c>
      <c r="D950" s="3072" t="s">
        <v>3320</v>
      </c>
      <c r="E950" s="3072" t="s">
        <v>3234</v>
      </c>
      <c r="F950" s="3072" t="s">
        <v>3235</v>
      </c>
      <c r="G950" s="3464" t="s">
        <v>3722</v>
      </c>
      <c r="H950" s="3465"/>
      <c r="I950" s="3074">
        <v>2016</v>
      </c>
      <c r="J950" s="3074">
        <v>3.63</v>
      </c>
    </row>
    <row r="951" spans="1:10" ht="24.75" thickBot="1">
      <c r="A951" s="3073">
        <v>57</v>
      </c>
      <c r="B951" s="3074">
        <v>14</v>
      </c>
      <c r="C951" s="3074">
        <f t="shared" si="12"/>
        <v>-3.5714285714285712E-2</v>
      </c>
      <c r="D951" s="3072" t="s">
        <v>3321</v>
      </c>
      <c r="E951" s="3072" t="s">
        <v>3234</v>
      </c>
      <c r="F951" s="3072" t="s">
        <v>3235</v>
      </c>
      <c r="G951" s="3464" t="s">
        <v>3754</v>
      </c>
      <c r="H951" s="3465"/>
      <c r="I951" s="3074">
        <v>2016</v>
      </c>
      <c r="J951" s="3074">
        <v>3.49</v>
      </c>
    </row>
    <row r="952" spans="1:10" ht="24.75" thickBot="1">
      <c r="A952" s="3073">
        <v>58</v>
      </c>
      <c r="B952" s="3074">
        <v>14</v>
      </c>
      <c r="C952" s="3074">
        <f t="shared" si="12"/>
        <v>-3.5714285714285712E-2</v>
      </c>
      <c r="D952" s="3072" t="s">
        <v>3322</v>
      </c>
      <c r="E952" s="3072" t="s">
        <v>3234</v>
      </c>
      <c r="F952" s="3072" t="s">
        <v>3235</v>
      </c>
      <c r="G952" s="3464" t="s">
        <v>3743</v>
      </c>
      <c r="H952" s="3465"/>
      <c r="I952" s="3074">
        <v>2016</v>
      </c>
      <c r="J952" s="3074">
        <v>2.16</v>
      </c>
    </row>
    <row r="953" spans="1:10" ht="24.75" thickBot="1">
      <c r="A953" s="3073">
        <v>59</v>
      </c>
      <c r="B953" s="3074">
        <v>14</v>
      </c>
      <c r="C953" s="3074">
        <f t="shared" si="12"/>
        <v>-3.5714285714285712E-2</v>
      </c>
      <c r="D953" s="3072" t="s">
        <v>3323</v>
      </c>
      <c r="E953" s="3072" t="s">
        <v>3234</v>
      </c>
      <c r="F953" s="3072" t="s">
        <v>3235</v>
      </c>
      <c r="G953" s="3464" t="s">
        <v>3755</v>
      </c>
      <c r="H953" s="3465"/>
      <c r="I953" s="3074">
        <v>2016</v>
      </c>
      <c r="J953" s="3074">
        <v>2.11</v>
      </c>
    </row>
    <row r="954" spans="1:10" ht="24.75" thickBot="1">
      <c r="A954" s="3073">
        <v>60</v>
      </c>
      <c r="B954" s="3074">
        <v>14</v>
      </c>
      <c r="C954" s="3074">
        <f t="shared" si="12"/>
        <v>-3.5714285714285712E-2</v>
      </c>
      <c r="D954" s="3072" t="s">
        <v>3325</v>
      </c>
      <c r="E954" s="3072" t="s">
        <v>3234</v>
      </c>
      <c r="F954" s="3072" t="s">
        <v>3235</v>
      </c>
      <c r="G954" s="3464" t="s">
        <v>3756</v>
      </c>
      <c r="H954" s="3465"/>
      <c r="I954" s="3074">
        <v>2016</v>
      </c>
      <c r="J954" s="3074">
        <v>2.73</v>
      </c>
    </row>
    <row r="955" spans="1:10" ht="24.75" thickBot="1">
      <c r="A955" s="3073">
        <v>61</v>
      </c>
      <c r="B955" s="3074">
        <v>14</v>
      </c>
      <c r="C955" s="3074">
        <f t="shared" si="12"/>
        <v>-3.5714285714285712E-2</v>
      </c>
      <c r="D955" s="3072" t="s">
        <v>3326</v>
      </c>
      <c r="E955" s="3072" t="s">
        <v>3234</v>
      </c>
      <c r="F955" s="3072" t="s">
        <v>3235</v>
      </c>
      <c r="G955" s="3464" t="s">
        <v>3757</v>
      </c>
      <c r="H955" s="3465"/>
      <c r="I955" s="3074">
        <v>2016</v>
      </c>
      <c r="J955" s="3074">
        <v>2.38</v>
      </c>
    </row>
    <row r="956" spans="1:10" ht="24.75" thickBot="1">
      <c r="A956" s="3073">
        <v>62</v>
      </c>
      <c r="B956" s="3074">
        <v>14</v>
      </c>
      <c r="C956" s="3074">
        <f t="shared" si="12"/>
        <v>-3.5714285714285712E-2</v>
      </c>
      <c r="D956" s="3072" t="s">
        <v>3327</v>
      </c>
      <c r="E956" s="3072" t="s">
        <v>3234</v>
      </c>
      <c r="F956" s="3072" t="s">
        <v>3235</v>
      </c>
      <c r="G956" s="3464" t="s">
        <v>3727</v>
      </c>
      <c r="H956" s="3465"/>
      <c r="I956" s="3074">
        <v>2016</v>
      </c>
      <c r="J956" s="3074">
        <v>5.21</v>
      </c>
    </row>
    <row r="957" spans="1:10" ht="24.75" thickBot="1">
      <c r="A957" s="3073">
        <v>63</v>
      </c>
      <c r="B957" s="3074">
        <v>14</v>
      </c>
      <c r="C957" s="3074">
        <f t="shared" si="12"/>
        <v>-3.5714285714285712E-2</v>
      </c>
      <c r="D957" s="3072" t="s">
        <v>3328</v>
      </c>
      <c r="E957" s="3072" t="s">
        <v>3234</v>
      </c>
      <c r="F957" s="3072" t="s">
        <v>3235</v>
      </c>
      <c r="G957" s="3464" t="s">
        <v>3758</v>
      </c>
      <c r="H957" s="3465"/>
      <c r="I957" s="3074">
        <v>2016</v>
      </c>
      <c r="J957" s="3074">
        <v>4.67</v>
      </c>
    </row>
    <row r="958" spans="1:10">
      <c r="A958" s="3070"/>
    </row>
    <row r="960" spans="1:10" ht="14.25" thickBot="1">
      <c r="A960" s="3078"/>
    </row>
    <row r="961" spans="1:12">
      <c r="A961" s="3458" t="s">
        <v>3223</v>
      </c>
      <c r="B961" s="3458" t="s">
        <v>3224</v>
      </c>
      <c r="C961" s="3071" t="s">
        <v>3225</v>
      </c>
      <c r="D961" s="3458" t="s">
        <v>3227</v>
      </c>
      <c r="E961" s="3458" t="s">
        <v>1341</v>
      </c>
      <c r="F961" s="3458" t="s">
        <v>3228</v>
      </c>
      <c r="G961" s="3460" t="s">
        <v>3229</v>
      </c>
      <c r="H961" s="3467"/>
      <c r="I961" s="3461"/>
      <c r="J961" s="3458" t="s">
        <v>3231</v>
      </c>
      <c r="K961" s="3460" t="s">
        <v>3232</v>
      </c>
      <c r="L961" s="3461"/>
    </row>
    <row r="962" spans="1:12" ht="14.25" thickBot="1">
      <c r="A962" s="3459"/>
      <c r="B962" s="3459"/>
      <c r="C962" s="3072" t="s">
        <v>3226</v>
      </c>
      <c r="D962" s="3459"/>
      <c r="E962" s="3459"/>
      <c r="F962" s="3459"/>
      <c r="G962" s="3462" t="s">
        <v>3230</v>
      </c>
      <c r="H962" s="3468"/>
      <c r="I962" s="3463"/>
      <c r="J962" s="3459"/>
      <c r="K962" s="3462"/>
      <c r="L962" s="3463"/>
    </row>
    <row r="963" spans="1:12" ht="24.75" thickBot="1">
      <c r="A963" s="3073">
        <v>64</v>
      </c>
      <c r="B963" s="3074">
        <v>14</v>
      </c>
      <c r="C963" s="3074">
        <f t="shared" ref="C963:C990" si="13">-1/28</f>
        <v>-3.5714285714285712E-2</v>
      </c>
      <c r="D963" s="3072" t="s">
        <v>3329</v>
      </c>
      <c r="E963" s="3072" t="s">
        <v>3234</v>
      </c>
      <c r="F963" s="3072" t="s">
        <v>3235</v>
      </c>
      <c r="G963" s="3464">
        <v>8.94</v>
      </c>
      <c r="H963" s="3466"/>
      <c r="I963" s="3465"/>
      <c r="J963" s="3074">
        <v>2016</v>
      </c>
      <c r="K963" s="3464">
        <v>1.8</v>
      </c>
      <c r="L963" s="3465"/>
    </row>
    <row r="964" spans="1:12" ht="24.75" thickBot="1">
      <c r="A964" s="3073">
        <v>65</v>
      </c>
      <c r="B964" s="3074">
        <v>14</v>
      </c>
      <c r="C964" s="3074">
        <f t="shared" si="13"/>
        <v>-3.5714285714285712E-2</v>
      </c>
      <c r="D964" s="3072" t="s">
        <v>3330</v>
      </c>
      <c r="E964" s="3072" t="s">
        <v>3234</v>
      </c>
      <c r="F964" s="3072" t="s">
        <v>3235</v>
      </c>
      <c r="G964" s="3464">
        <v>8.7100000000000009</v>
      </c>
      <c r="H964" s="3466"/>
      <c r="I964" s="3465"/>
      <c r="J964" s="3074">
        <v>2016</v>
      </c>
      <c r="K964" s="3464">
        <v>1.76</v>
      </c>
      <c r="L964" s="3465"/>
    </row>
    <row r="965" spans="1:12" ht="24.75" thickBot="1">
      <c r="A965" s="3073">
        <v>66</v>
      </c>
      <c r="B965" s="3074">
        <v>14</v>
      </c>
      <c r="C965" s="3074">
        <f t="shared" si="13"/>
        <v>-3.5714285714285712E-2</v>
      </c>
      <c r="D965" s="3072" t="s">
        <v>3331</v>
      </c>
      <c r="E965" s="3072" t="s">
        <v>3234</v>
      </c>
      <c r="F965" s="3072" t="s">
        <v>3235</v>
      </c>
      <c r="G965" s="3464" t="s">
        <v>3759</v>
      </c>
      <c r="H965" s="3466"/>
      <c r="I965" s="3465"/>
      <c r="J965" s="3074">
        <v>2016</v>
      </c>
      <c r="K965" s="3464">
        <v>2.4700000000000002</v>
      </c>
      <c r="L965" s="3465"/>
    </row>
    <row r="966" spans="1:12" ht="24.75" thickBot="1">
      <c r="A966" s="3073">
        <v>67</v>
      </c>
      <c r="B966" s="3074">
        <v>14</v>
      </c>
      <c r="C966" s="3074">
        <f t="shared" si="13"/>
        <v>-3.5714285714285712E-2</v>
      </c>
      <c r="D966" s="3072" t="s">
        <v>3332</v>
      </c>
      <c r="E966" s="3072" t="s">
        <v>3234</v>
      </c>
      <c r="F966" s="3072" t="s">
        <v>3235</v>
      </c>
      <c r="G966" s="3464" t="s">
        <v>3333</v>
      </c>
      <c r="H966" s="3466"/>
      <c r="I966" s="3465"/>
      <c r="J966" s="3074">
        <v>2016</v>
      </c>
      <c r="K966" s="3464">
        <v>2.4</v>
      </c>
      <c r="L966" s="3465"/>
    </row>
    <row r="967" spans="1:12" ht="24.75" thickBot="1">
      <c r="A967" s="3073">
        <v>68</v>
      </c>
      <c r="B967" s="3074">
        <v>14</v>
      </c>
      <c r="C967" s="3074">
        <f t="shared" si="13"/>
        <v>-3.5714285714285712E-2</v>
      </c>
      <c r="D967" s="3072" t="s">
        <v>3334</v>
      </c>
      <c r="E967" s="3072" t="s">
        <v>3234</v>
      </c>
      <c r="F967" s="3072" t="s">
        <v>3235</v>
      </c>
      <c r="G967" s="3464" t="s">
        <v>3760</v>
      </c>
      <c r="H967" s="3466"/>
      <c r="I967" s="3465"/>
      <c r="J967" s="3074">
        <v>2016</v>
      </c>
      <c r="K967" s="3464">
        <v>2.21</v>
      </c>
      <c r="L967" s="3465"/>
    </row>
    <row r="968" spans="1:12" ht="24.75" thickBot="1">
      <c r="A968" s="3073">
        <v>69</v>
      </c>
      <c r="B968" s="3074">
        <v>14</v>
      </c>
      <c r="C968" s="3074">
        <f t="shared" si="13"/>
        <v>-3.5714285714285712E-2</v>
      </c>
      <c r="D968" s="3072" t="s">
        <v>3335</v>
      </c>
      <c r="E968" s="3072" t="s">
        <v>3234</v>
      </c>
      <c r="F968" s="3072" t="s">
        <v>3235</v>
      </c>
      <c r="G968" s="3464" t="s">
        <v>3649</v>
      </c>
      <c r="H968" s="3466"/>
      <c r="I968" s="3465"/>
      <c r="J968" s="3074">
        <v>2016</v>
      </c>
      <c r="K968" s="3464">
        <v>2.46</v>
      </c>
      <c r="L968" s="3465"/>
    </row>
    <row r="969" spans="1:12" ht="24.75" thickBot="1">
      <c r="A969" s="3073">
        <v>70</v>
      </c>
      <c r="B969" s="3074">
        <v>14</v>
      </c>
      <c r="C969" s="3074">
        <f t="shared" si="13"/>
        <v>-3.5714285714285712E-2</v>
      </c>
      <c r="D969" s="3072" t="s">
        <v>3336</v>
      </c>
      <c r="E969" s="3072" t="s">
        <v>3234</v>
      </c>
      <c r="F969" s="3072" t="s">
        <v>3235</v>
      </c>
      <c r="G969" s="3464" t="s">
        <v>3649</v>
      </c>
      <c r="H969" s="3466"/>
      <c r="I969" s="3465"/>
      <c r="J969" s="3074">
        <v>2016</v>
      </c>
      <c r="K969" s="3464">
        <v>2.46</v>
      </c>
      <c r="L969" s="3465"/>
    </row>
    <row r="970" spans="1:12" ht="24.75" thickBot="1">
      <c r="A970" s="3073">
        <v>71</v>
      </c>
      <c r="B970" s="3074">
        <v>14</v>
      </c>
      <c r="C970" s="3074">
        <f t="shared" si="13"/>
        <v>-3.5714285714285712E-2</v>
      </c>
      <c r="D970" s="3072" t="s">
        <v>3337</v>
      </c>
      <c r="E970" s="3072" t="s">
        <v>3234</v>
      </c>
      <c r="F970" s="3072" t="s">
        <v>3235</v>
      </c>
      <c r="G970" s="3464" t="s">
        <v>3649</v>
      </c>
      <c r="H970" s="3466"/>
      <c r="I970" s="3465"/>
      <c r="J970" s="3074">
        <v>2016</v>
      </c>
      <c r="K970" s="3464">
        <v>2.46</v>
      </c>
      <c r="L970" s="3465"/>
    </row>
    <row r="971" spans="1:12" ht="24.75" thickBot="1">
      <c r="A971" s="3073">
        <v>72</v>
      </c>
      <c r="B971" s="3074">
        <v>14</v>
      </c>
      <c r="C971" s="3074">
        <f t="shared" si="13"/>
        <v>-3.5714285714285712E-2</v>
      </c>
      <c r="D971" s="3072" t="s">
        <v>3339</v>
      </c>
      <c r="E971" s="3072" t="s">
        <v>3234</v>
      </c>
      <c r="F971" s="3072" t="s">
        <v>3235</v>
      </c>
      <c r="G971" s="3464" t="s">
        <v>3649</v>
      </c>
      <c r="H971" s="3466"/>
      <c r="I971" s="3465"/>
      <c r="J971" s="3074">
        <v>2016</v>
      </c>
      <c r="K971" s="3464">
        <v>2.46</v>
      </c>
      <c r="L971" s="3465"/>
    </row>
    <row r="972" spans="1:12" ht="24.75" thickBot="1">
      <c r="A972" s="3073">
        <v>73</v>
      </c>
      <c r="B972" s="3074">
        <v>14</v>
      </c>
      <c r="C972" s="3074">
        <f t="shared" si="13"/>
        <v>-3.5714285714285712E-2</v>
      </c>
      <c r="D972" s="3072" t="s">
        <v>3340</v>
      </c>
      <c r="E972" s="3072" t="s">
        <v>3234</v>
      </c>
      <c r="F972" s="3072" t="s">
        <v>3235</v>
      </c>
      <c r="G972" s="3464" t="s">
        <v>3760</v>
      </c>
      <c r="H972" s="3466"/>
      <c r="I972" s="3465"/>
      <c r="J972" s="3074">
        <v>2016</v>
      </c>
      <c r="K972" s="3464">
        <v>2.21</v>
      </c>
      <c r="L972" s="3465"/>
    </row>
    <row r="973" spans="1:12" ht="24.75" thickBot="1">
      <c r="A973" s="3073">
        <v>74</v>
      </c>
      <c r="B973" s="3074">
        <v>14</v>
      </c>
      <c r="C973" s="3074">
        <f t="shared" si="13"/>
        <v>-3.5714285714285712E-2</v>
      </c>
      <c r="D973" s="3072" t="s">
        <v>3341</v>
      </c>
      <c r="E973" s="3072" t="s">
        <v>3234</v>
      </c>
      <c r="F973" s="3072" t="s">
        <v>3235</v>
      </c>
      <c r="G973" s="3464" t="s">
        <v>3761</v>
      </c>
      <c r="H973" s="3466"/>
      <c r="I973" s="3465"/>
      <c r="J973" s="3074">
        <v>2016</v>
      </c>
      <c r="K973" s="3464">
        <v>4.3</v>
      </c>
      <c r="L973" s="3465"/>
    </row>
    <row r="974" spans="1:12" ht="24.75" thickBot="1">
      <c r="A974" s="3073">
        <v>75</v>
      </c>
      <c r="B974" s="3074">
        <v>14</v>
      </c>
      <c r="C974" s="3074">
        <f t="shared" si="13"/>
        <v>-3.5714285714285712E-2</v>
      </c>
      <c r="D974" s="3072" t="s">
        <v>3342</v>
      </c>
      <c r="E974" s="3072" t="s">
        <v>3234</v>
      </c>
      <c r="F974" s="3072" t="s">
        <v>3235</v>
      </c>
      <c r="G974" s="3464">
        <v>8.94</v>
      </c>
      <c r="H974" s="3466"/>
      <c r="I974" s="3465"/>
      <c r="J974" s="3074">
        <v>2016</v>
      </c>
      <c r="K974" s="3464">
        <v>1.8</v>
      </c>
      <c r="L974" s="3465"/>
    </row>
    <row r="975" spans="1:12" ht="24.75" thickBot="1">
      <c r="A975" s="3073">
        <v>76</v>
      </c>
      <c r="B975" s="3074">
        <v>14</v>
      </c>
      <c r="C975" s="3074">
        <f t="shared" si="13"/>
        <v>-3.5714285714285712E-2</v>
      </c>
      <c r="D975" s="3072" t="s">
        <v>3343</v>
      </c>
      <c r="E975" s="3072" t="s">
        <v>3234</v>
      </c>
      <c r="F975" s="3072" t="s">
        <v>3235</v>
      </c>
      <c r="G975" s="3464">
        <v>8.7100000000000009</v>
      </c>
      <c r="H975" s="3466"/>
      <c r="I975" s="3465"/>
      <c r="J975" s="3074">
        <v>2016</v>
      </c>
      <c r="K975" s="3464">
        <v>1.76</v>
      </c>
      <c r="L975" s="3465"/>
    </row>
    <row r="976" spans="1:12" ht="24.75" thickBot="1">
      <c r="A976" s="3073">
        <v>77</v>
      </c>
      <c r="B976" s="3074">
        <v>14</v>
      </c>
      <c r="C976" s="3074">
        <f t="shared" si="13"/>
        <v>-3.5714285714285712E-2</v>
      </c>
      <c r="D976" s="3072" t="s">
        <v>3344</v>
      </c>
      <c r="E976" s="3072" t="s">
        <v>3234</v>
      </c>
      <c r="F976" s="3072" t="s">
        <v>3235</v>
      </c>
      <c r="G976" s="3464" t="s">
        <v>3759</v>
      </c>
      <c r="H976" s="3466"/>
      <c r="I976" s="3465"/>
      <c r="J976" s="3074">
        <v>2016</v>
      </c>
      <c r="K976" s="3464">
        <v>2.4700000000000002</v>
      </c>
      <c r="L976" s="3465"/>
    </row>
    <row r="977" spans="1:12" ht="22.5" thickBot="1">
      <c r="A977" s="3073">
        <v>78</v>
      </c>
      <c r="B977" s="3074">
        <v>14</v>
      </c>
      <c r="C977" s="3074">
        <f t="shared" si="13"/>
        <v>-3.5714285714285712E-2</v>
      </c>
      <c r="D977" s="3083" t="s">
        <v>3762</v>
      </c>
      <c r="E977" s="3083" t="s">
        <v>3234</v>
      </c>
      <c r="F977" s="3083" t="s">
        <v>3235</v>
      </c>
      <c r="G977" s="3464" t="s">
        <v>3763</v>
      </c>
      <c r="H977" s="3466"/>
      <c r="I977" s="3465"/>
      <c r="J977" s="3074">
        <v>2016</v>
      </c>
      <c r="K977" s="3464">
        <v>4.67</v>
      </c>
      <c r="L977" s="3465"/>
    </row>
    <row r="978" spans="1:12" ht="24.75" thickBot="1">
      <c r="A978" s="3073">
        <v>79</v>
      </c>
      <c r="B978" s="3074">
        <v>14</v>
      </c>
      <c r="C978" s="3074">
        <f t="shared" si="13"/>
        <v>-3.5714285714285712E-2</v>
      </c>
      <c r="D978" s="3072" t="s">
        <v>3346</v>
      </c>
      <c r="E978" s="3072" t="s">
        <v>3234</v>
      </c>
      <c r="F978" s="3072" t="s">
        <v>3235</v>
      </c>
      <c r="G978" s="3464" t="s">
        <v>3764</v>
      </c>
      <c r="H978" s="3466"/>
      <c r="I978" s="3465"/>
      <c r="J978" s="3074">
        <v>2016</v>
      </c>
      <c r="K978" s="3464">
        <v>5.21</v>
      </c>
      <c r="L978" s="3465"/>
    </row>
    <row r="979" spans="1:12" ht="24.75" thickBot="1">
      <c r="A979" s="3073">
        <v>80</v>
      </c>
      <c r="B979" s="3074">
        <v>14</v>
      </c>
      <c r="C979" s="3074">
        <f t="shared" si="13"/>
        <v>-3.5714285714285712E-2</v>
      </c>
      <c r="D979" s="3072" t="s">
        <v>3347</v>
      </c>
      <c r="E979" s="3072" t="s">
        <v>3234</v>
      </c>
      <c r="F979" s="3072" t="s">
        <v>3235</v>
      </c>
      <c r="G979" s="3464" t="s">
        <v>3765</v>
      </c>
      <c r="H979" s="3466"/>
      <c r="I979" s="3465"/>
      <c r="J979" s="3074">
        <v>2016</v>
      </c>
      <c r="K979" s="3464">
        <v>2.38</v>
      </c>
      <c r="L979" s="3465"/>
    </row>
    <row r="980" spans="1:12" ht="24.75" thickBot="1">
      <c r="A980" s="3073">
        <v>81</v>
      </c>
      <c r="B980" s="3074">
        <v>14</v>
      </c>
      <c r="C980" s="3074">
        <f t="shared" si="13"/>
        <v>-3.5714285714285712E-2</v>
      </c>
      <c r="D980" s="3072" t="s">
        <v>3348</v>
      </c>
      <c r="E980" s="3072" t="s">
        <v>3234</v>
      </c>
      <c r="F980" s="3072" t="s">
        <v>3235</v>
      </c>
      <c r="G980" s="3464" t="s">
        <v>3766</v>
      </c>
      <c r="H980" s="3466"/>
      <c r="I980" s="3465"/>
      <c r="J980" s="3074">
        <v>2016</v>
      </c>
      <c r="K980" s="3464">
        <v>2.16</v>
      </c>
      <c r="L980" s="3465"/>
    </row>
    <row r="981" spans="1:12" ht="24.75" thickBot="1">
      <c r="A981" s="3073">
        <v>82</v>
      </c>
      <c r="B981" s="3074">
        <v>14</v>
      </c>
      <c r="C981" s="3074">
        <f t="shared" si="13"/>
        <v>-3.5714285714285712E-2</v>
      </c>
      <c r="D981" s="3072" t="s">
        <v>3349</v>
      </c>
      <c r="E981" s="3072" t="s">
        <v>3234</v>
      </c>
      <c r="F981" s="3072" t="s">
        <v>3235</v>
      </c>
      <c r="G981" s="3464" t="s">
        <v>3744</v>
      </c>
      <c r="H981" s="3466"/>
      <c r="I981" s="3465"/>
      <c r="J981" s="3074">
        <v>2016</v>
      </c>
      <c r="K981" s="3464">
        <v>2.11</v>
      </c>
      <c r="L981" s="3465"/>
    </row>
    <row r="982" spans="1:12" ht="24.75" thickBot="1">
      <c r="A982" s="3073">
        <v>83</v>
      </c>
      <c r="B982" s="3074">
        <v>14</v>
      </c>
      <c r="C982" s="3074">
        <f t="shared" si="13"/>
        <v>-3.5714285714285712E-2</v>
      </c>
      <c r="D982" s="3072" t="s">
        <v>3350</v>
      </c>
      <c r="E982" s="3072" t="s">
        <v>3234</v>
      </c>
      <c r="F982" s="3072" t="s">
        <v>3235</v>
      </c>
      <c r="G982" s="3464" t="s">
        <v>3756</v>
      </c>
      <c r="H982" s="3466"/>
      <c r="I982" s="3465"/>
      <c r="J982" s="3074">
        <v>2016</v>
      </c>
      <c r="K982" s="3464">
        <v>2.73</v>
      </c>
      <c r="L982" s="3465"/>
    </row>
    <row r="983" spans="1:12" ht="24.75" thickBot="1">
      <c r="A983" s="3073">
        <v>84</v>
      </c>
      <c r="B983" s="3074">
        <v>14</v>
      </c>
      <c r="C983" s="3074">
        <f t="shared" si="13"/>
        <v>-3.5714285714285712E-2</v>
      </c>
      <c r="D983" s="3072" t="s">
        <v>3351</v>
      </c>
      <c r="E983" s="3072" t="s">
        <v>3234</v>
      </c>
      <c r="F983" s="3072" t="s">
        <v>3235</v>
      </c>
      <c r="G983" s="3464" t="s">
        <v>3754</v>
      </c>
      <c r="H983" s="3466"/>
      <c r="I983" s="3465"/>
      <c r="J983" s="3074">
        <v>2016</v>
      </c>
      <c r="K983" s="3464">
        <v>3.49</v>
      </c>
      <c r="L983" s="3465"/>
    </row>
    <row r="984" spans="1:12" ht="24.75" thickBot="1">
      <c r="A984" s="3073">
        <v>85</v>
      </c>
      <c r="B984" s="3074">
        <v>14</v>
      </c>
      <c r="C984" s="3074">
        <f t="shared" si="13"/>
        <v>-3.5714285714285712E-2</v>
      </c>
      <c r="D984" s="3072" t="s">
        <v>3352</v>
      </c>
      <c r="E984" s="3072" t="s">
        <v>3234</v>
      </c>
      <c r="F984" s="3072" t="s">
        <v>3235</v>
      </c>
      <c r="G984" s="3464" t="s">
        <v>3746</v>
      </c>
      <c r="H984" s="3466"/>
      <c r="I984" s="3465"/>
      <c r="J984" s="3074">
        <v>2016</v>
      </c>
      <c r="K984" s="3464">
        <v>3.63</v>
      </c>
      <c r="L984" s="3465"/>
    </row>
    <row r="985" spans="1:12" ht="24.75" thickBot="1">
      <c r="A985" s="3073">
        <v>86</v>
      </c>
      <c r="B985" s="3074">
        <v>14</v>
      </c>
      <c r="C985" s="3074">
        <f t="shared" si="13"/>
        <v>-3.5714285714285712E-2</v>
      </c>
      <c r="D985" s="3072" t="s">
        <v>3353</v>
      </c>
      <c r="E985" s="3072" t="s">
        <v>3234</v>
      </c>
      <c r="F985" s="3072" t="s">
        <v>3235</v>
      </c>
      <c r="G985" s="3464" t="s">
        <v>3767</v>
      </c>
      <c r="H985" s="3466"/>
      <c r="I985" s="3465"/>
      <c r="J985" s="3074">
        <v>2016</v>
      </c>
      <c r="K985" s="3464">
        <v>2.5</v>
      </c>
      <c r="L985" s="3465"/>
    </row>
    <row r="986" spans="1:12" ht="24.75" thickBot="1">
      <c r="A986" s="3073">
        <v>87</v>
      </c>
      <c r="B986" s="3074">
        <v>14</v>
      </c>
      <c r="C986" s="3074">
        <f t="shared" si="13"/>
        <v>-3.5714285714285712E-2</v>
      </c>
      <c r="D986" s="3072" t="s">
        <v>3354</v>
      </c>
      <c r="E986" s="3072" t="s">
        <v>3234</v>
      </c>
      <c r="F986" s="3072" t="s">
        <v>3235</v>
      </c>
      <c r="G986" s="3464" t="s">
        <v>3768</v>
      </c>
      <c r="H986" s="3466"/>
      <c r="I986" s="3465"/>
      <c r="J986" s="3074">
        <v>2016</v>
      </c>
      <c r="K986" s="3464">
        <v>2.39</v>
      </c>
      <c r="L986" s="3465"/>
    </row>
    <row r="987" spans="1:12" ht="24.75" thickBot="1">
      <c r="A987" s="3073">
        <v>88</v>
      </c>
      <c r="B987" s="3074">
        <v>14</v>
      </c>
      <c r="C987" s="3074">
        <f t="shared" si="13"/>
        <v>-3.5714285714285712E-2</v>
      </c>
      <c r="D987" s="3072" t="s">
        <v>3355</v>
      </c>
      <c r="E987" s="3072" t="s">
        <v>3234</v>
      </c>
      <c r="F987" s="3072" t="s">
        <v>3235</v>
      </c>
      <c r="G987" s="3464" t="s">
        <v>3769</v>
      </c>
      <c r="H987" s="3466"/>
      <c r="I987" s="3465"/>
      <c r="J987" s="3074">
        <v>2016</v>
      </c>
      <c r="K987" s="3464">
        <v>2.85</v>
      </c>
      <c r="L987" s="3465"/>
    </row>
    <row r="988" spans="1:12" ht="24.75" thickBot="1">
      <c r="A988" s="3073">
        <v>89</v>
      </c>
      <c r="B988" s="3074">
        <v>14</v>
      </c>
      <c r="C988" s="3074">
        <f t="shared" si="13"/>
        <v>-3.5714285714285712E-2</v>
      </c>
      <c r="D988" s="3072" t="s">
        <v>3356</v>
      </c>
      <c r="E988" s="3072" t="s">
        <v>3234</v>
      </c>
      <c r="F988" s="3072" t="s">
        <v>3235</v>
      </c>
      <c r="G988" s="3464" t="s">
        <v>3770</v>
      </c>
      <c r="H988" s="3466"/>
      <c r="I988" s="3465"/>
      <c r="J988" s="3074">
        <v>2016</v>
      </c>
      <c r="K988" s="3464">
        <v>2.94</v>
      </c>
      <c r="L988" s="3465"/>
    </row>
    <row r="989" spans="1:12" ht="24.75" thickBot="1">
      <c r="A989" s="3073">
        <v>90</v>
      </c>
      <c r="B989" s="3074">
        <v>14</v>
      </c>
      <c r="C989" s="3074">
        <f t="shared" si="13"/>
        <v>-3.5714285714285712E-2</v>
      </c>
      <c r="D989" s="3072" t="s">
        <v>3357</v>
      </c>
      <c r="E989" s="3072" t="s">
        <v>3234</v>
      </c>
      <c r="F989" s="3072" t="s">
        <v>3235</v>
      </c>
      <c r="G989" s="3464" t="s">
        <v>3771</v>
      </c>
      <c r="H989" s="3466"/>
      <c r="I989" s="3465"/>
      <c r="J989" s="3074">
        <v>2016</v>
      </c>
      <c r="K989" s="3464">
        <v>2.75</v>
      </c>
      <c r="L989" s="3465"/>
    </row>
    <row r="990" spans="1:12" ht="24.75" thickBot="1">
      <c r="A990" s="3073">
        <v>91</v>
      </c>
      <c r="B990" s="3074">
        <v>14</v>
      </c>
      <c r="C990" s="3074">
        <f t="shared" si="13"/>
        <v>-3.5714285714285712E-2</v>
      </c>
      <c r="D990" s="3072" t="s">
        <v>3359</v>
      </c>
      <c r="E990" s="3072" t="s">
        <v>3234</v>
      </c>
      <c r="F990" s="3072" t="s">
        <v>3235</v>
      </c>
      <c r="G990" s="3464" t="s">
        <v>3750</v>
      </c>
      <c r="H990" s="3466"/>
      <c r="I990" s="3465"/>
      <c r="J990" s="3074">
        <v>2016</v>
      </c>
      <c r="K990" s="3464">
        <v>6.23</v>
      </c>
      <c r="L990" s="3465"/>
    </row>
    <row r="991" spans="1:12" ht="26.25" thickBot="1">
      <c r="A991" s="3073">
        <v>92</v>
      </c>
      <c r="B991" s="3074">
        <v>14</v>
      </c>
      <c r="C991" s="3079">
        <v>44224</v>
      </c>
      <c r="D991" s="3074" t="s">
        <v>3362</v>
      </c>
      <c r="E991" s="3072" t="s">
        <v>3109</v>
      </c>
      <c r="F991" s="3072" t="s">
        <v>3235</v>
      </c>
      <c r="G991" s="3471">
        <v>139</v>
      </c>
      <c r="H991" s="3472"/>
      <c r="I991" s="3074">
        <v>36</v>
      </c>
      <c r="J991" s="3074">
        <v>5665</v>
      </c>
      <c r="K991" s="3080">
        <v>78</v>
      </c>
      <c r="L991" s="3074">
        <v>95</v>
      </c>
    </row>
    <row r="992" spans="1:12" ht="26.25" thickBot="1">
      <c r="A992" s="3073">
        <v>93</v>
      </c>
      <c r="B992" s="3074">
        <v>14</v>
      </c>
      <c r="C992" s="3079">
        <v>44224</v>
      </c>
      <c r="D992" s="3074" t="s">
        <v>3365</v>
      </c>
      <c r="E992" s="3072" t="s">
        <v>3109</v>
      </c>
      <c r="F992" s="3072" t="s">
        <v>3235</v>
      </c>
      <c r="G992" s="3464" t="s">
        <v>3772</v>
      </c>
      <c r="H992" s="3466"/>
      <c r="I992" s="3465"/>
      <c r="J992" s="3074">
        <v>5665</v>
      </c>
      <c r="K992" s="3464" t="s">
        <v>3773</v>
      </c>
      <c r="L992" s="3465"/>
    </row>
    <row r="993" spans="1:12" ht="23.25" thickBot="1">
      <c r="A993" s="3073">
        <v>94</v>
      </c>
      <c r="B993" s="3074">
        <v>14</v>
      </c>
      <c r="C993" s="3079">
        <v>44224</v>
      </c>
      <c r="D993" s="3082" t="s">
        <v>3681</v>
      </c>
      <c r="E993" s="3083" t="s">
        <v>3109</v>
      </c>
      <c r="F993" s="3083" t="s">
        <v>3235</v>
      </c>
      <c r="G993" s="3464" t="s">
        <v>3774</v>
      </c>
      <c r="H993" s="3466"/>
      <c r="I993" s="3465"/>
      <c r="J993" s="3074">
        <v>5665</v>
      </c>
      <c r="K993" s="3464" t="s">
        <v>3775</v>
      </c>
      <c r="L993" s="3465"/>
    </row>
    <row r="994" spans="1:12" ht="23.25" thickBot="1">
      <c r="A994" s="3073">
        <v>95</v>
      </c>
      <c r="B994" s="3074">
        <v>14</v>
      </c>
      <c r="C994" s="3079">
        <v>44224</v>
      </c>
      <c r="D994" s="3082" t="s">
        <v>3776</v>
      </c>
      <c r="E994" s="3083" t="s">
        <v>3109</v>
      </c>
      <c r="F994" s="3083" t="s">
        <v>3235</v>
      </c>
      <c r="G994" s="3464" t="s">
        <v>3774</v>
      </c>
      <c r="H994" s="3466"/>
      <c r="I994" s="3465"/>
      <c r="J994" s="3074">
        <v>5665</v>
      </c>
      <c r="K994" s="3464" t="s">
        <v>3775</v>
      </c>
      <c r="L994" s="3465"/>
    </row>
    <row r="995" spans="1:12" ht="26.25" thickBot="1">
      <c r="A995" s="3073">
        <v>96</v>
      </c>
      <c r="B995" s="3074">
        <v>14</v>
      </c>
      <c r="C995" s="3079">
        <v>44224</v>
      </c>
      <c r="D995" s="3074" t="s">
        <v>3372</v>
      </c>
      <c r="E995" s="3072" t="s">
        <v>3109</v>
      </c>
      <c r="F995" s="3072" t="s">
        <v>3235</v>
      </c>
      <c r="G995" s="3464" t="s">
        <v>3772</v>
      </c>
      <c r="H995" s="3466"/>
      <c r="I995" s="3465"/>
      <c r="J995" s="3074">
        <v>5665</v>
      </c>
      <c r="K995" s="3464" t="s">
        <v>3773</v>
      </c>
      <c r="L995" s="3465"/>
    </row>
    <row r="996" spans="1:12" ht="26.25" thickBot="1">
      <c r="A996" s="3073">
        <v>97</v>
      </c>
      <c r="B996" s="3074">
        <v>14</v>
      </c>
      <c r="C996" s="3079">
        <v>44224</v>
      </c>
      <c r="D996" s="3074" t="s">
        <v>3375</v>
      </c>
      <c r="E996" s="3072" t="s">
        <v>3109</v>
      </c>
      <c r="F996" s="3072" t="s">
        <v>3235</v>
      </c>
      <c r="G996" s="3464" t="s">
        <v>3777</v>
      </c>
      <c r="H996" s="3466"/>
      <c r="I996" s="3465"/>
      <c r="J996" s="3074">
        <v>5665</v>
      </c>
      <c r="K996" s="3464" t="s">
        <v>3778</v>
      </c>
      <c r="L996" s="3465"/>
    </row>
    <row r="997" spans="1:12" ht="26.25" thickBot="1">
      <c r="A997" s="3073">
        <v>98</v>
      </c>
      <c r="B997" s="3074">
        <v>14</v>
      </c>
      <c r="C997" s="3079">
        <v>44255</v>
      </c>
      <c r="D997" s="3074" t="s">
        <v>3377</v>
      </c>
      <c r="E997" s="3072" t="s">
        <v>3109</v>
      </c>
      <c r="F997" s="3072" t="s">
        <v>3235</v>
      </c>
      <c r="G997" s="3464" t="s">
        <v>3777</v>
      </c>
      <c r="H997" s="3466"/>
      <c r="I997" s="3465"/>
      <c r="J997" s="3074">
        <v>5665</v>
      </c>
      <c r="K997" s="3464" t="s">
        <v>3778</v>
      </c>
      <c r="L997" s="3465"/>
    </row>
    <row r="998" spans="1:12" ht="26.25" thickBot="1">
      <c r="A998" s="3073">
        <v>99</v>
      </c>
      <c r="B998" s="3074">
        <v>14</v>
      </c>
      <c r="C998" s="3079">
        <v>44255</v>
      </c>
      <c r="D998" s="3074" t="s">
        <v>3379</v>
      </c>
      <c r="E998" s="3072" t="s">
        <v>3109</v>
      </c>
      <c r="F998" s="3072" t="s">
        <v>3235</v>
      </c>
      <c r="G998" s="3464" t="s">
        <v>3772</v>
      </c>
      <c r="H998" s="3466"/>
      <c r="I998" s="3465"/>
      <c r="J998" s="3074">
        <v>5665</v>
      </c>
      <c r="K998" s="3464" t="s">
        <v>3773</v>
      </c>
      <c r="L998" s="3465"/>
    </row>
    <row r="999" spans="1:12" ht="26.25" thickBot="1">
      <c r="A999" s="3073">
        <v>100</v>
      </c>
      <c r="B999" s="3074">
        <v>14</v>
      </c>
      <c r="C999" s="3079">
        <v>44255</v>
      </c>
      <c r="D999" s="3074" t="s">
        <v>3779</v>
      </c>
      <c r="E999" s="3072" t="s">
        <v>3109</v>
      </c>
      <c r="F999" s="3072" t="s">
        <v>3235</v>
      </c>
      <c r="G999" s="3464" t="s">
        <v>3774</v>
      </c>
      <c r="H999" s="3466"/>
      <c r="I999" s="3465"/>
      <c r="J999" s="3074">
        <v>5665</v>
      </c>
      <c r="K999" s="3464" t="s">
        <v>3775</v>
      </c>
      <c r="L999" s="3465"/>
    </row>
    <row r="1000" spans="1:12" ht="26.25" thickBot="1">
      <c r="A1000" s="3073">
        <v>101</v>
      </c>
      <c r="B1000" s="3074">
        <v>14</v>
      </c>
      <c r="C1000" s="3079">
        <v>44255</v>
      </c>
      <c r="D1000" s="3074" t="s">
        <v>3627</v>
      </c>
      <c r="E1000" s="3072" t="s">
        <v>3109</v>
      </c>
      <c r="F1000" s="3072" t="s">
        <v>3235</v>
      </c>
      <c r="G1000" s="3464" t="s">
        <v>3774</v>
      </c>
      <c r="H1000" s="3466"/>
      <c r="I1000" s="3465"/>
      <c r="J1000" s="3074">
        <v>5665</v>
      </c>
      <c r="K1000" s="3464" t="s">
        <v>3775</v>
      </c>
      <c r="L1000" s="3465"/>
    </row>
    <row r="1001" spans="1:12" ht="26.25" thickBot="1">
      <c r="A1001" s="3073">
        <v>102</v>
      </c>
      <c r="B1001" s="3074">
        <v>14</v>
      </c>
      <c r="C1001" s="3079">
        <v>44255</v>
      </c>
      <c r="D1001" s="3074" t="s">
        <v>3386</v>
      </c>
      <c r="E1001" s="3072" t="s">
        <v>3109</v>
      </c>
      <c r="F1001" s="3072" t="s">
        <v>3235</v>
      </c>
      <c r="G1001" s="3075">
        <v>9</v>
      </c>
      <c r="H1001" s="3470" t="s">
        <v>3780</v>
      </c>
      <c r="I1001" s="3473"/>
      <c r="J1001" s="3074">
        <v>5665</v>
      </c>
      <c r="K1001" s="3080">
        <v>53</v>
      </c>
      <c r="L1001" s="3074">
        <v>70</v>
      </c>
    </row>
    <row r="1002" spans="1:12" ht="26.25" thickBot="1">
      <c r="A1002" s="3073">
        <v>103</v>
      </c>
      <c r="B1002" s="3074">
        <v>14</v>
      </c>
      <c r="C1002" s="3079">
        <v>44255</v>
      </c>
      <c r="D1002" s="3074" t="s">
        <v>3387</v>
      </c>
      <c r="E1002" s="3072" t="s">
        <v>3109</v>
      </c>
      <c r="F1002" s="3072" t="s">
        <v>3235</v>
      </c>
      <c r="G1002" s="3464" t="s">
        <v>3777</v>
      </c>
      <c r="H1002" s="3466"/>
      <c r="I1002" s="3465"/>
      <c r="J1002" s="3074">
        <v>5665</v>
      </c>
      <c r="K1002" s="3464" t="s">
        <v>3778</v>
      </c>
      <c r="L1002" s="3465"/>
    </row>
    <row r="1003" spans="1:12" ht="26.25" thickBot="1">
      <c r="A1003" s="3073">
        <v>104</v>
      </c>
      <c r="B1003" s="3074">
        <v>14</v>
      </c>
      <c r="C1003" s="3079">
        <v>44283</v>
      </c>
      <c r="D1003" s="3074" t="s">
        <v>3390</v>
      </c>
      <c r="E1003" s="3072" t="s">
        <v>3109</v>
      </c>
      <c r="F1003" s="3072" t="s">
        <v>3235</v>
      </c>
      <c r="G1003" s="3464" t="s">
        <v>3781</v>
      </c>
      <c r="H1003" s="3466"/>
      <c r="I1003" s="3465"/>
      <c r="J1003" s="3074">
        <v>5665</v>
      </c>
      <c r="K1003" s="3464" t="s">
        <v>3782</v>
      </c>
      <c r="L1003" s="3465"/>
    </row>
    <row r="1004" spans="1:12" ht="26.25" thickBot="1">
      <c r="A1004" s="3073">
        <v>105</v>
      </c>
      <c r="B1004" s="3074">
        <v>14</v>
      </c>
      <c r="C1004" s="3079">
        <v>44283</v>
      </c>
      <c r="D1004" s="3074" t="s">
        <v>3392</v>
      </c>
      <c r="E1004" s="3072" t="s">
        <v>3109</v>
      </c>
      <c r="F1004" s="3072" t="s">
        <v>3235</v>
      </c>
      <c r="G1004" s="3464" t="s">
        <v>3783</v>
      </c>
      <c r="H1004" s="3466"/>
      <c r="I1004" s="3465"/>
      <c r="J1004" s="3074">
        <v>5665</v>
      </c>
      <c r="K1004" s="3464" t="s">
        <v>3784</v>
      </c>
      <c r="L1004" s="3465"/>
    </row>
    <row r="1005" spans="1:12" ht="26.25" thickBot="1">
      <c r="A1005" s="3073">
        <v>106</v>
      </c>
      <c r="B1005" s="3074">
        <v>14</v>
      </c>
      <c r="C1005" s="3079">
        <v>44283</v>
      </c>
      <c r="D1005" s="3074" t="s">
        <v>3393</v>
      </c>
      <c r="E1005" s="3072" t="s">
        <v>3109</v>
      </c>
      <c r="F1005" s="3072" t="s">
        <v>3235</v>
      </c>
      <c r="G1005" s="3464" t="s">
        <v>3785</v>
      </c>
      <c r="H1005" s="3466"/>
      <c r="I1005" s="3465"/>
      <c r="J1005" s="3074">
        <v>5665</v>
      </c>
      <c r="K1005" s="3464" t="s">
        <v>3786</v>
      </c>
      <c r="L1005" s="3465"/>
    </row>
    <row r="1006" spans="1:12" ht="26.25" thickBot="1">
      <c r="A1006" s="3073">
        <v>107</v>
      </c>
      <c r="B1006" s="3074">
        <v>14</v>
      </c>
      <c r="C1006" s="3079">
        <v>44283</v>
      </c>
      <c r="D1006" s="3074" t="s">
        <v>3394</v>
      </c>
      <c r="E1006" s="3072" t="s">
        <v>3109</v>
      </c>
      <c r="F1006" s="3072" t="s">
        <v>3235</v>
      </c>
      <c r="G1006" s="3464" t="s">
        <v>3785</v>
      </c>
      <c r="H1006" s="3466"/>
      <c r="I1006" s="3465"/>
      <c r="J1006" s="3074">
        <v>5665</v>
      </c>
      <c r="K1006" s="3464" t="s">
        <v>3786</v>
      </c>
      <c r="L1006" s="3465"/>
    </row>
    <row r="1007" spans="1:12" ht="26.25" thickBot="1">
      <c r="A1007" s="3073">
        <v>108</v>
      </c>
      <c r="B1007" s="3074">
        <v>14</v>
      </c>
      <c r="C1007" s="3079">
        <v>44283</v>
      </c>
      <c r="D1007" s="3074" t="s">
        <v>3395</v>
      </c>
      <c r="E1007" s="3072" t="s">
        <v>3109</v>
      </c>
      <c r="F1007" s="3072" t="s">
        <v>3235</v>
      </c>
      <c r="G1007" s="3464" t="s">
        <v>3783</v>
      </c>
      <c r="H1007" s="3466"/>
      <c r="I1007" s="3465"/>
      <c r="J1007" s="3074">
        <v>5665</v>
      </c>
      <c r="K1007" s="3464" t="s">
        <v>3784</v>
      </c>
      <c r="L1007" s="3465"/>
    </row>
    <row r="1008" spans="1:12" ht="26.25" thickBot="1">
      <c r="A1008" s="3073">
        <v>109</v>
      </c>
      <c r="B1008" s="3074">
        <v>14</v>
      </c>
      <c r="C1008" s="3079">
        <v>44283</v>
      </c>
      <c r="D1008" s="3074" t="s">
        <v>3397</v>
      </c>
      <c r="E1008" s="3072" t="s">
        <v>3109</v>
      </c>
      <c r="F1008" s="3072" t="s">
        <v>3235</v>
      </c>
      <c r="G1008" s="3471">
        <v>138</v>
      </c>
      <c r="H1008" s="3472"/>
      <c r="I1008" s="3074">
        <v>94</v>
      </c>
      <c r="J1008" s="3074">
        <v>5665</v>
      </c>
      <c r="K1008" s="3080">
        <v>78</v>
      </c>
      <c r="L1008" s="3074">
        <v>71</v>
      </c>
    </row>
    <row r="1009" spans="1:12" ht="26.25" thickBot="1">
      <c r="A1009" s="3073">
        <v>110</v>
      </c>
      <c r="B1009" s="3074">
        <v>14</v>
      </c>
      <c r="C1009" s="3079">
        <v>44314</v>
      </c>
      <c r="D1009" s="3074" t="s">
        <v>3398</v>
      </c>
      <c r="E1009" s="3072" t="s">
        <v>3109</v>
      </c>
      <c r="F1009" s="3072" t="s">
        <v>3235</v>
      </c>
      <c r="G1009" s="3464" t="s">
        <v>3781</v>
      </c>
      <c r="H1009" s="3466"/>
      <c r="I1009" s="3465"/>
      <c r="J1009" s="3074">
        <v>5665</v>
      </c>
      <c r="K1009" s="3464" t="s">
        <v>3782</v>
      </c>
      <c r="L1009" s="3465"/>
    </row>
    <row r="1010" spans="1:12" ht="26.25" thickBot="1">
      <c r="A1010" s="3073">
        <v>111</v>
      </c>
      <c r="B1010" s="3074">
        <v>14</v>
      </c>
      <c r="C1010" s="3079">
        <v>44314</v>
      </c>
      <c r="D1010" s="3074" t="s">
        <v>3631</v>
      </c>
      <c r="E1010" s="3072" t="s">
        <v>3109</v>
      </c>
      <c r="F1010" s="3072" t="s">
        <v>3235</v>
      </c>
      <c r="G1010" s="3464" t="s">
        <v>3783</v>
      </c>
      <c r="H1010" s="3466"/>
      <c r="I1010" s="3465"/>
      <c r="J1010" s="3074">
        <v>5665</v>
      </c>
      <c r="K1010" s="3464" t="s">
        <v>3784</v>
      </c>
      <c r="L1010" s="3465"/>
    </row>
    <row r="1011" spans="1:12" ht="23.25" thickBot="1">
      <c r="A1011" s="3073">
        <v>112</v>
      </c>
      <c r="B1011" s="3074">
        <v>14</v>
      </c>
      <c r="C1011" s="3079">
        <v>44314</v>
      </c>
      <c r="D1011" s="3082" t="s">
        <v>3787</v>
      </c>
      <c r="E1011" s="3083" t="s">
        <v>3109</v>
      </c>
      <c r="F1011" s="3083" t="s">
        <v>3235</v>
      </c>
      <c r="G1011" s="3464" t="s">
        <v>3785</v>
      </c>
      <c r="H1011" s="3466"/>
      <c r="I1011" s="3465"/>
      <c r="J1011" s="3074">
        <v>5665</v>
      </c>
      <c r="K1011" s="3464" t="s">
        <v>3786</v>
      </c>
      <c r="L1011" s="3465"/>
    </row>
    <row r="1012" spans="1:12" ht="26.25" thickBot="1">
      <c r="A1012" s="3073">
        <v>113</v>
      </c>
      <c r="B1012" s="3074">
        <v>14</v>
      </c>
      <c r="C1012" s="3079">
        <v>44314</v>
      </c>
      <c r="D1012" s="3074" t="s">
        <v>3402</v>
      </c>
      <c r="E1012" s="3072" t="s">
        <v>3109</v>
      </c>
      <c r="F1012" s="3072" t="s">
        <v>3235</v>
      </c>
      <c r="G1012" s="3464" t="s">
        <v>3785</v>
      </c>
      <c r="H1012" s="3466"/>
      <c r="I1012" s="3465"/>
      <c r="J1012" s="3074">
        <v>5665</v>
      </c>
      <c r="K1012" s="3464" t="s">
        <v>3786</v>
      </c>
      <c r="L1012" s="3465"/>
    </row>
    <row r="1013" spans="1:12" ht="26.25" thickBot="1">
      <c r="A1013" s="3073">
        <v>114</v>
      </c>
      <c r="B1013" s="3074">
        <v>14</v>
      </c>
      <c r="C1013" s="3079">
        <v>44314</v>
      </c>
      <c r="D1013" s="3074" t="s">
        <v>3403</v>
      </c>
      <c r="E1013" s="3072" t="s">
        <v>3109</v>
      </c>
      <c r="F1013" s="3072" t="s">
        <v>3235</v>
      </c>
      <c r="G1013" s="3464" t="s">
        <v>3783</v>
      </c>
      <c r="H1013" s="3466"/>
      <c r="I1013" s="3465"/>
      <c r="J1013" s="3074">
        <v>5665</v>
      </c>
      <c r="K1013" s="3464" t="s">
        <v>3784</v>
      </c>
      <c r="L1013" s="3465"/>
    </row>
    <row r="1014" spans="1:12" ht="26.25" thickBot="1">
      <c r="A1014" s="3073">
        <v>115</v>
      </c>
      <c r="B1014" s="3074">
        <v>14</v>
      </c>
      <c r="C1014" s="3079">
        <v>44314</v>
      </c>
      <c r="D1014" s="3074" t="s">
        <v>3404</v>
      </c>
      <c r="E1014" s="3072" t="s">
        <v>3109</v>
      </c>
      <c r="F1014" s="3072" t="s">
        <v>3235</v>
      </c>
      <c r="G1014" s="3464" t="s">
        <v>3781</v>
      </c>
      <c r="H1014" s="3466"/>
      <c r="I1014" s="3465"/>
      <c r="J1014" s="3074">
        <v>5665</v>
      </c>
      <c r="K1014" s="3464" t="s">
        <v>3782</v>
      </c>
      <c r="L1014" s="3465"/>
    </row>
    <row r="1015" spans="1:12" ht="26.25" thickBot="1">
      <c r="A1015" s="3073">
        <v>116</v>
      </c>
      <c r="B1015" s="3074">
        <v>14</v>
      </c>
      <c r="C1015" s="3079">
        <v>44344</v>
      </c>
      <c r="D1015" s="3074" t="s">
        <v>3405</v>
      </c>
      <c r="E1015" s="3072" t="s">
        <v>3109</v>
      </c>
      <c r="F1015" s="3072" t="s">
        <v>3235</v>
      </c>
      <c r="G1015" s="3464" t="s">
        <v>3781</v>
      </c>
      <c r="H1015" s="3466"/>
      <c r="I1015" s="3465"/>
      <c r="J1015" s="3074">
        <v>5665</v>
      </c>
      <c r="K1015" s="3464" t="s">
        <v>3782</v>
      </c>
      <c r="L1015" s="3465"/>
    </row>
    <row r="1016" spans="1:12" ht="26.25" thickBot="1">
      <c r="A1016" s="3073">
        <v>117</v>
      </c>
      <c r="B1016" s="3074">
        <v>14</v>
      </c>
      <c r="C1016" s="3079">
        <v>44344</v>
      </c>
      <c r="D1016" s="3074" t="s">
        <v>3406</v>
      </c>
      <c r="E1016" s="3072" t="s">
        <v>3109</v>
      </c>
      <c r="F1016" s="3072" t="s">
        <v>3235</v>
      </c>
      <c r="G1016" s="3464" t="s">
        <v>3783</v>
      </c>
      <c r="H1016" s="3466"/>
      <c r="I1016" s="3465"/>
      <c r="J1016" s="3074">
        <v>5665</v>
      </c>
      <c r="K1016" s="3464" t="s">
        <v>3784</v>
      </c>
      <c r="L1016" s="3465"/>
    </row>
    <row r="1017" spans="1:12" ht="26.25" thickBot="1">
      <c r="A1017" s="3073">
        <v>118</v>
      </c>
      <c r="B1017" s="3074">
        <v>14</v>
      </c>
      <c r="C1017" s="3079">
        <v>44344</v>
      </c>
      <c r="D1017" s="3074" t="s">
        <v>3407</v>
      </c>
      <c r="E1017" s="3072" t="s">
        <v>3109</v>
      </c>
      <c r="F1017" s="3072" t="s">
        <v>3235</v>
      </c>
      <c r="G1017" s="3464" t="s">
        <v>3785</v>
      </c>
      <c r="H1017" s="3466"/>
      <c r="I1017" s="3465"/>
      <c r="J1017" s="3074">
        <v>5665</v>
      </c>
      <c r="K1017" s="3464" t="s">
        <v>3786</v>
      </c>
      <c r="L1017" s="3465"/>
    </row>
    <row r="1018" spans="1:12">
      <c r="A1018" s="3089"/>
      <c r="B1018" s="3089"/>
      <c r="C1018" s="3089"/>
      <c r="D1018" s="3089"/>
      <c r="E1018" s="3089"/>
      <c r="F1018" s="3089"/>
      <c r="G1018" s="3089"/>
      <c r="H1018" s="3089"/>
      <c r="I1018" s="3089"/>
      <c r="J1018" s="3089"/>
      <c r="K1018" s="3089"/>
      <c r="L1018" s="3089"/>
    </row>
    <row r="1019" spans="1:12">
      <c r="A1019" s="3070"/>
    </row>
    <row r="1021" spans="1:12" ht="14.25" thickBot="1">
      <c r="A1021" s="3078"/>
    </row>
    <row r="1022" spans="1:12">
      <c r="A1022" s="3458" t="s">
        <v>3223</v>
      </c>
      <c r="B1022" s="3458" t="s">
        <v>3224</v>
      </c>
      <c r="C1022" s="3071" t="s">
        <v>3225</v>
      </c>
      <c r="D1022" s="3458" t="s">
        <v>3227</v>
      </c>
      <c r="E1022" s="3458" t="s">
        <v>1341</v>
      </c>
      <c r="F1022" s="3458" t="s">
        <v>3228</v>
      </c>
      <c r="G1022" s="3460" t="s">
        <v>3229</v>
      </c>
      <c r="H1022" s="3467"/>
      <c r="I1022" s="3461"/>
      <c r="J1022" s="3458" t="s">
        <v>3231</v>
      </c>
      <c r="K1022" s="3460" t="s">
        <v>3232</v>
      </c>
      <c r="L1022" s="3461"/>
    </row>
    <row r="1023" spans="1:12" ht="14.25" thickBot="1">
      <c r="A1023" s="3459"/>
      <c r="B1023" s="3459"/>
      <c r="C1023" s="3072" t="s">
        <v>3226</v>
      </c>
      <c r="D1023" s="3459"/>
      <c r="E1023" s="3459"/>
      <c r="F1023" s="3459"/>
      <c r="G1023" s="3462" t="s">
        <v>3230</v>
      </c>
      <c r="H1023" s="3468"/>
      <c r="I1023" s="3463"/>
      <c r="J1023" s="3459"/>
      <c r="K1023" s="3462"/>
      <c r="L1023" s="3463"/>
    </row>
    <row r="1024" spans="1:12" ht="26.25" thickBot="1">
      <c r="A1024" s="3073">
        <v>119</v>
      </c>
      <c r="B1024" s="3074">
        <v>14</v>
      </c>
      <c r="C1024" s="3079">
        <v>44344</v>
      </c>
      <c r="D1024" s="3074" t="s">
        <v>3408</v>
      </c>
      <c r="E1024" s="3072" t="s">
        <v>3109</v>
      </c>
      <c r="F1024" s="3072" t="s">
        <v>3235</v>
      </c>
      <c r="G1024" s="3464" t="s">
        <v>3785</v>
      </c>
      <c r="H1024" s="3466"/>
      <c r="I1024" s="3465"/>
      <c r="J1024" s="3074">
        <v>5665</v>
      </c>
      <c r="K1024" s="3464" t="s">
        <v>3786</v>
      </c>
      <c r="L1024" s="3465"/>
    </row>
    <row r="1025" spans="1:12" ht="26.25" thickBot="1">
      <c r="A1025" s="3073">
        <v>120</v>
      </c>
      <c r="B1025" s="3074">
        <v>14</v>
      </c>
      <c r="C1025" s="3079">
        <v>44344</v>
      </c>
      <c r="D1025" s="3074" t="s">
        <v>3409</v>
      </c>
      <c r="E1025" s="3072" t="s">
        <v>3109</v>
      </c>
      <c r="F1025" s="3072" t="s">
        <v>3235</v>
      </c>
      <c r="G1025" s="3075">
        <v>9</v>
      </c>
      <c r="H1025" s="3470" t="s">
        <v>3788</v>
      </c>
      <c r="I1025" s="3473"/>
      <c r="J1025" s="3074">
        <v>5665</v>
      </c>
      <c r="K1025" s="3080">
        <v>53</v>
      </c>
      <c r="L1025" s="3074">
        <v>66</v>
      </c>
    </row>
    <row r="1026" spans="1:12" ht="26.25" thickBot="1">
      <c r="A1026" s="3073">
        <v>121</v>
      </c>
      <c r="B1026" s="3074">
        <v>14</v>
      </c>
      <c r="C1026" s="3079">
        <v>44344</v>
      </c>
      <c r="D1026" s="3074" t="s">
        <v>3410</v>
      </c>
      <c r="E1026" s="3072" t="s">
        <v>3109</v>
      </c>
      <c r="F1026" s="3072" t="s">
        <v>3235</v>
      </c>
      <c r="G1026" s="3464" t="s">
        <v>3781</v>
      </c>
      <c r="H1026" s="3466"/>
      <c r="I1026" s="3465"/>
      <c r="J1026" s="3074">
        <v>5665</v>
      </c>
      <c r="K1026" s="3464" t="s">
        <v>3782</v>
      </c>
      <c r="L1026" s="3465"/>
    </row>
    <row r="1027" spans="1:12" ht="23.25" thickBot="1">
      <c r="A1027" s="3073">
        <v>122</v>
      </c>
      <c r="B1027" s="3074">
        <v>14</v>
      </c>
      <c r="C1027" s="3079">
        <v>44375</v>
      </c>
      <c r="D1027" s="3082" t="s">
        <v>3696</v>
      </c>
      <c r="E1027" s="3083" t="s">
        <v>3109</v>
      </c>
      <c r="F1027" s="3083" t="s">
        <v>3235</v>
      </c>
      <c r="G1027" s="3464" t="s">
        <v>3781</v>
      </c>
      <c r="H1027" s="3466"/>
      <c r="I1027" s="3465"/>
      <c r="J1027" s="3074">
        <v>5665</v>
      </c>
      <c r="K1027" s="3464" t="s">
        <v>3782</v>
      </c>
      <c r="L1027" s="3465"/>
    </row>
    <row r="1028" spans="1:12" ht="23.25" thickBot="1">
      <c r="A1028" s="3073">
        <v>123</v>
      </c>
      <c r="B1028" s="3074">
        <v>14</v>
      </c>
      <c r="C1028" s="3079">
        <v>44375</v>
      </c>
      <c r="D1028" s="3082" t="s">
        <v>3789</v>
      </c>
      <c r="E1028" s="3083" t="s">
        <v>3109</v>
      </c>
      <c r="F1028" s="3083" t="s">
        <v>3235</v>
      </c>
      <c r="G1028" s="3464" t="s">
        <v>3783</v>
      </c>
      <c r="H1028" s="3466"/>
      <c r="I1028" s="3465"/>
      <c r="J1028" s="3074">
        <v>5665</v>
      </c>
      <c r="K1028" s="3464" t="s">
        <v>3784</v>
      </c>
      <c r="L1028" s="3465"/>
    </row>
    <row r="1029" spans="1:12" ht="26.25" thickBot="1">
      <c r="A1029" s="3073">
        <v>124</v>
      </c>
      <c r="B1029" s="3074">
        <v>14</v>
      </c>
      <c r="C1029" s="3079">
        <v>44375</v>
      </c>
      <c r="D1029" s="3074" t="s">
        <v>3413</v>
      </c>
      <c r="E1029" s="3072" t="s">
        <v>3109</v>
      </c>
      <c r="F1029" s="3072" t="s">
        <v>3235</v>
      </c>
      <c r="G1029" s="3464" t="s">
        <v>3785</v>
      </c>
      <c r="H1029" s="3466"/>
      <c r="I1029" s="3465"/>
      <c r="J1029" s="3074">
        <v>5665</v>
      </c>
      <c r="K1029" s="3464" t="s">
        <v>3786</v>
      </c>
      <c r="L1029" s="3465"/>
    </row>
    <row r="1030" spans="1:12" ht="26.25" thickBot="1">
      <c r="A1030" s="3073">
        <v>125</v>
      </c>
      <c r="B1030" s="3074">
        <v>14</v>
      </c>
      <c r="C1030" s="3079">
        <v>44375</v>
      </c>
      <c r="D1030" s="3074" t="s">
        <v>3414</v>
      </c>
      <c r="E1030" s="3072" t="s">
        <v>3109</v>
      </c>
      <c r="F1030" s="3072" t="s">
        <v>3235</v>
      </c>
      <c r="G1030" s="3464" t="s">
        <v>3785</v>
      </c>
      <c r="H1030" s="3466"/>
      <c r="I1030" s="3465"/>
      <c r="J1030" s="3074">
        <v>5665</v>
      </c>
      <c r="K1030" s="3464" t="s">
        <v>3786</v>
      </c>
      <c r="L1030" s="3465"/>
    </row>
    <row r="1031" spans="1:12" ht="26.25" thickBot="1">
      <c r="A1031" s="3073">
        <v>126</v>
      </c>
      <c r="B1031" s="3074">
        <v>14</v>
      </c>
      <c r="C1031" s="3079">
        <v>44375</v>
      </c>
      <c r="D1031" s="3074" t="s">
        <v>3416</v>
      </c>
      <c r="E1031" s="3072" t="s">
        <v>3109</v>
      </c>
      <c r="F1031" s="3072" t="s">
        <v>3235</v>
      </c>
      <c r="G1031" s="3464" t="s">
        <v>3783</v>
      </c>
      <c r="H1031" s="3466"/>
      <c r="I1031" s="3465"/>
      <c r="J1031" s="3074">
        <v>5665</v>
      </c>
      <c r="K1031" s="3464" t="s">
        <v>3784</v>
      </c>
      <c r="L1031" s="3465"/>
    </row>
    <row r="1032" spans="1:12" ht="26.25" thickBot="1">
      <c r="A1032" s="3073">
        <v>127</v>
      </c>
      <c r="B1032" s="3074">
        <v>14</v>
      </c>
      <c r="C1032" s="3079">
        <v>44375</v>
      </c>
      <c r="D1032" s="3074" t="s">
        <v>3417</v>
      </c>
      <c r="E1032" s="3072" t="s">
        <v>3109</v>
      </c>
      <c r="F1032" s="3072" t="s">
        <v>3235</v>
      </c>
      <c r="G1032" s="3464" t="s">
        <v>3781</v>
      </c>
      <c r="H1032" s="3466"/>
      <c r="I1032" s="3465"/>
      <c r="J1032" s="3074">
        <v>5665</v>
      </c>
      <c r="K1032" s="3464" t="s">
        <v>3782</v>
      </c>
      <c r="L1032" s="3465"/>
    </row>
    <row r="1033" spans="1:12" ht="26.25" thickBot="1">
      <c r="A1033" s="3073">
        <v>128</v>
      </c>
      <c r="B1033" s="3074">
        <v>14</v>
      </c>
      <c r="C1033" s="3079">
        <v>44405</v>
      </c>
      <c r="D1033" s="3074" t="s">
        <v>3418</v>
      </c>
      <c r="E1033" s="3072" t="s">
        <v>3109</v>
      </c>
      <c r="F1033" s="3072" t="s">
        <v>3235</v>
      </c>
      <c r="G1033" s="3464" t="s">
        <v>3781</v>
      </c>
      <c r="H1033" s="3466"/>
      <c r="I1033" s="3465"/>
      <c r="J1033" s="3074">
        <v>5665</v>
      </c>
      <c r="K1033" s="3464" t="s">
        <v>3782</v>
      </c>
      <c r="L1033" s="3465"/>
    </row>
    <row r="1034" spans="1:12" ht="26.25" thickBot="1">
      <c r="A1034" s="3073">
        <v>129</v>
      </c>
      <c r="B1034" s="3074">
        <v>14</v>
      </c>
      <c r="C1034" s="3079">
        <v>44405</v>
      </c>
      <c r="D1034" s="3074" t="s">
        <v>3419</v>
      </c>
      <c r="E1034" s="3072" t="s">
        <v>3109</v>
      </c>
      <c r="F1034" s="3072" t="s">
        <v>3235</v>
      </c>
      <c r="G1034" s="3464" t="s">
        <v>3783</v>
      </c>
      <c r="H1034" s="3466"/>
      <c r="I1034" s="3465"/>
      <c r="J1034" s="3074">
        <v>5665</v>
      </c>
      <c r="K1034" s="3464" t="s">
        <v>3784</v>
      </c>
      <c r="L1034" s="3465"/>
    </row>
    <row r="1035" spans="1:12" ht="26.25" thickBot="1">
      <c r="A1035" s="3073">
        <v>130</v>
      </c>
      <c r="B1035" s="3074">
        <v>14</v>
      </c>
      <c r="C1035" s="3079">
        <v>44405</v>
      </c>
      <c r="D1035" s="3074" t="s">
        <v>3420</v>
      </c>
      <c r="E1035" s="3072" t="s">
        <v>3109</v>
      </c>
      <c r="F1035" s="3072" t="s">
        <v>3235</v>
      </c>
      <c r="G1035" s="3471">
        <v>118</v>
      </c>
      <c r="H1035" s="3472"/>
      <c r="I1035" s="3074">
        <v>48</v>
      </c>
      <c r="J1035" s="3074">
        <v>5665</v>
      </c>
      <c r="K1035" s="3080">
        <v>67</v>
      </c>
      <c r="L1035" s="3074">
        <v>12</v>
      </c>
    </row>
    <row r="1036" spans="1:12" ht="23.25" thickBot="1">
      <c r="A1036" s="3073">
        <v>131</v>
      </c>
      <c r="B1036" s="3074">
        <v>14</v>
      </c>
      <c r="C1036" s="3079">
        <v>44405</v>
      </c>
      <c r="D1036" s="3082" t="s">
        <v>3790</v>
      </c>
      <c r="E1036" s="3083" t="s">
        <v>3109</v>
      </c>
      <c r="F1036" s="3083" t="s">
        <v>3235</v>
      </c>
      <c r="G1036" s="3464" t="s">
        <v>3785</v>
      </c>
      <c r="H1036" s="3466"/>
      <c r="I1036" s="3465"/>
      <c r="J1036" s="3074">
        <v>5665</v>
      </c>
      <c r="K1036" s="3464" t="s">
        <v>3786</v>
      </c>
      <c r="L1036" s="3465"/>
    </row>
    <row r="1037" spans="1:12" ht="23.25" thickBot="1">
      <c r="A1037" s="3073">
        <v>132</v>
      </c>
      <c r="B1037" s="3074">
        <v>14</v>
      </c>
      <c r="C1037" s="3079">
        <v>44405</v>
      </c>
      <c r="D1037" s="3082" t="s">
        <v>3791</v>
      </c>
      <c r="E1037" s="3083" t="s">
        <v>3109</v>
      </c>
      <c r="F1037" s="3083" t="s">
        <v>3235</v>
      </c>
      <c r="G1037" s="3464" t="s">
        <v>3783</v>
      </c>
      <c r="H1037" s="3466"/>
      <c r="I1037" s="3465"/>
      <c r="J1037" s="3074">
        <v>5665</v>
      </c>
      <c r="K1037" s="3464" t="s">
        <v>3784</v>
      </c>
      <c r="L1037" s="3465"/>
    </row>
    <row r="1038" spans="1:12" ht="23.25" thickBot="1">
      <c r="A1038" s="3073">
        <v>133</v>
      </c>
      <c r="B1038" s="3074">
        <v>14</v>
      </c>
      <c r="C1038" s="3079">
        <v>44405</v>
      </c>
      <c r="D1038" s="3082" t="s">
        <v>3792</v>
      </c>
      <c r="E1038" s="3083" t="s">
        <v>3109</v>
      </c>
      <c r="F1038" s="3083" t="s">
        <v>3235</v>
      </c>
      <c r="G1038" s="3464" t="s">
        <v>3781</v>
      </c>
      <c r="H1038" s="3466"/>
      <c r="I1038" s="3465"/>
      <c r="J1038" s="3074">
        <v>5665</v>
      </c>
      <c r="K1038" s="3464" t="s">
        <v>3782</v>
      </c>
      <c r="L1038" s="3465"/>
    </row>
    <row r="1039" spans="1:12" ht="26.25" thickBot="1">
      <c r="A1039" s="3073">
        <v>134</v>
      </c>
      <c r="B1039" s="3074">
        <v>14</v>
      </c>
      <c r="C1039" s="3079">
        <v>44436</v>
      </c>
      <c r="D1039" s="3074" t="s">
        <v>3424</v>
      </c>
      <c r="E1039" s="3072" t="s">
        <v>3109</v>
      </c>
      <c r="F1039" s="3072" t="s">
        <v>3235</v>
      </c>
      <c r="G1039" s="3464" t="s">
        <v>3781</v>
      </c>
      <c r="H1039" s="3466"/>
      <c r="I1039" s="3465"/>
      <c r="J1039" s="3074">
        <v>5665</v>
      </c>
      <c r="K1039" s="3464" t="s">
        <v>3782</v>
      </c>
      <c r="L1039" s="3465"/>
    </row>
    <row r="1040" spans="1:12" ht="26.25" thickBot="1">
      <c r="A1040" s="3073">
        <v>135</v>
      </c>
      <c r="B1040" s="3074">
        <v>14</v>
      </c>
      <c r="C1040" s="3079">
        <v>44436</v>
      </c>
      <c r="D1040" s="3074" t="s">
        <v>3425</v>
      </c>
      <c r="E1040" s="3072" t="s">
        <v>3109</v>
      </c>
      <c r="F1040" s="3072" t="s">
        <v>3235</v>
      </c>
      <c r="G1040" s="3464" t="s">
        <v>3783</v>
      </c>
      <c r="H1040" s="3466"/>
      <c r="I1040" s="3465"/>
      <c r="J1040" s="3074">
        <v>5665</v>
      </c>
      <c r="K1040" s="3464" t="s">
        <v>3784</v>
      </c>
      <c r="L1040" s="3465"/>
    </row>
    <row r="1041" spans="1:12" ht="26.25" thickBot="1">
      <c r="A1041" s="3073">
        <v>136</v>
      </c>
      <c r="B1041" s="3074">
        <v>14</v>
      </c>
      <c r="C1041" s="3079">
        <v>44436</v>
      </c>
      <c r="D1041" s="3074" t="s">
        <v>3426</v>
      </c>
      <c r="E1041" s="3072" t="s">
        <v>3109</v>
      </c>
      <c r="F1041" s="3072" t="s">
        <v>3235</v>
      </c>
      <c r="G1041" s="3464" t="s">
        <v>3785</v>
      </c>
      <c r="H1041" s="3466"/>
      <c r="I1041" s="3465"/>
      <c r="J1041" s="3074">
        <v>5665</v>
      </c>
      <c r="K1041" s="3464" t="s">
        <v>3786</v>
      </c>
      <c r="L1041" s="3465"/>
    </row>
    <row r="1042" spans="1:12" ht="26.25" thickBot="1">
      <c r="A1042" s="3073">
        <v>137</v>
      </c>
      <c r="B1042" s="3074">
        <v>14</v>
      </c>
      <c r="C1042" s="3079">
        <v>44436</v>
      </c>
      <c r="D1042" s="3074" t="s">
        <v>3427</v>
      </c>
      <c r="E1042" s="3072" t="s">
        <v>3109</v>
      </c>
      <c r="F1042" s="3072" t="s">
        <v>3235</v>
      </c>
      <c r="G1042" s="3464" t="s">
        <v>3785</v>
      </c>
      <c r="H1042" s="3466"/>
      <c r="I1042" s="3465"/>
      <c r="J1042" s="3074">
        <v>5665</v>
      </c>
      <c r="K1042" s="3464" t="s">
        <v>3786</v>
      </c>
      <c r="L1042" s="3465"/>
    </row>
    <row r="1043" spans="1:12" ht="26.25" thickBot="1">
      <c r="A1043" s="3073">
        <v>138</v>
      </c>
      <c r="B1043" s="3074">
        <v>14</v>
      </c>
      <c r="C1043" s="3079">
        <v>44436</v>
      </c>
      <c r="D1043" s="3074" t="s">
        <v>3428</v>
      </c>
      <c r="E1043" s="3072" t="s">
        <v>3109</v>
      </c>
      <c r="F1043" s="3072" t="s">
        <v>3235</v>
      </c>
      <c r="G1043" s="3464" t="s">
        <v>3783</v>
      </c>
      <c r="H1043" s="3466"/>
      <c r="I1043" s="3465"/>
      <c r="J1043" s="3074">
        <v>5665</v>
      </c>
      <c r="K1043" s="3464" t="s">
        <v>3784</v>
      </c>
      <c r="L1043" s="3465"/>
    </row>
    <row r="1044" spans="1:12" ht="26.25" thickBot="1">
      <c r="A1044" s="3073">
        <v>139</v>
      </c>
      <c r="B1044" s="3074">
        <v>14</v>
      </c>
      <c r="C1044" s="3079">
        <v>44436</v>
      </c>
      <c r="D1044" s="3074" t="s">
        <v>3429</v>
      </c>
      <c r="E1044" s="3072" t="s">
        <v>3109</v>
      </c>
      <c r="F1044" s="3072" t="s">
        <v>3235</v>
      </c>
      <c r="G1044" s="3464" t="s">
        <v>3781</v>
      </c>
      <c r="H1044" s="3466"/>
      <c r="I1044" s="3465"/>
      <c r="J1044" s="3074">
        <v>5665</v>
      </c>
      <c r="K1044" s="3464" t="s">
        <v>3782</v>
      </c>
      <c r="L1044" s="3465"/>
    </row>
    <row r="1045" spans="1:12" ht="26.25" thickBot="1">
      <c r="A1045" s="3073">
        <v>140</v>
      </c>
      <c r="B1045" s="3074">
        <v>14</v>
      </c>
      <c r="C1045" s="3079">
        <v>44467</v>
      </c>
      <c r="D1045" s="3074" t="s">
        <v>3430</v>
      </c>
      <c r="E1045" s="3072" t="s">
        <v>3109</v>
      </c>
      <c r="F1045" s="3072" t="s">
        <v>3235</v>
      </c>
      <c r="G1045" s="3464" t="s">
        <v>3781</v>
      </c>
      <c r="H1045" s="3466"/>
      <c r="I1045" s="3465"/>
      <c r="J1045" s="3074">
        <v>5665</v>
      </c>
      <c r="K1045" s="3464" t="s">
        <v>3782</v>
      </c>
      <c r="L1045" s="3465"/>
    </row>
    <row r="1046" spans="1:12" ht="26.25" thickBot="1">
      <c r="A1046" s="3073">
        <v>141</v>
      </c>
      <c r="B1046" s="3074">
        <v>14</v>
      </c>
      <c r="C1046" s="3079">
        <v>44467</v>
      </c>
      <c r="D1046" s="3074" t="s">
        <v>3431</v>
      </c>
      <c r="E1046" s="3072" t="s">
        <v>3109</v>
      </c>
      <c r="F1046" s="3072" t="s">
        <v>3235</v>
      </c>
      <c r="G1046" s="3464" t="s">
        <v>3783</v>
      </c>
      <c r="H1046" s="3466"/>
      <c r="I1046" s="3465"/>
      <c r="J1046" s="3074">
        <v>5665</v>
      </c>
      <c r="K1046" s="3464" t="s">
        <v>3784</v>
      </c>
      <c r="L1046" s="3465"/>
    </row>
    <row r="1047" spans="1:12" ht="26.25" thickBot="1">
      <c r="A1047" s="3073">
        <v>142</v>
      </c>
      <c r="B1047" s="3074">
        <v>14</v>
      </c>
      <c r="C1047" s="3079">
        <v>44467</v>
      </c>
      <c r="D1047" s="3074" t="s">
        <v>3432</v>
      </c>
      <c r="E1047" s="3072" t="s">
        <v>3109</v>
      </c>
      <c r="F1047" s="3072" t="s">
        <v>3235</v>
      </c>
      <c r="G1047" s="3464" t="s">
        <v>3785</v>
      </c>
      <c r="H1047" s="3466"/>
      <c r="I1047" s="3465"/>
      <c r="J1047" s="3074">
        <v>5665</v>
      </c>
      <c r="K1047" s="3464" t="s">
        <v>3786</v>
      </c>
      <c r="L1047" s="3465"/>
    </row>
    <row r="1048" spans="1:12" ht="26.25" thickBot="1">
      <c r="A1048" s="3073">
        <v>143</v>
      </c>
      <c r="B1048" s="3074">
        <v>14</v>
      </c>
      <c r="C1048" s="3079">
        <v>44467</v>
      </c>
      <c r="D1048" s="3074" t="s">
        <v>3433</v>
      </c>
      <c r="E1048" s="3072" t="s">
        <v>3109</v>
      </c>
      <c r="F1048" s="3072" t="s">
        <v>3235</v>
      </c>
      <c r="G1048" s="3464" t="s">
        <v>3785</v>
      </c>
      <c r="H1048" s="3466"/>
      <c r="I1048" s="3465"/>
      <c r="J1048" s="3074">
        <v>5665</v>
      </c>
      <c r="K1048" s="3464" t="s">
        <v>3786</v>
      </c>
      <c r="L1048" s="3465"/>
    </row>
    <row r="1049" spans="1:12" ht="26.25" thickBot="1">
      <c r="A1049" s="3073">
        <v>144</v>
      </c>
      <c r="B1049" s="3074">
        <v>14</v>
      </c>
      <c r="C1049" s="3079">
        <v>44467</v>
      </c>
      <c r="D1049" s="3074" t="s">
        <v>3434</v>
      </c>
      <c r="E1049" s="3072" t="s">
        <v>3109</v>
      </c>
      <c r="F1049" s="3072" t="s">
        <v>3235</v>
      </c>
      <c r="G1049" s="3464" t="s">
        <v>3783</v>
      </c>
      <c r="H1049" s="3466"/>
      <c r="I1049" s="3465"/>
      <c r="J1049" s="3074">
        <v>5665</v>
      </c>
      <c r="K1049" s="3464" t="s">
        <v>3784</v>
      </c>
      <c r="L1049" s="3465"/>
    </row>
    <row r="1050" spans="1:12" ht="26.25" thickBot="1">
      <c r="A1050" s="3073">
        <v>145</v>
      </c>
      <c r="B1050" s="3074">
        <v>14</v>
      </c>
      <c r="C1050" s="3079">
        <v>44467</v>
      </c>
      <c r="D1050" s="3074" t="s">
        <v>3435</v>
      </c>
      <c r="E1050" s="3072" t="s">
        <v>3109</v>
      </c>
      <c r="F1050" s="3072" t="s">
        <v>3235</v>
      </c>
      <c r="G1050" s="3464" t="s">
        <v>3781</v>
      </c>
      <c r="H1050" s="3466"/>
      <c r="I1050" s="3465"/>
      <c r="J1050" s="3074">
        <v>5665</v>
      </c>
      <c r="K1050" s="3464" t="s">
        <v>3782</v>
      </c>
      <c r="L1050" s="3465"/>
    </row>
    <row r="1051" spans="1:12" ht="26.25" thickBot="1">
      <c r="A1051" s="3073">
        <v>146</v>
      </c>
      <c r="B1051" s="3074">
        <v>14</v>
      </c>
      <c r="C1051" s="3079">
        <v>44497</v>
      </c>
      <c r="D1051" s="3074" t="s">
        <v>3436</v>
      </c>
      <c r="E1051" s="3072" t="s">
        <v>3109</v>
      </c>
      <c r="F1051" s="3072" t="s">
        <v>3235</v>
      </c>
      <c r="G1051" s="3464" t="s">
        <v>3781</v>
      </c>
      <c r="H1051" s="3466"/>
      <c r="I1051" s="3465"/>
      <c r="J1051" s="3074">
        <v>5665</v>
      </c>
      <c r="K1051" s="3464" t="s">
        <v>3782</v>
      </c>
      <c r="L1051" s="3465"/>
    </row>
    <row r="1052" spans="1:12" ht="26.25" thickBot="1">
      <c r="A1052" s="3073">
        <v>147</v>
      </c>
      <c r="B1052" s="3074">
        <v>14</v>
      </c>
      <c r="C1052" s="3079">
        <v>44497</v>
      </c>
      <c r="D1052" s="3074" t="s">
        <v>3437</v>
      </c>
      <c r="E1052" s="3072" t="s">
        <v>3109</v>
      </c>
      <c r="F1052" s="3072" t="s">
        <v>3235</v>
      </c>
      <c r="G1052" s="3075">
        <v>9</v>
      </c>
      <c r="H1052" s="3470" t="s">
        <v>3788</v>
      </c>
      <c r="I1052" s="3473"/>
      <c r="J1052" s="3074">
        <v>5665</v>
      </c>
      <c r="K1052" s="3080">
        <v>53</v>
      </c>
      <c r="L1052" s="3074">
        <v>66</v>
      </c>
    </row>
    <row r="1053" spans="1:12" ht="26.25" thickBot="1">
      <c r="A1053" s="3073">
        <v>148</v>
      </c>
      <c r="B1053" s="3074">
        <v>14</v>
      </c>
      <c r="C1053" s="3079">
        <v>44497</v>
      </c>
      <c r="D1053" s="3074" t="s">
        <v>3438</v>
      </c>
      <c r="E1053" s="3072" t="s">
        <v>3109</v>
      </c>
      <c r="F1053" s="3072" t="s">
        <v>3235</v>
      </c>
      <c r="G1053" s="3464" t="s">
        <v>3785</v>
      </c>
      <c r="H1053" s="3466"/>
      <c r="I1053" s="3465"/>
      <c r="J1053" s="3074">
        <v>5665</v>
      </c>
      <c r="K1053" s="3464" t="s">
        <v>3786</v>
      </c>
      <c r="L1053" s="3465"/>
    </row>
    <row r="1054" spans="1:12" ht="26.25" thickBot="1">
      <c r="A1054" s="3073">
        <v>149</v>
      </c>
      <c r="B1054" s="3074">
        <v>14</v>
      </c>
      <c r="C1054" s="3079">
        <v>44497</v>
      </c>
      <c r="D1054" s="3074" t="s">
        <v>3439</v>
      </c>
      <c r="E1054" s="3072" t="s">
        <v>3109</v>
      </c>
      <c r="F1054" s="3072" t="s">
        <v>3235</v>
      </c>
      <c r="G1054" s="3464" t="s">
        <v>3785</v>
      </c>
      <c r="H1054" s="3466"/>
      <c r="I1054" s="3465"/>
      <c r="J1054" s="3074">
        <v>5665</v>
      </c>
      <c r="K1054" s="3464" t="s">
        <v>3786</v>
      </c>
      <c r="L1054" s="3465"/>
    </row>
    <row r="1055" spans="1:12" ht="26.25" thickBot="1">
      <c r="A1055" s="3073">
        <v>150</v>
      </c>
      <c r="B1055" s="3074">
        <v>14</v>
      </c>
      <c r="C1055" s="3079">
        <v>44497</v>
      </c>
      <c r="D1055" s="3074" t="s">
        <v>3440</v>
      </c>
      <c r="E1055" s="3072" t="s">
        <v>3109</v>
      </c>
      <c r="F1055" s="3072" t="s">
        <v>3235</v>
      </c>
      <c r="G1055" s="3464" t="s">
        <v>3783</v>
      </c>
      <c r="H1055" s="3466"/>
      <c r="I1055" s="3465"/>
      <c r="J1055" s="3074">
        <v>5665</v>
      </c>
      <c r="K1055" s="3464" t="s">
        <v>3784</v>
      </c>
      <c r="L1055" s="3465"/>
    </row>
    <row r="1056" spans="1:12" ht="26.25" thickBot="1">
      <c r="A1056" s="3073">
        <v>151</v>
      </c>
      <c r="B1056" s="3074">
        <v>14</v>
      </c>
      <c r="C1056" s="3079">
        <v>44497</v>
      </c>
      <c r="D1056" s="3074" t="s">
        <v>3441</v>
      </c>
      <c r="E1056" s="3072" t="s">
        <v>3109</v>
      </c>
      <c r="F1056" s="3072" t="s">
        <v>3235</v>
      </c>
      <c r="G1056" s="3464" t="s">
        <v>3781</v>
      </c>
      <c r="H1056" s="3466"/>
      <c r="I1056" s="3465"/>
      <c r="J1056" s="3074">
        <v>5665</v>
      </c>
      <c r="K1056" s="3464" t="s">
        <v>3782</v>
      </c>
      <c r="L1056" s="3465"/>
    </row>
    <row r="1057" spans="1:12" ht="26.25" thickBot="1">
      <c r="A1057" s="3073">
        <v>152</v>
      </c>
      <c r="B1057" s="3074">
        <v>14</v>
      </c>
      <c r="C1057" s="3079">
        <v>44528</v>
      </c>
      <c r="D1057" s="3074" t="s">
        <v>3442</v>
      </c>
      <c r="E1057" s="3072" t="s">
        <v>3109</v>
      </c>
      <c r="F1057" s="3072" t="s">
        <v>3235</v>
      </c>
      <c r="G1057" s="3464" t="s">
        <v>3781</v>
      </c>
      <c r="H1057" s="3466"/>
      <c r="I1057" s="3465"/>
      <c r="J1057" s="3074">
        <v>5665</v>
      </c>
      <c r="K1057" s="3464" t="s">
        <v>3782</v>
      </c>
      <c r="L1057" s="3465"/>
    </row>
    <row r="1058" spans="1:12" ht="26.25" thickBot="1">
      <c r="A1058" s="3073">
        <v>153</v>
      </c>
      <c r="B1058" s="3074">
        <v>14</v>
      </c>
      <c r="C1058" s="3079">
        <v>44528</v>
      </c>
      <c r="D1058" s="3074" t="s">
        <v>3443</v>
      </c>
      <c r="E1058" s="3072" t="s">
        <v>3109</v>
      </c>
      <c r="F1058" s="3072" t="s">
        <v>3235</v>
      </c>
      <c r="G1058" s="3464" t="s">
        <v>3783</v>
      </c>
      <c r="H1058" s="3466"/>
      <c r="I1058" s="3465"/>
      <c r="J1058" s="3074">
        <v>5665</v>
      </c>
      <c r="K1058" s="3464" t="s">
        <v>3784</v>
      </c>
      <c r="L1058" s="3465"/>
    </row>
    <row r="1059" spans="1:12" ht="26.25" thickBot="1">
      <c r="A1059" s="3073">
        <v>154</v>
      </c>
      <c r="B1059" s="3074">
        <v>14</v>
      </c>
      <c r="C1059" s="3079">
        <v>44528</v>
      </c>
      <c r="D1059" s="3074" t="s">
        <v>3444</v>
      </c>
      <c r="E1059" s="3072" t="s">
        <v>3109</v>
      </c>
      <c r="F1059" s="3072" t="s">
        <v>3235</v>
      </c>
      <c r="G1059" s="3464" t="s">
        <v>3785</v>
      </c>
      <c r="H1059" s="3466"/>
      <c r="I1059" s="3465"/>
      <c r="J1059" s="3074">
        <v>5665</v>
      </c>
      <c r="K1059" s="3464" t="s">
        <v>3786</v>
      </c>
      <c r="L1059" s="3465"/>
    </row>
    <row r="1060" spans="1:12" ht="26.25" thickBot="1">
      <c r="A1060" s="3073">
        <v>155</v>
      </c>
      <c r="B1060" s="3074">
        <v>14</v>
      </c>
      <c r="C1060" s="3079">
        <v>44528</v>
      </c>
      <c r="D1060" s="3074" t="s">
        <v>3697</v>
      </c>
      <c r="E1060" s="3072" t="s">
        <v>3109</v>
      </c>
      <c r="F1060" s="3072" t="s">
        <v>3235</v>
      </c>
      <c r="G1060" s="3464" t="s">
        <v>3785</v>
      </c>
      <c r="H1060" s="3466"/>
      <c r="I1060" s="3465"/>
      <c r="J1060" s="3074">
        <v>5665</v>
      </c>
      <c r="K1060" s="3464" t="s">
        <v>3786</v>
      </c>
      <c r="L1060" s="3465"/>
    </row>
    <row r="1061" spans="1:12" ht="26.25" thickBot="1">
      <c r="A1061" s="3073">
        <v>156</v>
      </c>
      <c r="B1061" s="3074">
        <v>14</v>
      </c>
      <c r="C1061" s="3079">
        <v>44528</v>
      </c>
      <c r="D1061" s="3074" t="s">
        <v>3635</v>
      </c>
      <c r="E1061" s="3072" t="s">
        <v>3109</v>
      </c>
      <c r="F1061" s="3072" t="s">
        <v>3235</v>
      </c>
      <c r="G1061" s="3464" t="s">
        <v>3783</v>
      </c>
      <c r="H1061" s="3466"/>
      <c r="I1061" s="3465"/>
      <c r="J1061" s="3074">
        <v>5665</v>
      </c>
      <c r="K1061" s="3464" t="s">
        <v>3784</v>
      </c>
      <c r="L1061" s="3465"/>
    </row>
    <row r="1062" spans="1:12" ht="26.25" thickBot="1">
      <c r="A1062" s="3073">
        <v>157</v>
      </c>
      <c r="B1062" s="3074">
        <v>14</v>
      </c>
      <c r="C1062" s="3079">
        <v>44528</v>
      </c>
      <c r="D1062" s="3074" t="s">
        <v>3447</v>
      </c>
      <c r="E1062" s="3072" t="s">
        <v>3109</v>
      </c>
      <c r="F1062" s="3072" t="s">
        <v>3235</v>
      </c>
      <c r="G1062" s="3471">
        <v>138</v>
      </c>
      <c r="H1062" s="3472"/>
      <c r="I1062" s="3074">
        <v>94</v>
      </c>
      <c r="J1062" s="3074">
        <v>5665</v>
      </c>
      <c r="K1062" s="3080">
        <v>78</v>
      </c>
      <c r="L1062" s="3074">
        <v>71</v>
      </c>
    </row>
    <row r="1063" spans="1:12" ht="26.25" thickBot="1">
      <c r="A1063" s="3073">
        <v>158</v>
      </c>
      <c r="B1063" s="3074">
        <v>14</v>
      </c>
      <c r="C1063" s="3079">
        <v>44558</v>
      </c>
      <c r="D1063" s="3074" t="s">
        <v>3448</v>
      </c>
      <c r="E1063" s="3072" t="s">
        <v>3109</v>
      </c>
      <c r="F1063" s="3072" t="s">
        <v>3235</v>
      </c>
      <c r="G1063" s="3464" t="s">
        <v>3781</v>
      </c>
      <c r="H1063" s="3466"/>
      <c r="I1063" s="3465"/>
      <c r="J1063" s="3074">
        <v>5665</v>
      </c>
      <c r="K1063" s="3464" t="s">
        <v>3782</v>
      </c>
      <c r="L1063" s="3465"/>
    </row>
    <row r="1064" spans="1:12" ht="26.25" thickBot="1">
      <c r="A1064" s="3073">
        <v>159</v>
      </c>
      <c r="B1064" s="3074">
        <v>14</v>
      </c>
      <c r="C1064" s="3079">
        <v>44558</v>
      </c>
      <c r="D1064" s="3074" t="s">
        <v>3449</v>
      </c>
      <c r="E1064" s="3072" t="s">
        <v>3109</v>
      </c>
      <c r="F1064" s="3072" t="s">
        <v>3235</v>
      </c>
      <c r="G1064" s="3464" t="s">
        <v>3783</v>
      </c>
      <c r="H1064" s="3466"/>
      <c r="I1064" s="3465"/>
      <c r="J1064" s="3074">
        <v>5665</v>
      </c>
      <c r="K1064" s="3464" t="s">
        <v>3784</v>
      </c>
      <c r="L1064" s="3465"/>
    </row>
    <row r="1065" spans="1:12" ht="26.25" thickBot="1">
      <c r="A1065" s="3073">
        <v>160</v>
      </c>
      <c r="B1065" s="3074">
        <v>14</v>
      </c>
      <c r="C1065" s="3079">
        <v>44558</v>
      </c>
      <c r="D1065" s="3074" t="s">
        <v>3450</v>
      </c>
      <c r="E1065" s="3072" t="s">
        <v>3109</v>
      </c>
      <c r="F1065" s="3072" t="s">
        <v>3235</v>
      </c>
      <c r="G1065" s="3464" t="s">
        <v>3785</v>
      </c>
      <c r="H1065" s="3466"/>
      <c r="I1065" s="3465"/>
      <c r="J1065" s="3074">
        <v>5665</v>
      </c>
      <c r="K1065" s="3464" t="s">
        <v>3786</v>
      </c>
      <c r="L1065" s="3465"/>
    </row>
    <row r="1066" spans="1:12" ht="26.25" thickBot="1">
      <c r="A1066" s="3073">
        <v>161</v>
      </c>
      <c r="B1066" s="3074">
        <v>14</v>
      </c>
      <c r="C1066" s="3079">
        <v>44558</v>
      </c>
      <c r="D1066" s="3074" t="s">
        <v>3451</v>
      </c>
      <c r="E1066" s="3072" t="s">
        <v>3109</v>
      </c>
      <c r="F1066" s="3072" t="s">
        <v>3235</v>
      </c>
      <c r="G1066" s="3464" t="s">
        <v>3785</v>
      </c>
      <c r="H1066" s="3466"/>
      <c r="I1066" s="3465"/>
      <c r="J1066" s="3074">
        <v>5665</v>
      </c>
      <c r="K1066" s="3464" t="s">
        <v>3786</v>
      </c>
      <c r="L1066" s="3465"/>
    </row>
    <row r="1067" spans="1:12" ht="26.25" thickBot="1">
      <c r="A1067" s="3073">
        <v>162</v>
      </c>
      <c r="B1067" s="3074">
        <v>14</v>
      </c>
      <c r="C1067" s="3079">
        <v>44558</v>
      </c>
      <c r="D1067" s="3074" t="s">
        <v>3452</v>
      </c>
      <c r="E1067" s="3072" t="s">
        <v>3109</v>
      </c>
      <c r="F1067" s="3072" t="s">
        <v>3235</v>
      </c>
      <c r="G1067" s="3464" t="s">
        <v>3783</v>
      </c>
      <c r="H1067" s="3466"/>
      <c r="I1067" s="3465"/>
      <c r="J1067" s="3074">
        <v>5665</v>
      </c>
      <c r="K1067" s="3464" t="s">
        <v>3784</v>
      </c>
      <c r="L1067" s="3465"/>
    </row>
    <row r="1068" spans="1:12" ht="26.25" thickBot="1">
      <c r="A1068" s="3073">
        <v>163</v>
      </c>
      <c r="B1068" s="3074">
        <v>14</v>
      </c>
      <c r="C1068" s="3079">
        <v>44558</v>
      </c>
      <c r="D1068" s="3074" t="s">
        <v>3453</v>
      </c>
      <c r="E1068" s="3072" t="s">
        <v>3109</v>
      </c>
      <c r="F1068" s="3072" t="s">
        <v>3235</v>
      </c>
      <c r="G1068" s="3464" t="s">
        <v>3781</v>
      </c>
      <c r="H1068" s="3466"/>
      <c r="I1068" s="3465"/>
      <c r="J1068" s="3074">
        <v>5665</v>
      </c>
      <c r="K1068" s="3464" t="s">
        <v>3782</v>
      </c>
      <c r="L1068" s="3465"/>
    </row>
    <row r="1069" spans="1:12" ht="26.25" thickBot="1">
      <c r="A1069" s="3073">
        <v>164</v>
      </c>
      <c r="B1069" s="3074">
        <v>14</v>
      </c>
      <c r="C1069" s="3074" t="s">
        <v>3454</v>
      </c>
      <c r="D1069" s="3074" t="s">
        <v>3455</v>
      </c>
      <c r="E1069" s="3072" t="s">
        <v>3109</v>
      </c>
      <c r="F1069" s="3072" t="s">
        <v>3235</v>
      </c>
      <c r="G1069" s="3471">
        <v>138</v>
      </c>
      <c r="H1069" s="3472"/>
      <c r="I1069" s="3074">
        <v>94</v>
      </c>
      <c r="J1069" s="3074">
        <v>5665</v>
      </c>
      <c r="K1069" s="3080">
        <v>78</v>
      </c>
      <c r="L1069" s="3074">
        <v>71</v>
      </c>
    </row>
    <row r="1070" spans="1:12" ht="26.25" thickBot="1">
      <c r="A1070" s="3073">
        <v>165</v>
      </c>
      <c r="B1070" s="3074">
        <v>14</v>
      </c>
      <c r="C1070" s="3074" t="s">
        <v>3454</v>
      </c>
      <c r="D1070" s="3074" t="s">
        <v>3456</v>
      </c>
      <c r="E1070" s="3072" t="s">
        <v>3109</v>
      </c>
      <c r="F1070" s="3072" t="s">
        <v>3235</v>
      </c>
      <c r="G1070" s="3464" t="s">
        <v>3783</v>
      </c>
      <c r="H1070" s="3466"/>
      <c r="I1070" s="3465"/>
      <c r="J1070" s="3074">
        <v>5665</v>
      </c>
      <c r="K1070" s="3464" t="s">
        <v>3784</v>
      </c>
      <c r="L1070" s="3465"/>
    </row>
    <row r="1071" spans="1:12" ht="26.25" thickBot="1">
      <c r="A1071" s="3073">
        <v>166</v>
      </c>
      <c r="B1071" s="3074">
        <v>14</v>
      </c>
      <c r="C1071" s="3074" t="s">
        <v>3454</v>
      </c>
      <c r="D1071" s="3074" t="s">
        <v>3637</v>
      </c>
      <c r="E1071" s="3072" t="s">
        <v>3109</v>
      </c>
      <c r="F1071" s="3072" t="s">
        <v>3235</v>
      </c>
      <c r="G1071" s="3464" t="s">
        <v>3785</v>
      </c>
      <c r="H1071" s="3466"/>
      <c r="I1071" s="3465"/>
      <c r="J1071" s="3074">
        <v>5665</v>
      </c>
      <c r="K1071" s="3464" t="s">
        <v>3786</v>
      </c>
      <c r="L1071" s="3465"/>
    </row>
    <row r="1072" spans="1:12" ht="26.25" thickBot="1">
      <c r="A1072" s="3073">
        <v>167</v>
      </c>
      <c r="B1072" s="3074">
        <v>14</v>
      </c>
      <c r="C1072" s="3074" t="s">
        <v>3454</v>
      </c>
      <c r="D1072" s="3074" t="s">
        <v>3458</v>
      </c>
      <c r="E1072" s="3072" t="s">
        <v>3109</v>
      </c>
      <c r="F1072" s="3072" t="s">
        <v>3235</v>
      </c>
      <c r="G1072" s="3464" t="s">
        <v>3785</v>
      </c>
      <c r="H1072" s="3466"/>
      <c r="I1072" s="3465"/>
      <c r="J1072" s="3074">
        <v>5665</v>
      </c>
      <c r="K1072" s="3464" t="s">
        <v>3786</v>
      </c>
      <c r="L1072" s="3465"/>
    </row>
    <row r="1073" spans="1:12" ht="26.25" thickBot="1">
      <c r="A1073" s="3073">
        <v>168</v>
      </c>
      <c r="B1073" s="3074">
        <v>14</v>
      </c>
      <c r="C1073" s="3074" t="s">
        <v>3454</v>
      </c>
      <c r="D1073" s="3074" t="s">
        <v>3459</v>
      </c>
      <c r="E1073" s="3072" t="s">
        <v>3109</v>
      </c>
      <c r="F1073" s="3072" t="s">
        <v>3235</v>
      </c>
      <c r="G1073" s="3464" t="s">
        <v>3783</v>
      </c>
      <c r="H1073" s="3466"/>
      <c r="I1073" s="3465"/>
      <c r="J1073" s="3074">
        <v>5665</v>
      </c>
      <c r="K1073" s="3464" t="s">
        <v>3784</v>
      </c>
      <c r="L1073" s="3465"/>
    </row>
    <row r="1074" spans="1:12" ht="26.25" thickBot="1">
      <c r="A1074" s="3073">
        <v>169</v>
      </c>
      <c r="B1074" s="3074">
        <v>14</v>
      </c>
      <c r="C1074" s="3074" t="s">
        <v>3454</v>
      </c>
      <c r="D1074" s="3074" t="s">
        <v>3460</v>
      </c>
      <c r="E1074" s="3072" t="s">
        <v>3109</v>
      </c>
      <c r="F1074" s="3072" t="s">
        <v>3235</v>
      </c>
      <c r="G1074" s="3464" t="s">
        <v>3781</v>
      </c>
      <c r="H1074" s="3466"/>
      <c r="I1074" s="3465"/>
      <c r="J1074" s="3074">
        <v>5665</v>
      </c>
      <c r="K1074" s="3464" t="s">
        <v>3782</v>
      </c>
      <c r="L1074" s="3465"/>
    </row>
    <row r="1075" spans="1:12" ht="26.25" thickBot="1">
      <c r="A1075" s="3073">
        <v>170</v>
      </c>
      <c r="B1075" s="3074">
        <v>14</v>
      </c>
      <c r="C1075" s="3074" t="s">
        <v>3461</v>
      </c>
      <c r="D1075" s="3074" t="s">
        <v>3462</v>
      </c>
      <c r="E1075" s="3072" t="s">
        <v>3109</v>
      </c>
      <c r="F1075" s="3072" t="s">
        <v>3235</v>
      </c>
      <c r="G1075" s="3464" t="s">
        <v>3781</v>
      </c>
      <c r="H1075" s="3466"/>
      <c r="I1075" s="3465"/>
      <c r="J1075" s="3074">
        <v>5665</v>
      </c>
      <c r="K1075" s="3464" t="s">
        <v>3782</v>
      </c>
      <c r="L1075" s="3465"/>
    </row>
    <row r="1076" spans="1:12" ht="26.25" thickBot="1">
      <c r="A1076" s="3073">
        <v>171</v>
      </c>
      <c r="B1076" s="3074">
        <v>14</v>
      </c>
      <c r="C1076" s="3074" t="s">
        <v>3461</v>
      </c>
      <c r="D1076" s="3074" t="s">
        <v>3463</v>
      </c>
      <c r="E1076" s="3072" t="s">
        <v>3109</v>
      </c>
      <c r="F1076" s="3072" t="s">
        <v>3235</v>
      </c>
      <c r="G1076" s="3464" t="s">
        <v>3783</v>
      </c>
      <c r="H1076" s="3466"/>
      <c r="I1076" s="3465"/>
      <c r="J1076" s="3074">
        <v>5665</v>
      </c>
      <c r="K1076" s="3464" t="s">
        <v>3784</v>
      </c>
      <c r="L1076" s="3465"/>
    </row>
    <row r="1077" spans="1:12" ht="26.25" thickBot="1">
      <c r="A1077" s="3073">
        <v>172</v>
      </c>
      <c r="B1077" s="3074">
        <v>14</v>
      </c>
      <c r="C1077" s="3074" t="s">
        <v>3461</v>
      </c>
      <c r="D1077" s="3074" t="s">
        <v>3464</v>
      </c>
      <c r="E1077" s="3072" t="s">
        <v>3109</v>
      </c>
      <c r="F1077" s="3072" t="s">
        <v>3235</v>
      </c>
      <c r="G1077" s="3464" t="s">
        <v>3785</v>
      </c>
      <c r="H1077" s="3466"/>
      <c r="I1077" s="3465"/>
      <c r="J1077" s="3074">
        <v>5665</v>
      </c>
      <c r="K1077" s="3464" t="s">
        <v>3786</v>
      </c>
      <c r="L1077" s="3465"/>
    </row>
    <row r="1078" spans="1:12" ht="26.25" thickBot="1">
      <c r="A1078" s="3073">
        <v>173</v>
      </c>
      <c r="B1078" s="3074">
        <v>14</v>
      </c>
      <c r="C1078" s="3074" t="s">
        <v>3461</v>
      </c>
      <c r="D1078" s="3074" t="s">
        <v>3465</v>
      </c>
      <c r="E1078" s="3072" t="s">
        <v>3109</v>
      </c>
      <c r="F1078" s="3072" t="s">
        <v>3235</v>
      </c>
      <c r="G1078" s="3464" t="s">
        <v>3785</v>
      </c>
      <c r="H1078" s="3466"/>
      <c r="I1078" s="3465"/>
      <c r="J1078" s="3074">
        <v>5665</v>
      </c>
      <c r="K1078" s="3464" t="s">
        <v>3786</v>
      </c>
      <c r="L1078" s="3465"/>
    </row>
    <row r="1079" spans="1:12">
      <c r="A1079" s="3089"/>
      <c r="B1079" s="3089"/>
      <c r="C1079" s="3089"/>
      <c r="D1079" s="3089"/>
      <c r="E1079" s="3089"/>
      <c r="F1079" s="3089"/>
      <c r="G1079" s="3089"/>
      <c r="H1079" s="3089"/>
      <c r="I1079" s="3089"/>
      <c r="J1079" s="3089"/>
      <c r="K1079" s="3089"/>
      <c r="L1079" s="3089"/>
    </row>
    <row r="1080" spans="1:12">
      <c r="A1080" s="3070"/>
    </row>
    <row r="1082" spans="1:12" ht="14.25" thickBot="1">
      <c r="A1082" s="3078"/>
    </row>
    <row r="1083" spans="1:12">
      <c r="A1083" s="3458" t="s">
        <v>3223</v>
      </c>
      <c r="B1083" s="3458" t="s">
        <v>3224</v>
      </c>
      <c r="C1083" s="3071" t="s">
        <v>3225</v>
      </c>
      <c r="D1083" s="3458" t="s">
        <v>3227</v>
      </c>
      <c r="E1083" s="3458" t="s">
        <v>1341</v>
      </c>
      <c r="F1083" s="3458" t="s">
        <v>3228</v>
      </c>
      <c r="G1083" s="3460" t="s">
        <v>3229</v>
      </c>
      <c r="H1083" s="3467"/>
      <c r="I1083" s="3461"/>
      <c r="J1083" s="3458" t="s">
        <v>3231</v>
      </c>
      <c r="K1083" s="3460" t="s">
        <v>3232</v>
      </c>
      <c r="L1083" s="3461"/>
    </row>
    <row r="1084" spans="1:12" ht="14.25" thickBot="1">
      <c r="A1084" s="3459"/>
      <c r="B1084" s="3459"/>
      <c r="C1084" s="3072" t="s">
        <v>3226</v>
      </c>
      <c r="D1084" s="3459"/>
      <c r="E1084" s="3459"/>
      <c r="F1084" s="3459"/>
      <c r="G1084" s="3462" t="s">
        <v>3230</v>
      </c>
      <c r="H1084" s="3468"/>
      <c r="I1084" s="3463"/>
      <c r="J1084" s="3459"/>
      <c r="K1084" s="3462"/>
      <c r="L1084" s="3463"/>
    </row>
    <row r="1085" spans="1:12" ht="26.25" thickBot="1">
      <c r="A1085" s="3073">
        <v>174</v>
      </c>
      <c r="B1085" s="3074">
        <v>14</v>
      </c>
      <c r="C1085" s="3074" t="s">
        <v>3461</v>
      </c>
      <c r="D1085" s="3074" t="s">
        <v>3466</v>
      </c>
      <c r="E1085" s="3072" t="s">
        <v>3109</v>
      </c>
      <c r="F1085" s="3072" t="s">
        <v>3235</v>
      </c>
      <c r="G1085" s="3464" t="s">
        <v>3783</v>
      </c>
      <c r="H1085" s="3466"/>
      <c r="I1085" s="3465"/>
      <c r="J1085" s="3074">
        <v>5665</v>
      </c>
      <c r="K1085" s="3464" t="s">
        <v>3784</v>
      </c>
      <c r="L1085" s="3465"/>
    </row>
    <row r="1086" spans="1:12" ht="26.25" thickBot="1">
      <c r="A1086" s="3073">
        <v>175</v>
      </c>
      <c r="B1086" s="3074">
        <v>14</v>
      </c>
      <c r="C1086" s="3074" t="s">
        <v>3461</v>
      </c>
      <c r="D1086" s="3074" t="s">
        <v>3467</v>
      </c>
      <c r="E1086" s="3072" t="s">
        <v>3109</v>
      </c>
      <c r="F1086" s="3072" t="s">
        <v>3235</v>
      </c>
      <c r="G1086" s="3471">
        <v>138</v>
      </c>
      <c r="H1086" s="3472"/>
      <c r="I1086" s="3074">
        <v>94</v>
      </c>
      <c r="J1086" s="3074">
        <v>5665</v>
      </c>
      <c r="K1086" s="3080">
        <v>78</v>
      </c>
      <c r="L1086" s="3074">
        <v>71</v>
      </c>
    </row>
    <row r="1087" spans="1:12" ht="23.25" thickBot="1">
      <c r="A1087" s="3073">
        <v>176</v>
      </c>
      <c r="B1087" s="3074">
        <v>14</v>
      </c>
      <c r="C1087" s="3074" t="s">
        <v>3468</v>
      </c>
      <c r="D1087" s="3082" t="s">
        <v>3701</v>
      </c>
      <c r="E1087" s="3083" t="s">
        <v>3109</v>
      </c>
      <c r="F1087" s="3083" t="s">
        <v>3235</v>
      </c>
      <c r="G1087" s="3464" t="s">
        <v>3781</v>
      </c>
      <c r="H1087" s="3466"/>
      <c r="I1087" s="3465"/>
      <c r="J1087" s="3074">
        <v>5665</v>
      </c>
      <c r="K1087" s="3464" t="s">
        <v>3782</v>
      </c>
      <c r="L1087" s="3465"/>
    </row>
    <row r="1088" spans="1:12" ht="23.25" thickBot="1">
      <c r="A1088" s="3073">
        <v>177</v>
      </c>
      <c r="B1088" s="3074">
        <v>14</v>
      </c>
      <c r="C1088" s="3074" t="s">
        <v>3468</v>
      </c>
      <c r="D1088" s="3082" t="s">
        <v>3793</v>
      </c>
      <c r="E1088" s="3083" t="s">
        <v>3109</v>
      </c>
      <c r="F1088" s="3083" t="s">
        <v>3235</v>
      </c>
      <c r="G1088" s="3464" t="s">
        <v>3783</v>
      </c>
      <c r="H1088" s="3466"/>
      <c r="I1088" s="3465"/>
      <c r="J1088" s="3074">
        <v>5665</v>
      </c>
      <c r="K1088" s="3464" t="s">
        <v>3784</v>
      </c>
      <c r="L1088" s="3465"/>
    </row>
    <row r="1089" spans="1:12" ht="23.25" thickBot="1">
      <c r="A1089" s="3073">
        <v>178</v>
      </c>
      <c r="B1089" s="3074">
        <v>14</v>
      </c>
      <c r="C1089" s="3074" t="s">
        <v>3468</v>
      </c>
      <c r="D1089" s="3090" t="s">
        <v>3794</v>
      </c>
      <c r="E1089" s="3091" t="s">
        <v>3109</v>
      </c>
      <c r="F1089" s="3091" t="s">
        <v>3235</v>
      </c>
      <c r="G1089" s="3464" t="s">
        <v>3785</v>
      </c>
      <c r="H1089" s="3466"/>
      <c r="I1089" s="3465"/>
      <c r="J1089" s="3074">
        <v>5665</v>
      </c>
      <c r="K1089" s="3464" t="s">
        <v>3786</v>
      </c>
      <c r="L1089" s="3465"/>
    </row>
    <row r="1090" spans="1:12" ht="26.25" thickBot="1">
      <c r="A1090" s="3073">
        <v>179</v>
      </c>
      <c r="B1090" s="3074">
        <v>14</v>
      </c>
      <c r="C1090" s="3074" t="s">
        <v>3468</v>
      </c>
      <c r="D1090" s="3074" t="s">
        <v>3472</v>
      </c>
      <c r="E1090" s="3072" t="s">
        <v>3109</v>
      </c>
      <c r="F1090" s="3072" t="s">
        <v>3235</v>
      </c>
      <c r="G1090" s="3464" t="s">
        <v>3785</v>
      </c>
      <c r="H1090" s="3466"/>
      <c r="I1090" s="3465"/>
      <c r="J1090" s="3074">
        <v>5665</v>
      </c>
      <c r="K1090" s="3464" t="s">
        <v>3786</v>
      </c>
      <c r="L1090" s="3465"/>
    </row>
    <row r="1091" spans="1:12" ht="26.25" thickBot="1">
      <c r="A1091" s="3073">
        <v>180</v>
      </c>
      <c r="B1091" s="3074">
        <v>14</v>
      </c>
      <c r="C1091" s="3074" t="s">
        <v>3468</v>
      </c>
      <c r="D1091" s="3074" t="s">
        <v>3473</v>
      </c>
      <c r="E1091" s="3072" t="s">
        <v>3109</v>
      </c>
      <c r="F1091" s="3072" t="s">
        <v>3235</v>
      </c>
      <c r="G1091" s="3464" t="s">
        <v>3783</v>
      </c>
      <c r="H1091" s="3466"/>
      <c r="I1091" s="3465"/>
      <c r="J1091" s="3074">
        <v>5665</v>
      </c>
      <c r="K1091" s="3464" t="s">
        <v>3784</v>
      </c>
      <c r="L1091" s="3465"/>
    </row>
    <row r="1092" spans="1:12" ht="26.25" thickBot="1">
      <c r="A1092" s="3073">
        <v>181</v>
      </c>
      <c r="B1092" s="3074">
        <v>14</v>
      </c>
      <c r="C1092" s="3074" t="s">
        <v>3468</v>
      </c>
      <c r="D1092" s="3074" t="s">
        <v>3474</v>
      </c>
      <c r="E1092" s="3072" t="s">
        <v>3109</v>
      </c>
      <c r="F1092" s="3072" t="s">
        <v>3235</v>
      </c>
      <c r="G1092" s="3464" t="s">
        <v>3781</v>
      </c>
      <c r="H1092" s="3466"/>
      <c r="I1092" s="3465"/>
      <c r="J1092" s="3074">
        <v>5665</v>
      </c>
      <c r="K1092" s="3464" t="s">
        <v>3782</v>
      </c>
      <c r="L1092" s="3465"/>
    </row>
    <row r="1093" spans="1:12" ht="26.25" thickBot="1">
      <c r="A1093" s="3073">
        <v>182</v>
      </c>
      <c r="B1093" s="3074">
        <v>14</v>
      </c>
      <c r="C1093" s="3074" t="s">
        <v>3475</v>
      </c>
      <c r="D1093" s="3074" t="s">
        <v>3476</v>
      </c>
      <c r="E1093" s="3072" t="s">
        <v>3109</v>
      </c>
      <c r="F1093" s="3072" t="s">
        <v>3235</v>
      </c>
      <c r="G1093" s="3464" t="s">
        <v>3781</v>
      </c>
      <c r="H1093" s="3466"/>
      <c r="I1093" s="3465"/>
      <c r="J1093" s="3074">
        <v>5665</v>
      </c>
      <c r="K1093" s="3464" t="s">
        <v>3782</v>
      </c>
      <c r="L1093" s="3465"/>
    </row>
    <row r="1094" spans="1:12" ht="26.25" thickBot="1">
      <c r="A1094" s="3073">
        <v>183</v>
      </c>
      <c r="B1094" s="3074">
        <v>14</v>
      </c>
      <c r="C1094" s="3074" t="s">
        <v>3475</v>
      </c>
      <c r="D1094" s="3074" t="s">
        <v>3477</v>
      </c>
      <c r="E1094" s="3072" t="s">
        <v>3109</v>
      </c>
      <c r="F1094" s="3072" t="s">
        <v>3235</v>
      </c>
      <c r="G1094" s="3464" t="s">
        <v>3783</v>
      </c>
      <c r="H1094" s="3466"/>
      <c r="I1094" s="3465"/>
      <c r="J1094" s="3074">
        <v>5665</v>
      </c>
      <c r="K1094" s="3464" t="s">
        <v>3784</v>
      </c>
      <c r="L1094" s="3465"/>
    </row>
    <row r="1095" spans="1:12" ht="26.25" thickBot="1">
      <c r="A1095" s="3073">
        <v>184</v>
      </c>
      <c r="B1095" s="3074">
        <v>14</v>
      </c>
      <c r="C1095" s="3074" t="s">
        <v>3475</v>
      </c>
      <c r="D1095" s="3074" t="s">
        <v>3478</v>
      </c>
      <c r="E1095" s="3072" t="s">
        <v>3109</v>
      </c>
      <c r="F1095" s="3072" t="s">
        <v>3235</v>
      </c>
      <c r="G1095" s="3464" t="s">
        <v>3785</v>
      </c>
      <c r="H1095" s="3466"/>
      <c r="I1095" s="3465"/>
      <c r="J1095" s="3074">
        <v>5665</v>
      </c>
      <c r="K1095" s="3464" t="s">
        <v>3786</v>
      </c>
      <c r="L1095" s="3465"/>
    </row>
    <row r="1096" spans="1:12" ht="23.25" thickBot="1">
      <c r="A1096" s="3073">
        <v>185</v>
      </c>
      <c r="B1096" s="3074">
        <v>14</v>
      </c>
      <c r="C1096" s="3074" t="s">
        <v>3475</v>
      </c>
      <c r="D1096" s="3082" t="s">
        <v>3795</v>
      </c>
      <c r="E1096" s="3083" t="s">
        <v>3109</v>
      </c>
      <c r="F1096" s="3083" t="s">
        <v>3235</v>
      </c>
      <c r="G1096" s="3471">
        <v>118</v>
      </c>
      <c r="H1096" s="3472"/>
      <c r="I1096" s="3074">
        <v>48</v>
      </c>
      <c r="J1096" s="3074">
        <v>5665</v>
      </c>
      <c r="K1096" s="3080">
        <v>67</v>
      </c>
      <c r="L1096" s="3074">
        <v>12</v>
      </c>
    </row>
    <row r="1097" spans="1:12" ht="23.25" thickBot="1">
      <c r="A1097" s="3073">
        <v>186</v>
      </c>
      <c r="B1097" s="3074">
        <v>14</v>
      </c>
      <c r="C1097" s="3074" t="s">
        <v>3475</v>
      </c>
      <c r="D1097" s="3082" t="s">
        <v>3796</v>
      </c>
      <c r="E1097" s="3083" t="s">
        <v>3109</v>
      </c>
      <c r="F1097" s="3083" t="s">
        <v>3235</v>
      </c>
      <c r="G1097" s="3464" t="s">
        <v>3783</v>
      </c>
      <c r="H1097" s="3466"/>
      <c r="I1097" s="3465"/>
      <c r="J1097" s="3074">
        <v>5665</v>
      </c>
      <c r="K1097" s="3464" t="s">
        <v>3784</v>
      </c>
      <c r="L1097" s="3465"/>
    </row>
    <row r="1098" spans="1:12" ht="23.25" thickBot="1">
      <c r="A1098" s="3073">
        <v>187</v>
      </c>
      <c r="B1098" s="3074">
        <v>14</v>
      </c>
      <c r="C1098" s="3074" t="s">
        <v>3475</v>
      </c>
      <c r="D1098" s="3082" t="s">
        <v>3797</v>
      </c>
      <c r="E1098" s="3083" t="s">
        <v>3109</v>
      </c>
      <c r="F1098" s="3083" t="s">
        <v>3235</v>
      </c>
      <c r="G1098" s="3464" t="s">
        <v>3781</v>
      </c>
      <c r="H1098" s="3466"/>
      <c r="I1098" s="3465"/>
      <c r="J1098" s="3074">
        <v>5665</v>
      </c>
      <c r="K1098" s="3464" t="s">
        <v>3782</v>
      </c>
      <c r="L1098" s="3465"/>
    </row>
    <row r="1099" spans="1:12" ht="23.25" thickBot="1">
      <c r="A1099" s="3073">
        <v>188</v>
      </c>
      <c r="B1099" s="3074">
        <v>14</v>
      </c>
      <c r="C1099" s="3074" t="s">
        <v>3482</v>
      </c>
      <c r="D1099" s="3090" t="s">
        <v>3798</v>
      </c>
      <c r="E1099" s="3091" t="s">
        <v>3109</v>
      </c>
      <c r="F1099" s="3091" t="s">
        <v>3235</v>
      </c>
      <c r="G1099" s="3464" t="s">
        <v>3781</v>
      </c>
      <c r="H1099" s="3466"/>
      <c r="I1099" s="3465"/>
      <c r="J1099" s="3074">
        <v>5665</v>
      </c>
      <c r="K1099" s="3464" t="s">
        <v>3782</v>
      </c>
      <c r="L1099" s="3465"/>
    </row>
    <row r="1100" spans="1:12" ht="26.25" thickBot="1">
      <c r="A1100" s="3073">
        <v>189</v>
      </c>
      <c r="B1100" s="3074">
        <v>14</v>
      </c>
      <c r="C1100" s="3074" t="s">
        <v>3482</v>
      </c>
      <c r="D1100" s="3074" t="s">
        <v>3484</v>
      </c>
      <c r="E1100" s="3072" t="s">
        <v>3109</v>
      </c>
      <c r="F1100" s="3072" t="s">
        <v>3235</v>
      </c>
      <c r="G1100" s="3464" t="s">
        <v>3783</v>
      </c>
      <c r="H1100" s="3466"/>
      <c r="I1100" s="3465"/>
      <c r="J1100" s="3074">
        <v>5665</v>
      </c>
      <c r="K1100" s="3464" t="s">
        <v>3784</v>
      </c>
      <c r="L1100" s="3465"/>
    </row>
    <row r="1101" spans="1:12" ht="26.25" thickBot="1">
      <c r="A1101" s="3073">
        <v>190</v>
      </c>
      <c r="B1101" s="3074">
        <v>14</v>
      </c>
      <c r="C1101" s="3074" t="s">
        <v>3482</v>
      </c>
      <c r="D1101" s="3074" t="s">
        <v>3485</v>
      </c>
      <c r="E1101" s="3072" t="s">
        <v>3109</v>
      </c>
      <c r="F1101" s="3072" t="s">
        <v>3235</v>
      </c>
      <c r="G1101" s="3464" t="s">
        <v>3785</v>
      </c>
      <c r="H1101" s="3466"/>
      <c r="I1101" s="3465"/>
      <c r="J1101" s="3074">
        <v>5665</v>
      </c>
      <c r="K1101" s="3464" t="s">
        <v>3786</v>
      </c>
      <c r="L1101" s="3465"/>
    </row>
    <row r="1102" spans="1:12" ht="26.25" thickBot="1">
      <c r="A1102" s="3073">
        <v>191</v>
      </c>
      <c r="B1102" s="3074">
        <v>14</v>
      </c>
      <c r="C1102" s="3074" t="s">
        <v>3482</v>
      </c>
      <c r="D1102" s="3074" t="s">
        <v>3486</v>
      </c>
      <c r="E1102" s="3072" t="s">
        <v>3109</v>
      </c>
      <c r="F1102" s="3072" t="s">
        <v>3235</v>
      </c>
      <c r="G1102" s="3464" t="s">
        <v>3785</v>
      </c>
      <c r="H1102" s="3466"/>
      <c r="I1102" s="3465"/>
      <c r="J1102" s="3074">
        <v>5665</v>
      </c>
      <c r="K1102" s="3464" t="s">
        <v>3786</v>
      </c>
      <c r="L1102" s="3465"/>
    </row>
    <row r="1103" spans="1:12" ht="26.25" thickBot="1">
      <c r="A1103" s="3073">
        <v>192</v>
      </c>
      <c r="B1103" s="3074">
        <v>14</v>
      </c>
      <c r="C1103" s="3074" t="s">
        <v>3482</v>
      </c>
      <c r="D1103" s="3074" t="s">
        <v>3487</v>
      </c>
      <c r="E1103" s="3072" t="s">
        <v>3109</v>
      </c>
      <c r="F1103" s="3072" t="s">
        <v>3235</v>
      </c>
      <c r="G1103" s="3464" t="s">
        <v>3783</v>
      </c>
      <c r="H1103" s="3466"/>
      <c r="I1103" s="3465"/>
      <c r="J1103" s="3074">
        <v>5665</v>
      </c>
      <c r="K1103" s="3464" t="s">
        <v>3784</v>
      </c>
      <c r="L1103" s="3465"/>
    </row>
    <row r="1104" spans="1:12" ht="26.25" thickBot="1">
      <c r="A1104" s="3073">
        <v>193</v>
      </c>
      <c r="B1104" s="3074">
        <v>14</v>
      </c>
      <c r="C1104" s="3074" t="s">
        <v>3482</v>
      </c>
      <c r="D1104" s="3074" t="s">
        <v>3488</v>
      </c>
      <c r="E1104" s="3072" t="s">
        <v>3109</v>
      </c>
      <c r="F1104" s="3072" t="s">
        <v>3235</v>
      </c>
      <c r="G1104" s="3464" t="s">
        <v>3781</v>
      </c>
      <c r="H1104" s="3466"/>
      <c r="I1104" s="3465"/>
      <c r="J1104" s="3074">
        <v>5665</v>
      </c>
      <c r="K1104" s="3464" t="s">
        <v>3782</v>
      </c>
      <c r="L1104" s="3465"/>
    </row>
    <row r="1105" spans="1:12" ht="26.25" thickBot="1">
      <c r="A1105" s="3073">
        <v>194</v>
      </c>
      <c r="B1105" s="3074">
        <v>14</v>
      </c>
      <c r="C1105" s="3074" t="s">
        <v>3489</v>
      </c>
      <c r="D1105" s="3074" t="s">
        <v>3490</v>
      </c>
      <c r="E1105" s="3072" t="s">
        <v>3109</v>
      </c>
      <c r="F1105" s="3072" t="s">
        <v>3235</v>
      </c>
      <c r="G1105" s="3464" t="s">
        <v>3781</v>
      </c>
      <c r="H1105" s="3466"/>
      <c r="I1105" s="3465"/>
      <c r="J1105" s="3074">
        <v>5665</v>
      </c>
      <c r="K1105" s="3464" t="s">
        <v>3782</v>
      </c>
      <c r="L1105" s="3465"/>
    </row>
    <row r="1106" spans="1:12" ht="26.25" thickBot="1">
      <c r="A1106" s="3073">
        <v>195</v>
      </c>
      <c r="B1106" s="3074">
        <v>14</v>
      </c>
      <c r="C1106" s="3074" t="s">
        <v>3489</v>
      </c>
      <c r="D1106" s="3074" t="s">
        <v>3491</v>
      </c>
      <c r="E1106" s="3072" t="s">
        <v>3109</v>
      </c>
      <c r="F1106" s="3072" t="s">
        <v>3235</v>
      </c>
      <c r="G1106" s="3464" t="s">
        <v>3783</v>
      </c>
      <c r="H1106" s="3466"/>
      <c r="I1106" s="3465"/>
      <c r="J1106" s="3074">
        <v>5665</v>
      </c>
      <c r="K1106" s="3464" t="s">
        <v>3784</v>
      </c>
      <c r="L1106" s="3465"/>
    </row>
    <row r="1107" spans="1:12" ht="26.25" thickBot="1">
      <c r="A1107" s="3073">
        <v>196</v>
      </c>
      <c r="B1107" s="3074">
        <v>14</v>
      </c>
      <c r="C1107" s="3074" t="s">
        <v>3489</v>
      </c>
      <c r="D1107" s="3074" t="s">
        <v>3492</v>
      </c>
      <c r="E1107" s="3072" t="s">
        <v>3109</v>
      </c>
      <c r="F1107" s="3072" t="s">
        <v>3235</v>
      </c>
      <c r="G1107" s="3464" t="s">
        <v>3785</v>
      </c>
      <c r="H1107" s="3466"/>
      <c r="I1107" s="3465"/>
      <c r="J1107" s="3074">
        <v>5665</v>
      </c>
      <c r="K1107" s="3464" t="s">
        <v>3786</v>
      </c>
      <c r="L1107" s="3465"/>
    </row>
    <row r="1108" spans="1:12" ht="26.25" thickBot="1">
      <c r="A1108" s="3073">
        <v>197</v>
      </c>
      <c r="B1108" s="3074">
        <v>14</v>
      </c>
      <c r="C1108" s="3074" t="s">
        <v>3489</v>
      </c>
      <c r="D1108" s="3074" t="s">
        <v>3493</v>
      </c>
      <c r="E1108" s="3072" t="s">
        <v>3109</v>
      </c>
      <c r="F1108" s="3072" t="s">
        <v>3235</v>
      </c>
      <c r="G1108" s="3464" t="s">
        <v>3785</v>
      </c>
      <c r="H1108" s="3466"/>
      <c r="I1108" s="3465"/>
      <c r="J1108" s="3074">
        <v>5665</v>
      </c>
      <c r="K1108" s="3464" t="s">
        <v>3786</v>
      </c>
      <c r="L1108" s="3465"/>
    </row>
    <row r="1109" spans="1:12" ht="26.25" thickBot="1">
      <c r="A1109" s="3073">
        <v>198</v>
      </c>
      <c r="B1109" s="3074">
        <v>14</v>
      </c>
      <c r="C1109" s="3074" t="s">
        <v>3489</v>
      </c>
      <c r="D1109" s="3074" t="s">
        <v>3494</v>
      </c>
      <c r="E1109" s="3072" t="s">
        <v>3109</v>
      </c>
      <c r="F1109" s="3072" t="s">
        <v>3235</v>
      </c>
      <c r="G1109" s="3464" t="s">
        <v>3783</v>
      </c>
      <c r="H1109" s="3466"/>
      <c r="I1109" s="3465"/>
      <c r="J1109" s="3074">
        <v>5665</v>
      </c>
      <c r="K1109" s="3464" t="s">
        <v>3784</v>
      </c>
      <c r="L1109" s="3465"/>
    </row>
    <row r="1110" spans="1:12" ht="26.25" thickBot="1">
      <c r="A1110" s="3073">
        <v>199</v>
      </c>
      <c r="B1110" s="3074">
        <v>14</v>
      </c>
      <c r="C1110" s="3074" t="s">
        <v>3489</v>
      </c>
      <c r="D1110" s="3074" t="s">
        <v>3495</v>
      </c>
      <c r="E1110" s="3072" t="s">
        <v>3109</v>
      </c>
      <c r="F1110" s="3072" t="s">
        <v>3235</v>
      </c>
      <c r="G1110" s="3464" t="s">
        <v>3781</v>
      </c>
      <c r="H1110" s="3466"/>
      <c r="I1110" s="3465"/>
      <c r="J1110" s="3074">
        <v>5665</v>
      </c>
      <c r="K1110" s="3464" t="s">
        <v>3782</v>
      </c>
      <c r="L1110" s="3465"/>
    </row>
    <row r="1111" spans="1:12" ht="26.25" thickBot="1">
      <c r="A1111" s="3073">
        <v>200</v>
      </c>
      <c r="B1111" s="3074">
        <v>14</v>
      </c>
      <c r="C1111" s="3074" t="s">
        <v>3496</v>
      </c>
      <c r="D1111" s="3074" t="s">
        <v>3497</v>
      </c>
      <c r="E1111" s="3072" t="s">
        <v>3109</v>
      </c>
      <c r="F1111" s="3072" t="s">
        <v>3235</v>
      </c>
      <c r="G1111" s="3464" t="s">
        <v>3781</v>
      </c>
      <c r="H1111" s="3466"/>
      <c r="I1111" s="3465"/>
      <c r="J1111" s="3074">
        <v>5665</v>
      </c>
      <c r="K1111" s="3464" t="s">
        <v>3782</v>
      </c>
      <c r="L1111" s="3465"/>
    </row>
    <row r="1112" spans="1:12" ht="26.25" thickBot="1">
      <c r="A1112" s="3073">
        <v>201</v>
      </c>
      <c r="B1112" s="3074">
        <v>14</v>
      </c>
      <c r="C1112" s="3074" t="s">
        <v>3496</v>
      </c>
      <c r="D1112" s="3074" t="s">
        <v>3498</v>
      </c>
      <c r="E1112" s="3072" t="s">
        <v>3109</v>
      </c>
      <c r="F1112" s="3072" t="s">
        <v>3235</v>
      </c>
      <c r="G1112" s="3464" t="s">
        <v>3783</v>
      </c>
      <c r="H1112" s="3466"/>
      <c r="I1112" s="3465"/>
      <c r="J1112" s="3074">
        <v>5665</v>
      </c>
      <c r="K1112" s="3464" t="s">
        <v>3784</v>
      </c>
      <c r="L1112" s="3465"/>
    </row>
    <row r="1113" spans="1:12" ht="26.25" thickBot="1">
      <c r="A1113" s="3073">
        <v>202</v>
      </c>
      <c r="B1113" s="3074">
        <v>14</v>
      </c>
      <c r="C1113" s="3074" t="s">
        <v>3496</v>
      </c>
      <c r="D1113" s="3074" t="s">
        <v>3499</v>
      </c>
      <c r="E1113" s="3072" t="s">
        <v>3109</v>
      </c>
      <c r="F1113" s="3072" t="s">
        <v>3235</v>
      </c>
      <c r="G1113" s="3471">
        <v>118</v>
      </c>
      <c r="H1113" s="3472"/>
      <c r="I1113" s="3074">
        <v>48</v>
      </c>
      <c r="J1113" s="3074">
        <v>5665</v>
      </c>
      <c r="K1113" s="3080">
        <v>67</v>
      </c>
      <c r="L1113" s="3074">
        <v>12</v>
      </c>
    </row>
    <row r="1114" spans="1:12" ht="26.25" thickBot="1">
      <c r="A1114" s="3073">
        <v>203</v>
      </c>
      <c r="B1114" s="3074">
        <v>14</v>
      </c>
      <c r="C1114" s="3074" t="s">
        <v>3496</v>
      </c>
      <c r="D1114" s="3074" t="s">
        <v>3500</v>
      </c>
      <c r="E1114" s="3072" t="s">
        <v>3109</v>
      </c>
      <c r="F1114" s="3072" t="s">
        <v>3235</v>
      </c>
      <c r="G1114" s="3464" t="s">
        <v>3785</v>
      </c>
      <c r="H1114" s="3466"/>
      <c r="I1114" s="3465"/>
      <c r="J1114" s="3074">
        <v>5665</v>
      </c>
      <c r="K1114" s="3464" t="s">
        <v>3786</v>
      </c>
      <c r="L1114" s="3465"/>
    </row>
    <row r="1115" spans="1:12" ht="26.25" thickBot="1">
      <c r="A1115" s="3073">
        <v>204</v>
      </c>
      <c r="B1115" s="3074">
        <v>14</v>
      </c>
      <c r="C1115" s="3074" t="s">
        <v>3496</v>
      </c>
      <c r="D1115" s="3074" t="s">
        <v>3501</v>
      </c>
      <c r="E1115" s="3072" t="s">
        <v>3109</v>
      </c>
      <c r="F1115" s="3072" t="s">
        <v>3235</v>
      </c>
      <c r="G1115" s="3464" t="s">
        <v>3783</v>
      </c>
      <c r="H1115" s="3466"/>
      <c r="I1115" s="3465"/>
      <c r="J1115" s="3074">
        <v>5665</v>
      </c>
      <c r="K1115" s="3464" t="s">
        <v>3784</v>
      </c>
      <c r="L1115" s="3465"/>
    </row>
    <row r="1116" spans="1:12" ht="26.25" thickBot="1">
      <c r="A1116" s="3073">
        <v>205</v>
      </c>
      <c r="B1116" s="3074">
        <v>14</v>
      </c>
      <c r="C1116" s="3074" t="s">
        <v>3496</v>
      </c>
      <c r="D1116" s="3074" t="s">
        <v>3502</v>
      </c>
      <c r="E1116" s="3072" t="s">
        <v>3109</v>
      </c>
      <c r="F1116" s="3072" t="s">
        <v>3235</v>
      </c>
      <c r="G1116" s="3464" t="s">
        <v>3781</v>
      </c>
      <c r="H1116" s="3466"/>
      <c r="I1116" s="3465"/>
      <c r="J1116" s="3074">
        <v>5665</v>
      </c>
      <c r="K1116" s="3464" t="s">
        <v>3782</v>
      </c>
      <c r="L1116" s="3465"/>
    </row>
    <row r="1117" spans="1:12" ht="26.25" thickBot="1">
      <c r="A1117" s="3073">
        <v>206</v>
      </c>
      <c r="B1117" s="3074">
        <v>14</v>
      </c>
      <c r="C1117" s="3074" t="s">
        <v>3503</v>
      </c>
      <c r="D1117" s="3074" t="s">
        <v>3504</v>
      </c>
      <c r="E1117" s="3072" t="s">
        <v>3109</v>
      </c>
      <c r="F1117" s="3072" t="s">
        <v>3235</v>
      </c>
      <c r="G1117" s="3464" t="s">
        <v>3781</v>
      </c>
      <c r="H1117" s="3466"/>
      <c r="I1117" s="3465"/>
      <c r="J1117" s="3074">
        <v>5665</v>
      </c>
      <c r="K1117" s="3464" t="s">
        <v>3782</v>
      </c>
      <c r="L1117" s="3465"/>
    </row>
    <row r="1118" spans="1:12" ht="26.25" thickBot="1">
      <c r="A1118" s="3073">
        <v>207</v>
      </c>
      <c r="B1118" s="3074">
        <v>14</v>
      </c>
      <c r="C1118" s="3074" t="s">
        <v>3503</v>
      </c>
      <c r="D1118" s="3074" t="s">
        <v>3505</v>
      </c>
      <c r="E1118" s="3072" t="s">
        <v>3109</v>
      </c>
      <c r="F1118" s="3072" t="s">
        <v>3235</v>
      </c>
      <c r="G1118" s="3464" t="s">
        <v>3783</v>
      </c>
      <c r="H1118" s="3466"/>
      <c r="I1118" s="3465"/>
      <c r="J1118" s="3074">
        <v>5665</v>
      </c>
      <c r="K1118" s="3464" t="s">
        <v>3784</v>
      </c>
      <c r="L1118" s="3465"/>
    </row>
    <row r="1119" spans="1:12" ht="26.25" thickBot="1">
      <c r="A1119" s="3073">
        <v>208</v>
      </c>
      <c r="B1119" s="3074">
        <v>14</v>
      </c>
      <c r="C1119" s="3074" t="s">
        <v>3503</v>
      </c>
      <c r="D1119" s="3074" t="s">
        <v>3506</v>
      </c>
      <c r="E1119" s="3072" t="s">
        <v>3109</v>
      </c>
      <c r="F1119" s="3072" t="s">
        <v>3235</v>
      </c>
      <c r="G1119" s="3464" t="s">
        <v>3785</v>
      </c>
      <c r="H1119" s="3466"/>
      <c r="I1119" s="3465"/>
      <c r="J1119" s="3074">
        <v>5665</v>
      </c>
      <c r="K1119" s="3464" t="s">
        <v>3786</v>
      </c>
      <c r="L1119" s="3465"/>
    </row>
    <row r="1120" spans="1:12" ht="26.25" thickBot="1">
      <c r="A1120" s="3073">
        <v>209</v>
      </c>
      <c r="B1120" s="3074">
        <v>14</v>
      </c>
      <c r="C1120" s="3074" t="s">
        <v>3503</v>
      </c>
      <c r="D1120" s="3074" t="s">
        <v>3507</v>
      </c>
      <c r="E1120" s="3072" t="s">
        <v>3109</v>
      </c>
      <c r="F1120" s="3072" t="s">
        <v>3235</v>
      </c>
      <c r="G1120" s="3464" t="s">
        <v>3785</v>
      </c>
      <c r="H1120" s="3466"/>
      <c r="I1120" s="3465"/>
      <c r="J1120" s="3074">
        <v>5665</v>
      </c>
      <c r="K1120" s="3464" t="s">
        <v>3786</v>
      </c>
      <c r="L1120" s="3465"/>
    </row>
    <row r="1121" spans="1:12" ht="26.25" thickBot="1">
      <c r="A1121" s="3073">
        <v>210</v>
      </c>
      <c r="B1121" s="3074">
        <v>14</v>
      </c>
      <c r="C1121" s="3074" t="s">
        <v>3503</v>
      </c>
      <c r="D1121" s="3074" t="s">
        <v>3703</v>
      </c>
      <c r="E1121" s="3072" t="s">
        <v>3109</v>
      </c>
      <c r="F1121" s="3072" t="s">
        <v>3235</v>
      </c>
      <c r="G1121" s="3464" t="s">
        <v>3783</v>
      </c>
      <c r="H1121" s="3466"/>
      <c r="I1121" s="3465"/>
      <c r="J1121" s="3074">
        <v>5665</v>
      </c>
      <c r="K1121" s="3464" t="s">
        <v>3784</v>
      </c>
      <c r="L1121" s="3465"/>
    </row>
    <row r="1122" spans="1:12" ht="26.25" thickBot="1">
      <c r="A1122" s="3073">
        <v>211</v>
      </c>
      <c r="B1122" s="3074">
        <v>14</v>
      </c>
      <c r="C1122" s="3074" t="s">
        <v>3503</v>
      </c>
      <c r="D1122" s="3074" t="s">
        <v>3639</v>
      </c>
      <c r="E1122" s="3072" t="s">
        <v>3109</v>
      </c>
      <c r="F1122" s="3072" t="s">
        <v>3235</v>
      </c>
      <c r="G1122" s="3464" t="s">
        <v>3781</v>
      </c>
      <c r="H1122" s="3466"/>
      <c r="I1122" s="3465"/>
      <c r="J1122" s="3074">
        <v>5665</v>
      </c>
      <c r="K1122" s="3464" t="s">
        <v>3782</v>
      </c>
      <c r="L1122" s="3465"/>
    </row>
    <row r="1123" spans="1:12" ht="26.25" thickBot="1">
      <c r="A1123" s="3073">
        <v>212</v>
      </c>
      <c r="B1123" s="3074">
        <v>14</v>
      </c>
      <c r="C1123" s="3074" t="s">
        <v>3510</v>
      </c>
      <c r="D1123" s="3074" t="s">
        <v>3511</v>
      </c>
      <c r="E1123" s="3072" t="s">
        <v>3109</v>
      </c>
      <c r="F1123" s="3072" t="s">
        <v>3235</v>
      </c>
      <c r="G1123" s="3471">
        <v>138</v>
      </c>
      <c r="H1123" s="3472"/>
      <c r="I1123" s="3074">
        <v>94</v>
      </c>
      <c r="J1123" s="3074">
        <v>5665</v>
      </c>
      <c r="K1123" s="3080">
        <v>78</v>
      </c>
      <c r="L1123" s="3074">
        <v>71</v>
      </c>
    </row>
    <row r="1124" spans="1:12" ht="26.25" thickBot="1">
      <c r="A1124" s="3073">
        <v>213</v>
      </c>
      <c r="B1124" s="3074">
        <v>14</v>
      </c>
      <c r="C1124" s="3074" t="s">
        <v>3510</v>
      </c>
      <c r="D1124" s="3074" t="s">
        <v>3512</v>
      </c>
      <c r="E1124" s="3072" t="s">
        <v>3109</v>
      </c>
      <c r="F1124" s="3072" t="s">
        <v>3235</v>
      </c>
      <c r="G1124" s="3464" t="s">
        <v>3783</v>
      </c>
      <c r="H1124" s="3466"/>
      <c r="I1124" s="3465"/>
      <c r="J1124" s="3074">
        <v>5665</v>
      </c>
      <c r="K1124" s="3464" t="s">
        <v>3784</v>
      </c>
      <c r="L1124" s="3465"/>
    </row>
    <row r="1125" spans="1:12" ht="26.25" thickBot="1">
      <c r="A1125" s="3073">
        <v>214</v>
      </c>
      <c r="B1125" s="3074">
        <v>14</v>
      </c>
      <c r="C1125" s="3074" t="s">
        <v>3510</v>
      </c>
      <c r="D1125" s="3074" t="s">
        <v>3513</v>
      </c>
      <c r="E1125" s="3072" t="s">
        <v>3109</v>
      </c>
      <c r="F1125" s="3072" t="s">
        <v>3235</v>
      </c>
      <c r="G1125" s="3464" t="s">
        <v>3785</v>
      </c>
      <c r="H1125" s="3466"/>
      <c r="I1125" s="3465"/>
      <c r="J1125" s="3074">
        <v>5665</v>
      </c>
      <c r="K1125" s="3464" t="s">
        <v>3786</v>
      </c>
      <c r="L1125" s="3465"/>
    </row>
    <row r="1126" spans="1:12" ht="26.25" thickBot="1">
      <c r="A1126" s="3073">
        <v>215</v>
      </c>
      <c r="B1126" s="3074">
        <v>14</v>
      </c>
      <c r="C1126" s="3074" t="s">
        <v>3510</v>
      </c>
      <c r="D1126" s="3074" t="s">
        <v>3514</v>
      </c>
      <c r="E1126" s="3072" t="s">
        <v>3109</v>
      </c>
      <c r="F1126" s="3072" t="s">
        <v>3235</v>
      </c>
      <c r="G1126" s="3464" t="s">
        <v>3785</v>
      </c>
      <c r="H1126" s="3466"/>
      <c r="I1126" s="3465"/>
      <c r="J1126" s="3074">
        <v>5665</v>
      </c>
      <c r="K1126" s="3464" t="s">
        <v>3786</v>
      </c>
      <c r="L1126" s="3465"/>
    </row>
    <row r="1127" spans="1:12" ht="26.25" thickBot="1">
      <c r="A1127" s="3073">
        <v>216</v>
      </c>
      <c r="B1127" s="3074">
        <v>14</v>
      </c>
      <c r="C1127" s="3074" t="s">
        <v>3510</v>
      </c>
      <c r="D1127" s="3074" t="s">
        <v>3515</v>
      </c>
      <c r="E1127" s="3072" t="s">
        <v>3109</v>
      </c>
      <c r="F1127" s="3072" t="s">
        <v>3235</v>
      </c>
      <c r="G1127" s="3464" t="s">
        <v>3783</v>
      </c>
      <c r="H1127" s="3466"/>
      <c r="I1127" s="3465"/>
      <c r="J1127" s="3074">
        <v>5665</v>
      </c>
      <c r="K1127" s="3464" t="s">
        <v>3784</v>
      </c>
      <c r="L1127" s="3465"/>
    </row>
    <row r="1128" spans="1:12" ht="26.25" thickBot="1">
      <c r="A1128" s="3073">
        <v>217</v>
      </c>
      <c r="B1128" s="3074">
        <v>14</v>
      </c>
      <c r="C1128" s="3074" t="s">
        <v>3510</v>
      </c>
      <c r="D1128" s="3074" t="s">
        <v>3516</v>
      </c>
      <c r="E1128" s="3072" t="s">
        <v>3109</v>
      </c>
      <c r="F1128" s="3072" t="s">
        <v>3235</v>
      </c>
      <c r="G1128" s="3464" t="s">
        <v>3781</v>
      </c>
      <c r="H1128" s="3466"/>
      <c r="I1128" s="3465"/>
      <c r="J1128" s="3074">
        <v>5665</v>
      </c>
      <c r="K1128" s="3464" t="s">
        <v>3782</v>
      </c>
      <c r="L1128" s="3465"/>
    </row>
    <row r="1129" spans="1:12" ht="26.25" thickBot="1">
      <c r="A1129" s="3073">
        <v>218</v>
      </c>
      <c r="B1129" s="3074">
        <v>14</v>
      </c>
      <c r="C1129" s="3074" t="s">
        <v>3517</v>
      </c>
      <c r="D1129" s="3074" t="s">
        <v>3518</v>
      </c>
      <c r="E1129" s="3072" t="s">
        <v>3109</v>
      </c>
      <c r="F1129" s="3072" t="s">
        <v>3235</v>
      </c>
      <c r="G1129" s="3464" t="s">
        <v>3781</v>
      </c>
      <c r="H1129" s="3466"/>
      <c r="I1129" s="3465"/>
      <c r="J1129" s="3074">
        <v>5665</v>
      </c>
      <c r="K1129" s="3464" t="s">
        <v>3782</v>
      </c>
      <c r="L1129" s="3465"/>
    </row>
    <row r="1130" spans="1:12" ht="26.25" thickBot="1">
      <c r="A1130" s="3073">
        <v>219</v>
      </c>
      <c r="B1130" s="3074">
        <v>14</v>
      </c>
      <c r="C1130" s="3074" t="s">
        <v>3517</v>
      </c>
      <c r="D1130" s="3074" t="s">
        <v>3519</v>
      </c>
      <c r="E1130" s="3072" t="s">
        <v>3109</v>
      </c>
      <c r="F1130" s="3072" t="s">
        <v>3235</v>
      </c>
      <c r="G1130" s="3075">
        <v>9</v>
      </c>
      <c r="H1130" s="3470" t="s">
        <v>3788</v>
      </c>
      <c r="I1130" s="3473"/>
      <c r="J1130" s="3074">
        <v>5665</v>
      </c>
      <c r="K1130" s="3080">
        <v>53</v>
      </c>
      <c r="L1130" s="3074">
        <v>66</v>
      </c>
    </row>
    <row r="1131" spans="1:12" ht="26.25" thickBot="1">
      <c r="A1131" s="3073">
        <v>220</v>
      </c>
      <c r="B1131" s="3074">
        <v>14</v>
      </c>
      <c r="C1131" s="3074" t="s">
        <v>3517</v>
      </c>
      <c r="D1131" s="3074" t="s">
        <v>3520</v>
      </c>
      <c r="E1131" s="3072" t="s">
        <v>3109</v>
      </c>
      <c r="F1131" s="3072" t="s">
        <v>3235</v>
      </c>
      <c r="G1131" s="3464" t="s">
        <v>3785</v>
      </c>
      <c r="H1131" s="3466"/>
      <c r="I1131" s="3465"/>
      <c r="J1131" s="3074">
        <v>5665</v>
      </c>
      <c r="K1131" s="3464" t="s">
        <v>3786</v>
      </c>
      <c r="L1131" s="3465"/>
    </row>
    <row r="1132" spans="1:12" ht="26.25" thickBot="1">
      <c r="A1132" s="3073">
        <v>221</v>
      </c>
      <c r="B1132" s="3074">
        <v>14</v>
      </c>
      <c r="C1132" s="3074" t="s">
        <v>3517</v>
      </c>
      <c r="D1132" s="3074" t="s">
        <v>3641</v>
      </c>
      <c r="E1132" s="3072" t="s">
        <v>3109</v>
      </c>
      <c r="F1132" s="3072" t="s">
        <v>3235</v>
      </c>
      <c r="G1132" s="3464" t="s">
        <v>3785</v>
      </c>
      <c r="H1132" s="3466"/>
      <c r="I1132" s="3465"/>
      <c r="J1132" s="3074">
        <v>5665</v>
      </c>
      <c r="K1132" s="3464" t="s">
        <v>3786</v>
      </c>
      <c r="L1132" s="3465"/>
    </row>
    <row r="1133" spans="1:12" ht="26.25" thickBot="1">
      <c r="A1133" s="3073">
        <v>222</v>
      </c>
      <c r="B1133" s="3074">
        <v>14</v>
      </c>
      <c r="C1133" s="3074" t="s">
        <v>3517</v>
      </c>
      <c r="D1133" s="3074" t="s">
        <v>3522</v>
      </c>
      <c r="E1133" s="3072" t="s">
        <v>3109</v>
      </c>
      <c r="F1133" s="3072" t="s">
        <v>3235</v>
      </c>
      <c r="G1133" s="3464" t="s">
        <v>3783</v>
      </c>
      <c r="H1133" s="3466"/>
      <c r="I1133" s="3465"/>
      <c r="J1133" s="3074">
        <v>5665</v>
      </c>
      <c r="K1133" s="3464" t="s">
        <v>3784</v>
      </c>
      <c r="L1133" s="3465"/>
    </row>
    <row r="1134" spans="1:12" ht="26.25" thickBot="1">
      <c r="A1134" s="3073">
        <v>223</v>
      </c>
      <c r="B1134" s="3074">
        <v>14</v>
      </c>
      <c r="C1134" s="3074" t="s">
        <v>3517</v>
      </c>
      <c r="D1134" s="3074" t="s">
        <v>3523</v>
      </c>
      <c r="E1134" s="3072" t="s">
        <v>3109</v>
      </c>
      <c r="F1134" s="3072" t="s">
        <v>3235</v>
      </c>
      <c r="G1134" s="3464" t="s">
        <v>3781</v>
      </c>
      <c r="H1134" s="3466"/>
      <c r="I1134" s="3465"/>
      <c r="J1134" s="3074">
        <v>5665</v>
      </c>
      <c r="K1134" s="3464" t="s">
        <v>3782</v>
      </c>
      <c r="L1134" s="3465"/>
    </row>
    <row r="1135" spans="1:12" ht="26.25" thickBot="1">
      <c r="A1135" s="3073">
        <v>224</v>
      </c>
      <c r="B1135" s="3074">
        <v>14</v>
      </c>
      <c r="C1135" s="3074" t="s">
        <v>3524</v>
      </c>
      <c r="D1135" s="3074" t="s">
        <v>3525</v>
      </c>
      <c r="E1135" s="3072" t="s">
        <v>3109</v>
      </c>
      <c r="F1135" s="3072" t="s">
        <v>3235</v>
      </c>
      <c r="G1135" s="3464" t="s">
        <v>3781</v>
      </c>
      <c r="H1135" s="3466"/>
      <c r="I1135" s="3465"/>
      <c r="J1135" s="3074">
        <v>5665</v>
      </c>
      <c r="K1135" s="3464" t="s">
        <v>3782</v>
      </c>
      <c r="L1135" s="3465"/>
    </row>
    <row r="1136" spans="1:12" ht="26.25" thickBot="1">
      <c r="A1136" s="3073">
        <v>225</v>
      </c>
      <c r="B1136" s="3074">
        <v>14</v>
      </c>
      <c r="C1136" s="3074" t="s">
        <v>3524</v>
      </c>
      <c r="D1136" s="3074" t="s">
        <v>3526</v>
      </c>
      <c r="E1136" s="3072" t="s">
        <v>3109</v>
      </c>
      <c r="F1136" s="3072" t="s">
        <v>3235</v>
      </c>
      <c r="G1136" s="3464" t="s">
        <v>3783</v>
      </c>
      <c r="H1136" s="3466"/>
      <c r="I1136" s="3465"/>
      <c r="J1136" s="3074">
        <v>5665</v>
      </c>
      <c r="K1136" s="3464" t="s">
        <v>3784</v>
      </c>
      <c r="L1136" s="3465"/>
    </row>
    <row r="1137" spans="1:12" ht="26.25" thickBot="1">
      <c r="A1137" s="3073">
        <v>226</v>
      </c>
      <c r="B1137" s="3074">
        <v>14</v>
      </c>
      <c r="C1137" s="3074" t="s">
        <v>3524</v>
      </c>
      <c r="D1137" s="3074" t="s">
        <v>3527</v>
      </c>
      <c r="E1137" s="3072" t="s">
        <v>3109</v>
      </c>
      <c r="F1137" s="3072" t="s">
        <v>3235</v>
      </c>
      <c r="G1137" s="3464" t="s">
        <v>3785</v>
      </c>
      <c r="H1137" s="3466"/>
      <c r="I1137" s="3465"/>
      <c r="J1137" s="3074">
        <v>5665</v>
      </c>
      <c r="K1137" s="3464" t="s">
        <v>3786</v>
      </c>
      <c r="L1137" s="3465"/>
    </row>
    <row r="1138" spans="1:12" ht="26.25" thickBot="1">
      <c r="A1138" s="3073">
        <v>227</v>
      </c>
      <c r="B1138" s="3074">
        <v>14</v>
      </c>
      <c r="C1138" s="3074" t="s">
        <v>3524</v>
      </c>
      <c r="D1138" s="3074" t="s">
        <v>3528</v>
      </c>
      <c r="E1138" s="3072" t="s">
        <v>3109</v>
      </c>
      <c r="F1138" s="3072" t="s">
        <v>3235</v>
      </c>
      <c r="G1138" s="3464" t="s">
        <v>3785</v>
      </c>
      <c r="H1138" s="3466"/>
      <c r="I1138" s="3465"/>
      <c r="J1138" s="3074">
        <v>5665</v>
      </c>
      <c r="K1138" s="3464" t="s">
        <v>3786</v>
      </c>
      <c r="L1138" s="3465"/>
    </row>
    <row r="1139" spans="1:12" ht="26.25" thickBot="1">
      <c r="A1139" s="3073">
        <v>228</v>
      </c>
      <c r="B1139" s="3074">
        <v>14</v>
      </c>
      <c r="C1139" s="3074" t="s">
        <v>3524</v>
      </c>
      <c r="D1139" s="3074" t="s">
        <v>3529</v>
      </c>
      <c r="E1139" s="3072" t="s">
        <v>3109</v>
      </c>
      <c r="F1139" s="3072" t="s">
        <v>3235</v>
      </c>
      <c r="G1139" s="3464" t="s">
        <v>3783</v>
      </c>
      <c r="H1139" s="3466"/>
      <c r="I1139" s="3465"/>
      <c r="J1139" s="3074">
        <v>5665</v>
      </c>
      <c r="K1139" s="3464" t="s">
        <v>3784</v>
      </c>
      <c r="L1139" s="3465"/>
    </row>
    <row r="1140" spans="1:12">
      <c r="A1140" s="3089"/>
      <c r="B1140" s="3089"/>
      <c r="C1140" s="3089"/>
      <c r="D1140" s="3089"/>
      <c r="E1140" s="3089"/>
      <c r="F1140" s="3089"/>
      <c r="G1140" s="3089"/>
      <c r="H1140" s="3089"/>
      <c r="I1140" s="3089"/>
      <c r="J1140" s="3089"/>
      <c r="K1140" s="3089"/>
      <c r="L1140" s="3089"/>
    </row>
    <row r="1141" spans="1:12">
      <c r="A1141" s="3070"/>
    </row>
    <row r="1143" spans="1:12" ht="14.25" thickBot="1">
      <c r="A1143" s="3078"/>
    </row>
    <row r="1144" spans="1:12">
      <c r="A1144" s="3458" t="s">
        <v>3223</v>
      </c>
      <c r="B1144" s="3458" t="s">
        <v>3224</v>
      </c>
      <c r="C1144" s="3071" t="s">
        <v>3225</v>
      </c>
      <c r="D1144" s="3458" t="s">
        <v>3227</v>
      </c>
      <c r="E1144" s="3458" t="s">
        <v>1341</v>
      </c>
      <c r="F1144" s="3458" t="s">
        <v>3228</v>
      </c>
      <c r="G1144" s="3460" t="s">
        <v>3229</v>
      </c>
      <c r="H1144" s="3467"/>
      <c r="I1144" s="3461"/>
      <c r="J1144" s="3458" t="s">
        <v>3231</v>
      </c>
      <c r="K1144" s="3460" t="s">
        <v>3232</v>
      </c>
      <c r="L1144" s="3461"/>
    </row>
    <row r="1145" spans="1:12" ht="14.25" thickBot="1">
      <c r="A1145" s="3459"/>
      <c r="B1145" s="3459"/>
      <c r="C1145" s="3072" t="s">
        <v>3226</v>
      </c>
      <c r="D1145" s="3459"/>
      <c r="E1145" s="3459"/>
      <c r="F1145" s="3459"/>
      <c r="G1145" s="3462" t="s">
        <v>3230</v>
      </c>
      <c r="H1145" s="3468"/>
      <c r="I1145" s="3463"/>
      <c r="J1145" s="3459"/>
      <c r="K1145" s="3462"/>
      <c r="L1145" s="3463"/>
    </row>
    <row r="1146" spans="1:12" ht="26.25" thickBot="1">
      <c r="A1146" s="3073">
        <v>229</v>
      </c>
      <c r="B1146" s="3074">
        <v>14</v>
      </c>
      <c r="C1146" s="3074" t="s">
        <v>3524</v>
      </c>
      <c r="D1146" s="3074" t="s">
        <v>3530</v>
      </c>
      <c r="E1146" s="3072" t="s">
        <v>3109</v>
      </c>
      <c r="F1146" s="3072" t="s">
        <v>3235</v>
      </c>
      <c r="G1146" s="3464" t="s">
        <v>3781</v>
      </c>
      <c r="H1146" s="3466"/>
      <c r="I1146" s="3465"/>
      <c r="J1146" s="3074">
        <v>5665</v>
      </c>
      <c r="K1146" s="3464" t="s">
        <v>3782</v>
      </c>
      <c r="L1146" s="3465"/>
    </row>
    <row r="1147" spans="1:12" ht="26.25" thickBot="1">
      <c r="A1147" s="3073">
        <v>230</v>
      </c>
      <c r="B1147" s="3074">
        <v>14</v>
      </c>
      <c r="C1147" s="3074" t="s">
        <v>3531</v>
      </c>
      <c r="D1147" s="3074" t="s">
        <v>3532</v>
      </c>
      <c r="E1147" s="3072" t="s">
        <v>3109</v>
      </c>
      <c r="F1147" s="3072" t="s">
        <v>3235</v>
      </c>
      <c r="G1147" s="3471">
        <v>138</v>
      </c>
      <c r="H1147" s="3472"/>
      <c r="I1147" s="3074">
        <v>94</v>
      </c>
      <c r="J1147" s="3074">
        <v>5665</v>
      </c>
      <c r="K1147" s="3080">
        <v>78</v>
      </c>
      <c r="L1147" s="3074">
        <v>71</v>
      </c>
    </row>
    <row r="1148" spans="1:12" ht="23.25" thickBot="1">
      <c r="A1148" s="3073">
        <v>231</v>
      </c>
      <c r="B1148" s="3074">
        <v>14</v>
      </c>
      <c r="C1148" s="3074" t="s">
        <v>3531</v>
      </c>
      <c r="D1148" s="3082" t="s">
        <v>3710</v>
      </c>
      <c r="E1148" s="3083" t="s">
        <v>3109</v>
      </c>
      <c r="F1148" s="3083" t="s">
        <v>3235</v>
      </c>
      <c r="G1148" s="3464" t="s">
        <v>3783</v>
      </c>
      <c r="H1148" s="3466"/>
      <c r="I1148" s="3465"/>
      <c r="J1148" s="3074">
        <v>5665</v>
      </c>
      <c r="K1148" s="3464" t="s">
        <v>3784</v>
      </c>
      <c r="L1148" s="3465"/>
    </row>
    <row r="1149" spans="1:12" ht="23.25" thickBot="1">
      <c r="A1149" s="3073">
        <v>232</v>
      </c>
      <c r="B1149" s="3074">
        <v>14</v>
      </c>
      <c r="C1149" s="3074" t="s">
        <v>3531</v>
      </c>
      <c r="D1149" s="3082" t="s">
        <v>3799</v>
      </c>
      <c r="E1149" s="3083" t="s">
        <v>3109</v>
      </c>
      <c r="F1149" s="3083" t="s">
        <v>3235</v>
      </c>
      <c r="G1149" s="3464" t="s">
        <v>3785</v>
      </c>
      <c r="H1149" s="3466"/>
      <c r="I1149" s="3465"/>
      <c r="J1149" s="3074">
        <v>5665</v>
      </c>
      <c r="K1149" s="3464" t="s">
        <v>3786</v>
      </c>
      <c r="L1149" s="3465"/>
    </row>
    <row r="1150" spans="1:12" ht="23.25" thickBot="1">
      <c r="A1150" s="3073">
        <v>233</v>
      </c>
      <c r="B1150" s="3074">
        <v>14</v>
      </c>
      <c r="C1150" s="3074" t="s">
        <v>3531</v>
      </c>
      <c r="D1150" s="3090" t="s">
        <v>3800</v>
      </c>
      <c r="E1150" s="3091" t="s">
        <v>3109</v>
      </c>
      <c r="F1150" s="3091" t="s">
        <v>3235</v>
      </c>
      <c r="G1150" s="3464" t="s">
        <v>3785</v>
      </c>
      <c r="H1150" s="3466"/>
      <c r="I1150" s="3465"/>
      <c r="J1150" s="3074">
        <v>5665</v>
      </c>
      <c r="K1150" s="3464" t="s">
        <v>3786</v>
      </c>
      <c r="L1150" s="3465"/>
    </row>
    <row r="1151" spans="1:12" ht="26.25" thickBot="1">
      <c r="A1151" s="3073">
        <v>234</v>
      </c>
      <c r="B1151" s="3074">
        <v>14</v>
      </c>
      <c r="C1151" s="3074" t="s">
        <v>3531</v>
      </c>
      <c r="D1151" s="3074" t="s">
        <v>3536</v>
      </c>
      <c r="E1151" s="3072" t="s">
        <v>3109</v>
      </c>
      <c r="F1151" s="3072" t="s">
        <v>3235</v>
      </c>
      <c r="G1151" s="3464" t="s">
        <v>3783</v>
      </c>
      <c r="H1151" s="3466"/>
      <c r="I1151" s="3465"/>
      <c r="J1151" s="3074">
        <v>5665</v>
      </c>
      <c r="K1151" s="3464" t="s">
        <v>3784</v>
      </c>
      <c r="L1151" s="3465"/>
    </row>
    <row r="1152" spans="1:12" ht="26.25" thickBot="1">
      <c r="A1152" s="3073">
        <v>235</v>
      </c>
      <c r="B1152" s="3074">
        <v>14</v>
      </c>
      <c r="C1152" s="3074" t="s">
        <v>3531</v>
      </c>
      <c r="D1152" s="3074" t="s">
        <v>3537</v>
      </c>
      <c r="E1152" s="3072" t="s">
        <v>3109</v>
      </c>
      <c r="F1152" s="3072" t="s">
        <v>3235</v>
      </c>
      <c r="G1152" s="3464" t="s">
        <v>3781</v>
      </c>
      <c r="H1152" s="3466"/>
      <c r="I1152" s="3465"/>
      <c r="J1152" s="3074">
        <v>5665</v>
      </c>
      <c r="K1152" s="3464" t="s">
        <v>3782</v>
      </c>
      <c r="L1152" s="3465"/>
    </row>
    <row r="1153" spans="1:12" ht="26.25" thickBot="1">
      <c r="A1153" s="3073">
        <v>236</v>
      </c>
      <c r="B1153" s="3074">
        <v>14</v>
      </c>
      <c r="C1153" s="3074" t="s">
        <v>3538</v>
      </c>
      <c r="D1153" s="3074" t="s">
        <v>3539</v>
      </c>
      <c r="E1153" s="3072" t="s">
        <v>3109</v>
      </c>
      <c r="F1153" s="3072" t="s">
        <v>3235</v>
      </c>
      <c r="G1153" s="3464" t="s">
        <v>3781</v>
      </c>
      <c r="H1153" s="3466"/>
      <c r="I1153" s="3465"/>
      <c r="J1153" s="3074">
        <v>5665</v>
      </c>
      <c r="K1153" s="3464" t="s">
        <v>3782</v>
      </c>
      <c r="L1153" s="3465"/>
    </row>
    <row r="1154" spans="1:12" ht="26.25" thickBot="1">
      <c r="A1154" s="3073">
        <v>237</v>
      </c>
      <c r="B1154" s="3074">
        <v>14</v>
      </c>
      <c r="C1154" s="3074" t="s">
        <v>3538</v>
      </c>
      <c r="D1154" s="3074" t="s">
        <v>3540</v>
      </c>
      <c r="E1154" s="3072" t="s">
        <v>3109</v>
      </c>
      <c r="F1154" s="3072" t="s">
        <v>3235</v>
      </c>
      <c r="G1154" s="3464" t="s">
        <v>3783</v>
      </c>
      <c r="H1154" s="3466"/>
      <c r="I1154" s="3465"/>
      <c r="J1154" s="3074">
        <v>5665</v>
      </c>
      <c r="K1154" s="3464" t="s">
        <v>3784</v>
      </c>
      <c r="L1154" s="3465"/>
    </row>
    <row r="1155" spans="1:12" ht="26.25" thickBot="1">
      <c r="A1155" s="3073">
        <v>238</v>
      </c>
      <c r="B1155" s="3074">
        <v>14</v>
      </c>
      <c r="C1155" s="3074" t="s">
        <v>3538</v>
      </c>
      <c r="D1155" s="3074" t="s">
        <v>3541</v>
      </c>
      <c r="E1155" s="3072" t="s">
        <v>3109</v>
      </c>
      <c r="F1155" s="3072" t="s">
        <v>3235</v>
      </c>
      <c r="G1155" s="3464" t="s">
        <v>3785</v>
      </c>
      <c r="H1155" s="3466"/>
      <c r="I1155" s="3465"/>
      <c r="J1155" s="3074">
        <v>5665</v>
      </c>
      <c r="K1155" s="3464" t="s">
        <v>3786</v>
      </c>
      <c r="L1155" s="3465"/>
    </row>
    <row r="1156" spans="1:12" ht="26.25" thickBot="1">
      <c r="A1156" s="3073">
        <v>239</v>
      </c>
      <c r="B1156" s="3074">
        <v>14</v>
      </c>
      <c r="C1156" s="3074" t="s">
        <v>3538</v>
      </c>
      <c r="D1156" s="3074" t="s">
        <v>3542</v>
      </c>
      <c r="E1156" s="3072" t="s">
        <v>3109</v>
      </c>
      <c r="F1156" s="3072" t="s">
        <v>3235</v>
      </c>
      <c r="G1156" s="3464" t="s">
        <v>3785</v>
      </c>
      <c r="H1156" s="3466"/>
      <c r="I1156" s="3465"/>
      <c r="J1156" s="3074">
        <v>5665</v>
      </c>
      <c r="K1156" s="3464" t="s">
        <v>3786</v>
      </c>
      <c r="L1156" s="3465"/>
    </row>
    <row r="1157" spans="1:12" ht="26.25" thickBot="1">
      <c r="A1157" s="3073">
        <v>240</v>
      </c>
      <c r="B1157" s="3074">
        <v>14</v>
      </c>
      <c r="C1157" s="3074" t="s">
        <v>3538</v>
      </c>
      <c r="D1157" s="3074" t="s">
        <v>3543</v>
      </c>
      <c r="E1157" s="3072" t="s">
        <v>3109</v>
      </c>
      <c r="F1157" s="3072" t="s">
        <v>3235</v>
      </c>
      <c r="G1157" s="3075">
        <v>9</v>
      </c>
      <c r="H1157" s="3470" t="s">
        <v>3788</v>
      </c>
      <c r="I1157" s="3473"/>
      <c r="J1157" s="3074">
        <v>5665</v>
      </c>
      <c r="K1157" s="3080">
        <v>53</v>
      </c>
      <c r="L1157" s="3074">
        <v>66</v>
      </c>
    </row>
    <row r="1158" spans="1:12" ht="26.25" thickBot="1">
      <c r="A1158" s="3073">
        <v>241</v>
      </c>
      <c r="B1158" s="3074">
        <v>14</v>
      </c>
      <c r="C1158" s="3074" t="s">
        <v>3538</v>
      </c>
      <c r="D1158" s="3074" t="s">
        <v>3544</v>
      </c>
      <c r="E1158" s="3072" t="s">
        <v>3109</v>
      </c>
      <c r="F1158" s="3072" t="s">
        <v>3235</v>
      </c>
      <c r="G1158" s="3464" t="s">
        <v>3781</v>
      </c>
      <c r="H1158" s="3466"/>
      <c r="I1158" s="3465"/>
      <c r="J1158" s="3074">
        <v>5665</v>
      </c>
      <c r="K1158" s="3464" t="s">
        <v>3782</v>
      </c>
      <c r="L1158" s="3465"/>
    </row>
    <row r="1159" spans="1:12" ht="26.25" thickBot="1">
      <c r="A1159" s="3073">
        <v>242</v>
      </c>
      <c r="B1159" s="3074">
        <v>14</v>
      </c>
      <c r="C1159" s="3074" t="s">
        <v>3545</v>
      </c>
      <c r="D1159" s="3074" t="s">
        <v>3546</v>
      </c>
      <c r="E1159" s="3072" t="s">
        <v>3109</v>
      </c>
      <c r="F1159" s="3072" t="s">
        <v>3235</v>
      </c>
      <c r="G1159" s="3464" t="s">
        <v>3781</v>
      </c>
      <c r="H1159" s="3466"/>
      <c r="I1159" s="3465"/>
      <c r="J1159" s="3074">
        <v>5665</v>
      </c>
      <c r="K1159" s="3464" t="s">
        <v>3782</v>
      </c>
      <c r="L1159" s="3465"/>
    </row>
    <row r="1160" spans="1:12" ht="23.25" thickBot="1">
      <c r="A1160" s="3073">
        <v>243</v>
      </c>
      <c r="B1160" s="3074">
        <v>14</v>
      </c>
      <c r="C1160" s="3074" t="s">
        <v>3545</v>
      </c>
      <c r="D1160" s="3082" t="s">
        <v>3801</v>
      </c>
      <c r="E1160" s="3083" t="s">
        <v>3109</v>
      </c>
      <c r="F1160" s="3083" t="s">
        <v>3235</v>
      </c>
      <c r="G1160" s="3464" t="s">
        <v>3783</v>
      </c>
      <c r="H1160" s="3466"/>
      <c r="I1160" s="3465"/>
      <c r="J1160" s="3074">
        <v>5665</v>
      </c>
      <c r="K1160" s="3464" t="s">
        <v>3784</v>
      </c>
      <c r="L1160" s="3465"/>
    </row>
    <row r="1161" spans="1:12" ht="26.25" thickBot="1">
      <c r="A1161" s="3073">
        <v>244</v>
      </c>
      <c r="B1161" s="3074">
        <v>14</v>
      </c>
      <c r="C1161" s="3074" t="s">
        <v>3545</v>
      </c>
      <c r="D1161" s="3074" t="s">
        <v>3548</v>
      </c>
      <c r="E1161" s="3072" t="s">
        <v>3109</v>
      </c>
      <c r="F1161" s="3072" t="s">
        <v>3235</v>
      </c>
      <c r="G1161" s="3464" t="s">
        <v>3785</v>
      </c>
      <c r="H1161" s="3466"/>
      <c r="I1161" s="3465"/>
      <c r="J1161" s="3074">
        <v>5665</v>
      </c>
      <c r="K1161" s="3464" t="s">
        <v>3786</v>
      </c>
      <c r="L1161" s="3465"/>
    </row>
    <row r="1162" spans="1:12" ht="26.25" thickBot="1">
      <c r="A1162" s="3073">
        <v>245</v>
      </c>
      <c r="B1162" s="3074">
        <v>14</v>
      </c>
      <c r="C1162" s="3074" t="s">
        <v>3545</v>
      </c>
      <c r="D1162" s="3074" t="s">
        <v>3549</v>
      </c>
      <c r="E1162" s="3072" t="s">
        <v>3109</v>
      </c>
      <c r="F1162" s="3072" t="s">
        <v>3235</v>
      </c>
      <c r="G1162" s="3464" t="s">
        <v>3785</v>
      </c>
      <c r="H1162" s="3466"/>
      <c r="I1162" s="3465"/>
      <c r="J1162" s="3074">
        <v>5665</v>
      </c>
      <c r="K1162" s="3464" t="s">
        <v>3786</v>
      </c>
      <c r="L1162" s="3465"/>
    </row>
    <row r="1163" spans="1:12" ht="26.25" thickBot="1">
      <c r="A1163" s="3073">
        <v>246</v>
      </c>
      <c r="B1163" s="3074">
        <v>14</v>
      </c>
      <c r="C1163" s="3074" t="s">
        <v>3545</v>
      </c>
      <c r="D1163" s="3074" t="s">
        <v>3550</v>
      </c>
      <c r="E1163" s="3072" t="s">
        <v>3109</v>
      </c>
      <c r="F1163" s="3072" t="s">
        <v>3235</v>
      </c>
      <c r="G1163" s="3464" t="s">
        <v>3783</v>
      </c>
      <c r="H1163" s="3466"/>
      <c r="I1163" s="3465"/>
      <c r="J1163" s="3074">
        <v>5665</v>
      </c>
      <c r="K1163" s="3464" t="s">
        <v>3784</v>
      </c>
      <c r="L1163" s="3465"/>
    </row>
    <row r="1164" spans="1:12" ht="26.25" thickBot="1">
      <c r="A1164" s="3073">
        <v>247</v>
      </c>
      <c r="B1164" s="3074">
        <v>14</v>
      </c>
      <c r="C1164" s="3074" t="s">
        <v>3545</v>
      </c>
      <c r="D1164" s="3074" t="s">
        <v>3551</v>
      </c>
      <c r="E1164" s="3072" t="s">
        <v>3109</v>
      </c>
      <c r="F1164" s="3072" t="s">
        <v>3235</v>
      </c>
      <c r="G1164" s="3464" t="s">
        <v>3781</v>
      </c>
      <c r="H1164" s="3466"/>
      <c r="I1164" s="3465"/>
      <c r="J1164" s="3074">
        <v>5665</v>
      </c>
      <c r="K1164" s="3464" t="s">
        <v>3782</v>
      </c>
      <c r="L1164" s="3465"/>
    </row>
    <row r="1165" spans="1:12" ht="26.25" thickBot="1">
      <c r="A1165" s="3073">
        <v>248</v>
      </c>
      <c r="B1165" s="3074">
        <v>14</v>
      </c>
      <c r="C1165" s="3074" t="s">
        <v>3552</v>
      </c>
      <c r="D1165" s="3074" t="s">
        <v>3553</v>
      </c>
      <c r="E1165" s="3072" t="s">
        <v>3109</v>
      </c>
      <c r="F1165" s="3072" t="s">
        <v>3235</v>
      </c>
      <c r="G1165" s="3464" t="s">
        <v>3781</v>
      </c>
      <c r="H1165" s="3466"/>
      <c r="I1165" s="3465"/>
      <c r="J1165" s="3074">
        <v>5665</v>
      </c>
      <c r="K1165" s="3464" t="s">
        <v>3782</v>
      </c>
      <c r="L1165" s="3465"/>
    </row>
    <row r="1166" spans="1:12" ht="26.25" thickBot="1">
      <c r="A1166" s="3073">
        <v>249</v>
      </c>
      <c r="B1166" s="3074">
        <v>14</v>
      </c>
      <c r="C1166" s="3074" t="s">
        <v>3552</v>
      </c>
      <c r="D1166" s="3074" t="s">
        <v>3554</v>
      </c>
      <c r="E1166" s="3072" t="s">
        <v>3109</v>
      </c>
      <c r="F1166" s="3072" t="s">
        <v>3235</v>
      </c>
      <c r="G1166" s="3464" t="s">
        <v>3783</v>
      </c>
      <c r="H1166" s="3466"/>
      <c r="I1166" s="3465"/>
      <c r="J1166" s="3074">
        <v>5665</v>
      </c>
      <c r="K1166" s="3464" t="s">
        <v>3784</v>
      </c>
      <c r="L1166" s="3465"/>
    </row>
    <row r="1167" spans="1:12" ht="26.25" thickBot="1">
      <c r="A1167" s="3073">
        <v>250</v>
      </c>
      <c r="B1167" s="3074">
        <v>14</v>
      </c>
      <c r="C1167" s="3074" t="s">
        <v>3552</v>
      </c>
      <c r="D1167" s="3074" t="s">
        <v>3555</v>
      </c>
      <c r="E1167" s="3072" t="s">
        <v>3109</v>
      </c>
      <c r="F1167" s="3072" t="s">
        <v>3235</v>
      </c>
      <c r="G1167" s="3464" t="s">
        <v>3785</v>
      </c>
      <c r="H1167" s="3466"/>
      <c r="I1167" s="3465"/>
      <c r="J1167" s="3074">
        <v>5665</v>
      </c>
      <c r="K1167" s="3464" t="s">
        <v>3786</v>
      </c>
      <c r="L1167" s="3465"/>
    </row>
    <row r="1168" spans="1:12" ht="26.25" thickBot="1">
      <c r="A1168" s="3073">
        <v>251</v>
      </c>
      <c r="B1168" s="3074">
        <v>14</v>
      </c>
      <c r="C1168" s="3074" t="s">
        <v>3552</v>
      </c>
      <c r="D1168" s="3074" t="s">
        <v>3556</v>
      </c>
      <c r="E1168" s="3072" t="s">
        <v>3109</v>
      </c>
      <c r="F1168" s="3072" t="s">
        <v>3235</v>
      </c>
      <c r="G1168" s="3464" t="s">
        <v>3785</v>
      </c>
      <c r="H1168" s="3466"/>
      <c r="I1168" s="3465"/>
      <c r="J1168" s="3074">
        <v>5665</v>
      </c>
      <c r="K1168" s="3464" t="s">
        <v>3786</v>
      </c>
      <c r="L1168" s="3465"/>
    </row>
    <row r="1169" spans="1:12" ht="26.25" thickBot="1">
      <c r="A1169" s="3073">
        <v>252</v>
      </c>
      <c r="B1169" s="3074">
        <v>14</v>
      </c>
      <c r="C1169" s="3074" t="s">
        <v>3552</v>
      </c>
      <c r="D1169" s="3074" t="s">
        <v>3557</v>
      </c>
      <c r="E1169" s="3072" t="s">
        <v>3109</v>
      </c>
      <c r="F1169" s="3072" t="s">
        <v>3235</v>
      </c>
      <c r="G1169" s="3464" t="s">
        <v>3783</v>
      </c>
      <c r="H1169" s="3466"/>
      <c r="I1169" s="3465"/>
      <c r="J1169" s="3074">
        <v>5665</v>
      </c>
      <c r="K1169" s="3464" t="s">
        <v>3784</v>
      </c>
      <c r="L1169" s="3465"/>
    </row>
    <row r="1170" spans="1:12" ht="26.25" thickBot="1">
      <c r="A1170" s="3073">
        <v>253</v>
      </c>
      <c r="B1170" s="3074">
        <v>14</v>
      </c>
      <c r="C1170" s="3074" t="s">
        <v>3552</v>
      </c>
      <c r="D1170" s="3074" t="s">
        <v>3558</v>
      </c>
      <c r="E1170" s="3072" t="s">
        <v>3109</v>
      </c>
      <c r="F1170" s="3072" t="s">
        <v>3235</v>
      </c>
      <c r="G1170" s="3464" t="s">
        <v>3781</v>
      </c>
      <c r="H1170" s="3466"/>
      <c r="I1170" s="3465"/>
      <c r="J1170" s="3074">
        <v>5665</v>
      </c>
      <c r="K1170" s="3464" t="s">
        <v>3782</v>
      </c>
      <c r="L1170" s="3465"/>
    </row>
    <row r="1171" spans="1:12" ht="26.25" thickBot="1">
      <c r="A1171" s="3073">
        <v>254</v>
      </c>
      <c r="B1171" s="3074">
        <v>14</v>
      </c>
      <c r="C1171" s="3074" t="s">
        <v>3559</v>
      </c>
      <c r="D1171" s="3074" t="s">
        <v>3560</v>
      </c>
      <c r="E1171" s="3072" t="s">
        <v>3109</v>
      </c>
      <c r="F1171" s="3072" t="s">
        <v>3235</v>
      </c>
      <c r="G1171" s="3464" t="s">
        <v>3781</v>
      </c>
      <c r="H1171" s="3466"/>
      <c r="I1171" s="3465"/>
      <c r="J1171" s="3074">
        <v>5665</v>
      </c>
      <c r="K1171" s="3464" t="s">
        <v>3782</v>
      </c>
      <c r="L1171" s="3465"/>
    </row>
    <row r="1172" spans="1:12" ht="23.25" thickBot="1">
      <c r="A1172" s="3073">
        <v>255</v>
      </c>
      <c r="B1172" s="3074">
        <v>14</v>
      </c>
      <c r="C1172" s="3074" t="s">
        <v>3559</v>
      </c>
      <c r="D1172" s="3082" t="s">
        <v>3802</v>
      </c>
      <c r="E1172" s="3083" t="s">
        <v>3109</v>
      </c>
      <c r="F1172" s="3083" t="s">
        <v>3235</v>
      </c>
      <c r="G1172" s="3464" t="s">
        <v>3783</v>
      </c>
      <c r="H1172" s="3466"/>
      <c r="I1172" s="3465"/>
      <c r="J1172" s="3074">
        <v>5665</v>
      </c>
      <c r="K1172" s="3464" t="s">
        <v>3784</v>
      </c>
      <c r="L1172" s="3465"/>
    </row>
    <row r="1173" spans="1:12" ht="26.25" thickBot="1">
      <c r="A1173" s="3073">
        <v>256</v>
      </c>
      <c r="B1173" s="3074">
        <v>14</v>
      </c>
      <c r="C1173" s="3074" t="s">
        <v>3559</v>
      </c>
      <c r="D1173" s="3074" t="s">
        <v>3562</v>
      </c>
      <c r="E1173" s="3072" t="s">
        <v>3109</v>
      </c>
      <c r="F1173" s="3072" t="s">
        <v>3235</v>
      </c>
      <c r="G1173" s="3464" t="s">
        <v>3785</v>
      </c>
      <c r="H1173" s="3466"/>
      <c r="I1173" s="3465"/>
      <c r="J1173" s="3074">
        <v>5665</v>
      </c>
      <c r="K1173" s="3464" t="s">
        <v>3786</v>
      </c>
      <c r="L1173" s="3465"/>
    </row>
    <row r="1174" spans="1:12" ht="26.25" thickBot="1">
      <c r="A1174" s="3073">
        <v>257</v>
      </c>
      <c r="B1174" s="3074">
        <v>14</v>
      </c>
      <c r="C1174" s="3074" t="s">
        <v>3559</v>
      </c>
      <c r="D1174" s="3074" t="s">
        <v>3563</v>
      </c>
      <c r="E1174" s="3072" t="s">
        <v>3109</v>
      </c>
      <c r="F1174" s="3072" t="s">
        <v>3235</v>
      </c>
      <c r="G1174" s="3471">
        <v>118</v>
      </c>
      <c r="H1174" s="3472"/>
      <c r="I1174" s="3074">
        <v>48</v>
      </c>
      <c r="J1174" s="3074">
        <v>5665</v>
      </c>
      <c r="K1174" s="3080">
        <v>67</v>
      </c>
      <c r="L1174" s="3074">
        <v>12</v>
      </c>
    </row>
    <row r="1175" spans="1:12" ht="26.25" thickBot="1">
      <c r="A1175" s="3073">
        <v>258</v>
      </c>
      <c r="B1175" s="3074">
        <v>14</v>
      </c>
      <c r="C1175" s="3074" t="s">
        <v>3559</v>
      </c>
      <c r="D1175" s="3074" t="s">
        <v>3564</v>
      </c>
      <c r="E1175" s="3072" t="s">
        <v>3109</v>
      </c>
      <c r="F1175" s="3072" t="s">
        <v>3235</v>
      </c>
      <c r="G1175" s="3464" t="s">
        <v>3783</v>
      </c>
      <c r="H1175" s="3466"/>
      <c r="I1175" s="3465"/>
      <c r="J1175" s="3074">
        <v>5665</v>
      </c>
      <c r="K1175" s="3464" t="s">
        <v>3784</v>
      </c>
      <c r="L1175" s="3465"/>
    </row>
    <row r="1176" spans="1:12" ht="26.25" thickBot="1">
      <c r="A1176" s="3073">
        <v>259</v>
      </c>
      <c r="B1176" s="3074">
        <v>14</v>
      </c>
      <c r="C1176" s="3074" t="s">
        <v>3559</v>
      </c>
      <c r="D1176" s="3074" t="s">
        <v>3565</v>
      </c>
      <c r="E1176" s="3072" t="s">
        <v>3109</v>
      </c>
      <c r="F1176" s="3072" t="s">
        <v>3235</v>
      </c>
      <c r="G1176" s="3464" t="s">
        <v>3781</v>
      </c>
      <c r="H1176" s="3466"/>
      <c r="I1176" s="3465"/>
      <c r="J1176" s="3074">
        <v>5665</v>
      </c>
      <c r="K1176" s="3464" t="s">
        <v>3782</v>
      </c>
      <c r="L1176" s="3465"/>
    </row>
    <row r="1177" spans="1:12" ht="14.25" thickBot="1">
      <c r="A1177" s="3084" t="s">
        <v>37</v>
      </c>
      <c r="B1177" s="3086"/>
      <c r="C1177" s="3086"/>
      <c r="D1177" s="3086"/>
      <c r="E1177" s="3086"/>
      <c r="F1177" s="3086"/>
      <c r="G1177" s="3464" t="s">
        <v>3803</v>
      </c>
      <c r="H1177" s="3466"/>
      <c r="I1177" s="3465"/>
      <c r="J1177" s="3086"/>
      <c r="K1177" s="3464" t="s">
        <v>3804</v>
      </c>
      <c r="L1177" s="3465"/>
    </row>
    <row r="1178" spans="1:12">
      <c r="A1178" s="3089"/>
      <c r="B1178" s="3089"/>
      <c r="C1178" s="3089"/>
      <c r="D1178" s="3089"/>
      <c r="E1178" s="3089"/>
      <c r="F1178" s="3089"/>
      <c r="G1178" s="3089"/>
      <c r="H1178" s="3089"/>
      <c r="I1178" s="3089"/>
      <c r="J1178" s="3089"/>
      <c r="K1178" s="3089"/>
      <c r="L1178" s="3089"/>
    </row>
    <row r="1179" spans="1:12" ht="14.25">
      <c r="A1179" s="3069" t="s">
        <v>3805</v>
      </c>
    </row>
    <row r="1180" spans="1:12" ht="14.25" thickBot="1">
      <c r="A1180" s="3070"/>
    </row>
    <row r="1181" spans="1:12">
      <c r="A1181" s="3458" t="s">
        <v>3223</v>
      </c>
      <c r="B1181" s="3458" t="s">
        <v>3224</v>
      </c>
      <c r="C1181" s="3071" t="s">
        <v>3225</v>
      </c>
      <c r="D1181" s="3458" t="s">
        <v>3227</v>
      </c>
      <c r="E1181" s="3458" t="s">
        <v>1341</v>
      </c>
      <c r="F1181" s="3458" t="s">
        <v>3228</v>
      </c>
      <c r="G1181" s="3460" t="s">
        <v>3229</v>
      </c>
      <c r="H1181" s="3461"/>
      <c r="I1181" s="3458" t="s">
        <v>3231</v>
      </c>
      <c r="J1181" s="3458" t="s">
        <v>3232</v>
      </c>
    </row>
    <row r="1182" spans="1:12" ht="14.25" thickBot="1">
      <c r="A1182" s="3459"/>
      <c r="B1182" s="3459"/>
      <c r="C1182" s="3072" t="s">
        <v>3226</v>
      </c>
      <c r="D1182" s="3459"/>
      <c r="E1182" s="3459"/>
      <c r="F1182" s="3459"/>
      <c r="G1182" s="3462" t="s">
        <v>3230</v>
      </c>
      <c r="H1182" s="3463"/>
      <c r="I1182" s="3459"/>
      <c r="J1182" s="3459"/>
    </row>
    <row r="1183" spans="1:12" ht="24.75" thickBot="1">
      <c r="A1183" s="3073">
        <v>1</v>
      </c>
      <c r="B1183" s="3074">
        <v>15</v>
      </c>
      <c r="C1183" s="3074">
        <f t="shared" ref="C1183:C1201" si="14">-2/28</f>
        <v>-7.1428571428571425E-2</v>
      </c>
      <c r="D1183" s="3072" t="s">
        <v>3233</v>
      </c>
      <c r="E1183" s="3072" t="s">
        <v>3234</v>
      </c>
      <c r="F1183" s="3072" t="s">
        <v>3235</v>
      </c>
      <c r="G1183" s="3464" t="s">
        <v>3806</v>
      </c>
      <c r="H1183" s="3465"/>
      <c r="I1183" s="3074">
        <v>2016</v>
      </c>
      <c r="J1183" s="3074">
        <v>3.36</v>
      </c>
    </row>
    <row r="1184" spans="1:12" ht="24.75" thickBot="1">
      <c r="A1184" s="3073">
        <v>2</v>
      </c>
      <c r="B1184" s="3074">
        <v>15</v>
      </c>
      <c r="C1184" s="3074">
        <f t="shared" si="14"/>
        <v>-7.1428571428571425E-2</v>
      </c>
      <c r="D1184" s="3072" t="s">
        <v>3237</v>
      </c>
      <c r="E1184" s="3072" t="s">
        <v>3234</v>
      </c>
      <c r="F1184" s="3072" t="s">
        <v>3235</v>
      </c>
      <c r="G1184" s="3076"/>
      <c r="H1184" s="3074">
        <v>65</v>
      </c>
      <c r="I1184" s="3074">
        <v>2016</v>
      </c>
      <c r="J1184" s="3074">
        <v>3.36</v>
      </c>
    </row>
    <row r="1185" spans="1:10" ht="24.75" thickBot="1">
      <c r="A1185" s="3073">
        <v>3</v>
      </c>
      <c r="B1185" s="3074">
        <v>15</v>
      </c>
      <c r="C1185" s="3074">
        <f t="shared" si="14"/>
        <v>-7.1428571428571425E-2</v>
      </c>
      <c r="D1185" s="3072" t="s">
        <v>3238</v>
      </c>
      <c r="E1185" s="3072" t="s">
        <v>3234</v>
      </c>
      <c r="F1185" s="3072" t="s">
        <v>3235</v>
      </c>
      <c r="G1185" s="3464" t="s">
        <v>3806</v>
      </c>
      <c r="H1185" s="3465"/>
      <c r="I1185" s="3074">
        <v>2016</v>
      </c>
      <c r="J1185" s="3074">
        <v>3.36</v>
      </c>
    </row>
    <row r="1186" spans="1:10" ht="24.75" thickBot="1">
      <c r="A1186" s="3073">
        <v>4</v>
      </c>
      <c r="B1186" s="3074">
        <v>15</v>
      </c>
      <c r="C1186" s="3074">
        <f t="shared" si="14"/>
        <v>-7.1428571428571425E-2</v>
      </c>
      <c r="D1186" s="3072" t="s">
        <v>3240</v>
      </c>
      <c r="E1186" s="3072" t="s">
        <v>3234</v>
      </c>
      <c r="F1186" s="3072" t="s">
        <v>3235</v>
      </c>
      <c r="G1186" s="3464" t="s">
        <v>3807</v>
      </c>
      <c r="H1186" s="3465"/>
      <c r="I1186" s="3074">
        <v>2016</v>
      </c>
      <c r="J1186" s="3074">
        <v>3.25</v>
      </c>
    </row>
    <row r="1187" spans="1:10" ht="24.75" thickBot="1">
      <c r="A1187" s="3073">
        <v>5</v>
      </c>
      <c r="B1187" s="3074">
        <v>15</v>
      </c>
      <c r="C1187" s="3074">
        <f t="shared" si="14"/>
        <v>-7.1428571428571425E-2</v>
      </c>
      <c r="D1187" s="3072" t="s">
        <v>3242</v>
      </c>
      <c r="E1187" s="3072" t="s">
        <v>3234</v>
      </c>
      <c r="F1187" s="3072" t="s">
        <v>3235</v>
      </c>
      <c r="G1187" s="3464" t="s">
        <v>3807</v>
      </c>
      <c r="H1187" s="3465"/>
      <c r="I1187" s="3074">
        <v>2016</v>
      </c>
      <c r="J1187" s="3074">
        <v>3.25</v>
      </c>
    </row>
    <row r="1188" spans="1:10" ht="24.75" thickBot="1">
      <c r="A1188" s="3073">
        <v>6</v>
      </c>
      <c r="B1188" s="3074">
        <v>15</v>
      </c>
      <c r="C1188" s="3074">
        <f t="shared" si="14"/>
        <v>-7.1428571428571425E-2</v>
      </c>
      <c r="D1188" s="3072" t="s">
        <v>3244</v>
      </c>
      <c r="E1188" s="3072" t="s">
        <v>3234</v>
      </c>
      <c r="F1188" s="3072" t="s">
        <v>3235</v>
      </c>
      <c r="G1188" s="3464" t="s">
        <v>3808</v>
      </c>
      <c r="H1188" s="3465"/>
      <c r="I1188" s="3074">
        <v>2016</v>
      </c>
      <c r="J1188" s="3074">
        <v>2.34</v>
      </c>
    </row>
    <row r="1189" spans="1:10" ht="24.75" thickBot="1">
      <c r="A1189" s="3073">
        <v>7</v>
      </c>
      <c r="B1189" s="3074">
        <v>15</v>
      </c>
      <c r="C1189" s="3074">
        <f t="shared" si="14"/>
        <v>-7.1428571428571425E-2</v>
      </c>
      <c r="D1189" s="3072" t="s">
        <v>3246</v>
      </c>
      <c r="E1189" s="3072" t="s">
        <v>3234</v>
      </c>
      <c r="F1189" s="3072" t="s">
        <v>3235</v>
      </c>
      <c r="G1189" s="3464" t="s">
        <v>3809</v>
      </c>
      <c r="H1189" s="3465"/>
      <c r="I1189" s="3074">
        <v>2016</v>
      </c>
      <c r="J1189" s="3074">
        <v>2.38</v>
      </c>
    </row>
    <row r="1190" spans="1:10" ht="24.75" thickBot="1">
      <c r="A1190" s="3073">
        <v>8</v>
      </c>
      <c r="B1190" s="3074">
        <v>15</v>
      </c>
      <c r="C1190" s="3074">
        <f t="shared" si="14"/>
        <v>-7.1428571428571425E-2</v>
      </c>
      <c r="D1190" s="3072" t="s">
        <v>3248</v>
      </c>
      <c r="E1190" s="3072" t="s">
        <v>3234</v>
      </c>
      <c r="F1190" s="3072" t="s">
        <v>3235</v>
      </c>
      <c r="G1190" s="3464" t="s">
        <v>3810</v>
      </c>
      <c r="H1190" s="3465"/>
      <c r="I1190" s="3074">
        <v>2016</v>
      </c>
      <c r="J1190" s="3074">
        <v>2.82</v>
      </c>
    </row>
    <row r="1191" spans="1:10" ht="24.75" thickBot="1">
      <c r="A1191" s="3073">
        <v>9</v>
      </c>
      <c r="B1191" s="3074">
        <v>15</v>
      </c>
      <c r="C1191" s="3074">
        <f t="shared" si="14"/>
        <v>-7.1428571428571425E-2</v>
      </c>
      <c r="D1191" s="3072" t="s">
        <v>3249</v>
      </c>
      <c r="E1191" s="3072" t="s">
        <v>3234</v>
      </c>
      <c r="F1191" s="3072" t="s">
        <v>3235</v>
      </c>
      <c r="G1191" s="3464" t="s">
        <v>3811</v>
      </c>
      <c r="H1191" s="3465"/>
      <c r="I1191" s="3074">
        <v>2016</v>
      </c>
      <c r="J1191" s="3074">
        <v>2.4</v>
      </c>
    </row>
    <row r="1192" spans="1:10" ht="24.75" thickBot="1">
      <c r="A1192" s="3073">
        <v>10</v>
      </c>
      <c r="B1192" s="3074">
        <v>15</v>
      </c>
      <c r="C1192" s="3074">
        <f t="shared" si="14"/>
        <v>-7.1428571428571425E-2</v>
      </c>
      <c r="D1192" s="3072" t="s">
        <v>3251</v>
      </c>
      <c r="E1192" s="3072" t="s">
        <v>3234</v>
      </c>
      <c r="F1192" s="3072" t="s">
        <v>3235</v>
      </c>
      <c r="G1192" s="3464" t="s">
        <v>3812</v>
      </c>
      <c r="H1192" s="3465"/>
      <c r="I1192" s="3074">
        <v>2016</v>
      </c>
      <c r="J1192" s="3074">
        <v>2.09</v>
      </c>
    </row>
    <row r="1193" spans="1:10" ht="24.75" thickBot="1">
      <c r="A1193" s="3073">
        <v>11</v>
      </c>
      <c r="B1193" s="3074">
        <v>15</v>
      </c>
      <c r="C1193" s="3074">
        <f t="shared" si="14"/>
        <v>-7.1428571428571425E-2</v>
      </c>
      <c r="D1193" s="3072" t="s">
        <v>3252</v>
      </c>
      <c r="E1193" s="3072" t="s">
        <v>3234</v>
      </c>
      <c r="F1193" s="3072" t="s">
        <v>3235</v>
      </c>
      <c r="G1193" s="3464">
        <v>9.8000000000000007</v>
      </c>
      <c r="H1193" s="3465"/>
      <c r="I1193" s="3074">
        <v>2016</v>
      </c>
      <c r="J1193" s="3074">
        <v>1.98</v>
      </c>
    </row>
    <row r="1194" spans="1:10" ht="24.75" thickBot="1">
      <c r="A1194" s="3073">
        <v>12</v>
      </c>
      <c r="B1194" s="3074">
        <v>15</v>
      </c>
      <c r="C1194" s="3074">
        <f t="shared" si="14"/>
        <v>-7.1428571428571425E-2</v>
      </c>
      <c r="D1194" s="3072" t="s">
        <v>3254</v>
      </c>
      <c r="E1194" s="3072" t="s">
        <v>3234</v>
      </c>
      <c r="F1194" s="3072" t="s">
        <v>3235</v>
      </c>
      <c r="G1194" s="3076"/>
      <c r="H1194" s="3074">
        <v>74</v>
      </c>
      <c r="I1194" s="3074">
        <v>2016</v>
      </c>
      <c r="J1194" s="3074">
        <v>2.57</v>
      </c>
    </row>
    <row r="1195" spans="1:10" ht="24.75" thickBot="1">
      <c r="A1195" s="3073">
        <v>13</v>
      </c>
      <c r="B1195" s="3074">
        <v>15</v>
      </c>
      <c r="C1195" s="3074">
        <f t="shared" si="14"/>
        <v>-7.1428571428571425E-2</v>
      </c>
      <c r="D1195" s="3072" t="s">
        <v>3255</v>
      </c>
      <c r="E1195" s="3072" t="s">
        <v>3234</v>
      </c>
      <c r="F1195" s="3072" t="s">
        <v>3235</v>
      </c>
      <c r="G1195" s="3464" t="s">
        <v>3813</v>
      </c>
      <c r="H1195" s="3465"/>
      <c r="I1195" s="3074">
        <v>2016</v>
      </c>
      <c r="J1195" s="3074">
        <v>2.09</v>
      </c>
    </row>
    <row r="1196" spans="1:10" ht="24.75" thickBot="1">
      <c r="A1196" s="3073">
        <v>14</v>
      </c>
      <c r="B1196" s="3074">
        <v>15</v>
      </c>
      <c r="C1196" s="3074">
        <f t="shared" si="14"/>
        <v>-7.1428571428571425E-2</v>
      </c>
      <c r="D1196" s="3072" t="s">
        <v>3257</v>
      </c>
      <c r="E1196" s="3072" t="s">
        <v>3234</v>
      </c>
      <c r="F1196" s="3072" t="s">
        <v>3235</v>
      </c>
      <c r="G1196" s="3464" t="s">
        <v>3814</v>
      </c>
      <c r="H1196" s="3465"/>
      <c r="I1196" s="3074">
        <v>2016</v>
      </c>
      <c r="J1196" s="3074">
        <v>3.58</v>
      </c>
    </row>
    <row r="1197" spans="1:10" ht="24.75" thickBot="1">
      <c r="A1197" s="3073">
        <v>15</v>
      </c>
      <c r="B1197" s="3074">
        <v>15</v>
      </c>
      <c r="C1197" s="3074">
        <f t="shared" si="14"/>
        <v>-7.1428571428571425E-2</v>
      </c>
      <c r="D1197" s="3072" t="s">
        <v>3259</v>
      </c>
      <c r="E1197" s="3072" t="s">
        <v>3234</v>
      </c>
      <c r="F1197" s="3072" t="s">
        <v>3235</v>
      </c>
      <c r="G1197" s="3464" t="s">
        <v>3815</v>
      </c>
      <c r="H1197" s="3465"/>
      <c r="I1197" s="3074">
        <v>2016</v>
      </c>
      <c r="J1197" s="3074">
        <v>2.48</v>
      </c>
    </row>
    <row r="1198" spans="1:10" ht="24.75" thickBot="1">
      <c r="A1198" s="3073">
        <v>16</v>
      </c>
      <c r="B1198" s="3074">
        <v>15</v>
      </c>
      <c r="C1198" s="3074">
        <f t="shared" si="14"/>
        <v>-7.1428571428571425E-2</v>
      </c>
      <c r="D1198" s="3072" t="s">
        <v>3261</v>
      </c>
      <c r="E1198" s="3072" t="s">
        <v>3234</v>
      </c>
      <c r="F1198" s="3072" t="s">
        <v>3235</v>
      </c>
      <c r="G1198" s="3464" t="s">
        <v>3605</v>
      </c>
      <c r="H1198" s="3465"/>
      <c r="I1198" s="3074">
        <v>2016</v>
      </c>
      <c r="J1198" s="3074">
        <v>2.69</v>
      </c>
    </row>
    <row r="1199" spans="1:10" ht="24.75" thickBot="1">
      <c r="A1199" s="3073">
        <v>17</v>
      </c>
      <c r="B1199" s="3074">
        <v>15</v>
      </c>
      <c r="C1199" s="3074">
        <f t="shared" si="14"/>
        <v>-7.1428571428571425E-2</v>
      </c>
      <c r="D1199" s="3072" t="s">
        <v>3263</v>
      </c>
      <c r="E1199" s="3072" t="s">
        <v>3234</v>
      </c>
      <c r="F1199" s="3072" t="s">
        <v>3235</v>
      </c>
      <c r="G1199" s="3464" t="s">
        <v>3605</v>
      </c>
      <c r="H1199" s="3465"/>
      <c r="I1199" s="3074">
        <v>2016</v>
      </c>
      <c r="J1199" s="3074">
        <v>2.69</v>
      </c>
    </row>
    <row r="1200" spans="1:10" ht="24.75" thickBot="1">
      <c r="A1200" s="3073">
        <v>18</v>
      </c>
      <c r="B1200" s="3074">
        <v>15</v>
      </c>
      <c r="C1200" s="3074">
        <f t="shared" si="14"/>
        <v>-7.1428571428571425E-2</v>
      </c>
      <c r="D1200" s="3072" t="s">
        <v>3265</v>
      </c>
      <c r="E1200" s="3072" t="s">
        <v>3234</v>
      </c>
      <c r="F1200" s="3072" t="s">
        <v>3235</v>
      </c>
      <c r="G1200" s="3464" t="s">
        <v>3816</v>
      </c>
      <c r="H1200" s="3465"/>
      <c r="I1200" s="3074">
        <v>2016</v>
      </c>
      <c r="J1200" s="3074">
        <v>2.0699999999999998</v>
      </c>
    </row>
    <row r="1201" spans="1:10" ht="24.75" thickBot="1">
      <c r="A1201" s="3073">
        <v>19</v>
      </c>
      <c r="B1201" s="3074">
        <v>15</v>
      </c>
      <c r="C1201" s="3074">
        <f t="shared" si="14"/>
        <v>-7.1428571428571425E-2</v>
      </c>
      <c r="D1201" s="3072" t="s">
        <v>3267</v>
      </c>
      <c r="E1201" s="3072" t="s">
        <v>3234</v>
      </c>
      <c r="F1201" s="3072" t="s">
        <v>3235</v>
      </c>
      <c r="G1201" s="3076"/>
      <c r="H1201" s="3074">
        <v>34</v>
      </c>
      <c r="I1201" s="3074">
        <v>2016</v>
      </c>
      <c r="J1201" s="3074">
        <v>2.08</v>
      </c>
    </row>
    <row r="1202" spans="1:10">
      <c r="A1202" s="3070"/>
    </row>
    <row r="1204" spans="1:10" ht="14.25" thickBot="1">
      <c r="A1204" s="3078"/>
    </row>
    <row r="1205" spans="1:10">
      <c r="A1205" s="3458" t="s">
        <v>3223</v>
      </c>
      <c r="B1205" s="3458" t="s">
        <v>3224</v>
      </c>
      <c r="C1205" s="3071" t="s">
        <v>3225</v>
      </c>
      <c r="D1205" s="3458" t="s">
        <v>3227</v>
      </c>
      <c r="E1205" s="3458" t="s">
        <v>1341</v>
      </c>
      <c r="F1205" s="3458" t="s">
        <v>3228</v>
      </c>
      <c r="G1205" s="3460" t="s">
        <v>3229</v>
      </c>
      <c r="H1205" s="3461"/>
      <c r="I1205" s="3458" t="s">
        <v>3231</v>
      </c>
      <c r="J1205" s="3458" t="s">
        <v>3232</v>
      </c>
    </row>
    <row r="1206" spans="1:10" ht="14.25" thickBot="1">
      <c r="A1206" s="3459"/>
      <c r="B1206" s="3459"/>
      <c r="C1206" s="3072" t="s">
        <v>3226</v>
      </c>
      <c r="D1206" s="3459"/>
      <c r="E1206" s="3459"/>
      <c r="F1206" s="3459"/>
      <c r="G1206" s="3462" t="s">
        <v>3230</v>
      </c>
      <c r="H1206" s="3463"/>
      <c r="I1206" s="3459"/>
      <c r="J1206" s="3459"/>
    </row>
    <row r="1207" spans="1:10" ht="24.75" thickBot="1">
      <c r="A1207" s="3073">
        <v>20</v>
      </c>
      <c r="B1207" s="3074">
        <v>15</v>
      </c>
      <c r="C1207" s="3074">
        <f t="shared" ref="C1207:C1247" si="15">-2/28</f>
        <v>-7.1428571428571425E-2</v>
      </c>
      <c r="D1207" s="3072" t="s">
        <v>3268</v>
      </c>
      <c r="E1207" s="3072" t="s">
        <v>3234</v>
      </c>
      <c r="F1207" s="3072" t="s">
        <v>3235</v>
      </c>
      <c r="G1207" s="3464">
        <v>9.7200000000000006</v>
      </c>
      <c r="H1207" s="3465"/>
      <c r="I1207" s="3074">
        <v>2016</v>
      </c>
      <c r="J1207" s="3074">
        <v>1.96</v>
      </c>
    </row>
    <row r="1208" spans="1:10" ht="24.75" thickBot="1">
      <c r="A1208" s="3073">
        <v>21</v>
      </c>
      <c r="B1208" s="3074">
        <v>15</v>
      </c>
      <c r="C1208" s="3074">
        <f t="shared" si="15"/>
        <v>-7.1428571428571425E-2</v>
      </c>
      <c r="D1208" s="3072" t="s">
        <v>3270</v>
      </c>
      <c r="E1208" s="3072" t="s">
        <v>3234</v>
      </c>
      <c r="F1208" s="3072" t="s">
        <v>3235</v>
      </c>
      <c r="G1208" s="3464">
        <v>9.7200000000000006</v>
      </c>
      <c r="H1208" s="3465"/>
      <c r="I1208" s="3074">
        <v>2016</v>
      </c>
      <c r="J1208" s="3074">
        <v>1.96</v>
      </c>
    </row>
    <row r="1209" spans="1:10" ht="24.75" thickBot="1">
      <c r="A1209" s="3073">
        <v>22</v>
      </c>
      <c r="B1209" s="3074">
        <v>15</v>
      </c>
      <c r="C1209" s="3074">
        <f t="shared" si="15"/>
        <v>-7.1428571428571425E-2</v>
      </c>
      <c r="D1209" s="3072" t="s">
        <v>3272</v>
      </c>
      <c r="E1209" s="3072" t="s">
        <v>3234</v>
      </c>
      <c r="F1209" s="3072" t="s">
        <v>3235</v>
      </c>
      <c r="G1209" s="3464">
        <v>9.9700000000000006</v>
      </c>
      <c r="H1209" s="3465"/>
      <c r="I1209" s="3074">
        <v>2016</v>
      </c>
      <c r="J1209" s="3074">
        <v>2.0099999999999998</v>
      </c>
    </row>
    <row r="1210" spans="1:10" ht="24.75" thickBot="1">
      <c r="A1210" s="3073">
        <v>23</v>
      </c>
      <c r="B1210" s="3074">
        <v>15</v>
      </c>
      <c r="C1210" s="3074">
        <f t="shared" si="15"/>
        <v>-7.1428571428571425E-2</v>
      </c>
      <c r="D1210" s="3072" t="s">
        <v>3273</v>
      </c>
      <c r="E1210" s="3072" t="s">
        <v>3234</v>
      </c>
      <c r="F1210" s="3072" t="s">
        <v>3235</v>
      </c>
      <c r="G1210" s="3464">
        <v>9.31</v>
      </c>
      <c r="H1210" s="3465"/>
      <c r="I1210" s="3074">
        <v>2016</v>
      </c>
      <c r="J1210" s="3074">
        <v>1.88</v>
      </c>
    </row>
    <row r="1211" spans="1:10" ht="24.75" thickBot="1">
      <c r="A1211" s="3073">
        <v>24</v>
      </c>
      <c r="B1211" s="3074">
        <v>15</v>
      </c>
      <c r="C1211" s="3074">
        <f t="shared" si="15"/>
        <v>-7.1428571428571425E-2</v>
      </c>
      <c r="D1211" s="3072" t="s">
        <v>3274</v>
      </c>
      <c r="E1211" s="3072" t="s">
        <v>3234</v>
      </c>
      <c r="F1211" s="3072" t="s">
        <v>3235</v>
      </c>
      <c r="G1211" s="3464">
        <v>9.06</v>
      </c>
      <c r="H1211" s="3465"/>
      <c r="I1211" s="3074">
        <v>2016</v>
      </c>
      <c r="J1211" s="3074">
        <v>1.83</v>
      </c>
    </row>
    <row r="1212" spans="1:10" ht="24.75" thickBot="1">
      <c r="A1212" s="3073">
        <v>25</v>
      </c>
      <c r="B1212" s="3074">
        <v>15</v>
      </c>
      <c r="C1212" s="3074">
        <f t="shared" si="15"/>
        <v>-7.1428571428571425E-2</v>
      </c>
      <c r="D1212" s="3072" t="s">
        <v>3276</v>
      </c>
      <c r="E1212" s="3072" t="s">
        <v>3234</v>
      </c>
      <c r="F1212" s="3072" t="s">
        <v>3235</v>
      </c>
      <c r="G1212" s="3464" t="s">
        <v>3817</v>
      </c>
      <c r="H1212" s="3465"/>
      <c r="I1212" s="3074">
        <v>2016</v>
      </c>
      <c r="J1212" s="3074">
        <v>2.38</v>
      </c>
    </row>
    <row r="1213" spans="1:10" ht="24.75" thickBot="1">
      <c r="A1213" s="3073">
        <v>26</v>
      </c>
      <c r="B1213" s="3074">
        <v>15</v>
      </c>
      <c r="C1213" s="3074">
        <f t="shared" si="15"/>
        <v>-7.1428571428571425E-2</v>
      </c>
      <c r="D1213" s="3072" t="s">
        <v>3277</v>
      </c>
      <c r="E1213" s="3072" t="s">
        <v>3234</v>
      </c>
      <c r="F1213" s="3072" t="s">
        <v>3235</v>
      </c>
      <c r="G1213" s="3464" t="s">
        <v>3818</v>
      </c>
      <c r="H1213" s="3465"/>
      <c r="I1213" s="3074">
        <v>2016</v>
      </c>
      <c r="J1213" s="3074">
        <v>2.4300000000000002</v>
      </c>
    </row>
    <row r="1214" spans="1:10" ht="24.75" thickBot="1">
      <c r="A1214" s="3073">
        <v>27</v>
      </c>
      <c r="B1214" s="3074">
        <v>15</v>
      </c>
      <c r="C1214" s="3074">
        <f t="shared" si="15"/>
        <v>-7.1428571428571425E-2</v>
      </c>
      <c r="D1214" s="3072" t="s">
        <v>3278</v>
      </c>
      <c r="E1214" s="3072" t="s">
        <v>3234</v>
      </c>
      <c r="F1214" s="3072" t="s">
        <v>3235</v>
      </c>
      <c r="G1214" s="3464" t="s">
        <v>3819</v>
      </c>
      <c r="H1214" s="3465"/>
      <c r="I1214" s="3074">
        <v>2016</v>
      </c>
      <c r="J1214" s="3074">
        <v>2.42</v>
      </c>
    </row>
    <row r="1215" spans="1:10" ht="24.75" thickBot="1">
      <c r="A1215" s="3073">
        <v>28</v>
      </c>
      <c r="B1215" s="3074">
        <v>15</v>
      </c>
      <c r="C1215" s="3074">
        <f t="shared" si="15"/>
        <v>-7.1428571428571425E-2</v>
      </c>
      <c r="D1215" s="3072" t="s">
        <v>3280</v>
      </c>
      <c r="E1215" s="3072" t="s">
        <v>3234</v>
      </c>
      <c r="F1215" s="3072" t="s">
        <v>3235</v>
      </c>
      <c r="G1215" s="3464">
        <v>6.84</v>
      </c>
      <c r="H1215" s="3465"/>
      <c r="I1215" s="3074">
        <v>2016</v>
      </c>
      <c r="J1215" s="3074">
        <v>1.38</v>
      </c>
    </row>
    <row r="1216" spans="1:10" ht="24.75" thickBot="1">
      <c r="A1216" s="3073">
        <v>29</v>
      </c>
      <c r="B1216" s="3074">
        <v>15</v>
      </c>
      <c r="C1216" s="3074">
        <f t="shared" si="15"/>
        <v>-7.1428571428571425E-2</v>
      </c>
      <c r="D1216" s="3072" t="s">
        <v>3281</v>
      </c>
      <c r="E1216" s="3072" t="s">
        <v>3234</v>
      </c>
      <c r="F1216" s="3072" t="s">
        <v>3235</v>
      </c>
      <c r="G1216" s="3464" t="s">
        <v>3820</v>
      </c>
      <c r="H1216" s="3465"/>
      <c r="I1216" s="3074">
        <v>2016</v>
      </c>
      <c r="J1216" s="3074">
        <v>2.54</v>
      </c>
    </row>
    <row r="1217" spans="1:10" ht="24.75" thickBot="1">
      <c r="A1217" s="3073">
        <v>30</v>
      </c>
      <c r="B1217" s="3074">
        <v>15</v>
      </c>
      <c r="C1217" s="3074">
        <f t="shared" si="15"/>
        <v>-7.1428571428571425E-2</v>
      </c>
      <c r="D1217" s="3072" t="s">
        <v>3282</v>
      </c>
      <c r="E1217" s="3072" t="s">
        <v>3234</v>
      </c>
      <c r="F1217" s="3072" t="s">
        <v>3235</v>
      </c>
      <c r="G1217" s="3464" t="s">
        <v>3821</v>
      </c>
      <c r="H1217" s="3465"/>
      <c r="I1217" s="3074">
        <v>2016</v>
      </c>
      <c r="J1217" s="3074">
        <v>3.84</v>
      </c>
    </row>
    <row r="1218" spans="1:10" ht="24.75" thickBot="1">
      <c r="A1218" s="3073">
        <v>31</v>
      </c>
      <c r="B1218" s="3074">
        <v>15</v>
      </c>
      <c r="C1218" s="3074">
        <f t="shared" si="15"/>
        <v>-7.1428571428571425E-2</v>
      </c>
      <c r="D1218" s="3072" t="s">
        <v>3284</v>
      </c>
      <c r="E1218" s="3072" t="s">
        <v>3234</v>
      </c>
      <c r="F1218" s="3072" t="s">
        <v>3235</v>
      </c>
      <c r="G1218" s="3076"/>
      <c r="H1218" s="3074">
        <v>5</v>
      </c>
      <c r="I1218" s="3074">
        <v>2016</v>
      </c>
      <c r="J1218" s="3074">
        <v>3.84</v>
      </c>
    </row>
    <row r="1219" spans="1:10" ht="24.75" thickBot="1">
      <c r="A1219" s="3073">
        <v>32</v>
      </c>
      <c r="B1219" s="3074">
        <v>15</v>
      </c>
      <c r="C1219" s="3074">
        <f t="shared" si="15"/>
        <v>-7.1428571428571425E-2</v>
      </c>
      <c r="D1219" s="3072" t="s">
        <v>3285</v>
      </c>
      <c r="E1219" s="3072" t="s">
        <v>3234</v>
      </c>
      <c r="F1219" s="3072" t="s">
        <v>3235</v>
      </c>
      <c r="G1219" s="3464" t="s">
        <v>3820</v>
      </c>
      <c r="H1219" s="3465"/>
      <c r="I1219" s="3074">
        <v>2016</v>
      </c>
      <c r="J1219" s="3074">
        <v>2.54</v>
      </c>
    </row>
    <row r="1220" spans="1:10" ht="24.75" thickBot="1">
      <c r="A1220" s="3073">
        <v>33</v>
      </c>
      <c r="B1220" s="3074">
        <v>15</v>
      </c>
      <c r="C1220" s="3074">
        <f t="shared" si="15"/>
        <v>-7.1428571428571425E-2</v>
      </c>
      <c r="D1220" s="3072" t="s">
        <v>3286</v>
      </c>
      <c r="E1220" s="3072" t="s">
        <v>3234</v>
      </c>
      <c r="F1220" s="3072" t="s">
        <v>3235</v>
      </c>
      <c r="G1220" s="3464">
        <v>6.84</v>
      </c>
      <c r="H1220" s="3465"/>
      <c r="I1220" s="3074">
        <v>2016</v>
      </c>
      <c r="J1220" s="3074">
        <v>1.38</v>
      </c>
    </row>
    <row r="1221" spans="1:10" ht="24.75" thickBot="1">
      <c r="A1221" s="3073">
        <v>34</v>
      </c>
      <c r="B1221" s="3074">
        <v>15</v>
      </c>
      <c r="C1221" s="3074">
        <f t="shared" si="15"/>
        <v>-7.1428571428571425E-2</v>
      </c>
      <c r="D1221" s="3072" t="s">
        <v>3288</v>
      </c>
      <c r="E1221" s="3072" t="s">
        <v>3234</v>
      </c>
      <c r="F1221" s="3072" t="s">
        <v>3235</v>
      </c>
      <c r="G1221" s="3464" t="s">
        <v>3819</v>
      </c>
      <c r="H1221" s="3465"/>
      <c r="I1221" s="3074">
        <v>2016</v>
      </c>
      <c r="J1221" s="3074">
        <v>2.42</v>
      </c>
    </row>
    <row r="1222" spans="1:10" ht="24.75" thickBot="1">
      <c r="A1222" s="3073">
        <v>35</v>
      </c>
      <c r="B1222" s="3074">
        <v>15</v>
      </c>
      <c r="C1222" s="3074">
        <f t="shared" si="15"/>
        <v>-7.1428571428571425E-2</v>
      </c>
      <c r="D1222" s="3072" t="s">
        <v>3289</v>
      </c>
      <c r="E1222" s="3072" t="s">
        <v>3234</v>
      </c>
      <c r="F1222" s="3072" t="s">
        <v>3235</v>
      </c>
      <c r="G1222" s="3464" t="s">
        <v>3818</v>
      </c>
      <c r="H1222" s="3465"/>
      <c r="I1222" s="3074">
        <v>2016</v>
      </c>
      <c r="J1222" s="3074">
        <v>2.4300000000000002</v>
      </c>
    </row>
    <row r="1223" spans="1:10" ht="24.75" thickBot="1">
      <c r="A1223" s="3073">
        <v>36</v>
      </c>
      <c r="B1223" s="3074">
        <v>15</v>
      </c>
      <c r="C1223" s="3074">
        <f t="shared" si="15"/>
        <v>-7.1428571428571425E-2</v>
      </c>
      <c r="D1223" s="3072" t="s">
        <v>3290</v>
      </c>
      <c r="E1223" s="3072" t="s">
        <v>3234</v>
      </c>
      <c r="F1223" s="3072" t="s">
        <v>3235</v>
      </c>
      <c r="G1223" s="3464">
        <v>9.31</v>
      </c>
      <c r="H1223" s="3465"/>
      <c r="I1223" s="3074">
        <v>2016</v>
      </c>
      <c r="J1223" s="3074">
        <v>1.88</v>
      </c>
    </row>
    <row r="1224" spans="1:10" ht="24.75" thickBot="1">
      <c r="A1224" s="3073">
        <v>37</v>
      </c>
      <c r="B1224" s="3074">
        <v>15</v>
      </c>
      <c r="C1224" s="3074">
        <f t="shared" si="15"/>
        <v>-7.1428571428571425E-2</v>
      </c>
      <c r="D1224" s="3072" t="s">
        <v>3291</v>
      </c>
      <c r="E1224" s="3072" t="s">
        <v>3234</v>
      </c>
      <c r="F1224" s="3072" t="s">
        <v>3235</v>
      </c>
      <c r="G1224" s="3464">
        <v>9.06</v>
      </c>
      <c r="H1224" s="3465"/>
      <c r="I1224" s="3074">
        <v>2016</v>
      </c>
      <c r="J1224" s="3074">
        <v>1.83</v>
      </c>
    </row>
    <row r="1225" spans="1:10" ht="24.75" thickBot="1">
      <c r="A1225" s="3073">
        <v>38</v>
      </c>
      <c r="B1225" s="3074">
        <v>15</v>
      </c>
      <c r="C1225" s="3074">
        <f t="shared" si="15"/>
        <v>-7.1428571428571425E-2</v>
      </c>
      <c r="D1225" s="3072" t="s">
        <v>3292</v>
      </c>
      <c r="E1225" s="3072" t="s">
        <v>3234</v>
      </c>
      <c r="F1225" s="3072" t="s">
        <v>3235</v>
      </c>
      <c r="G1225" s="3464">
        <v>7.42</v>
      </c>
      <c r="H1225" s="3465"/>
      <c r="I1225" s="3074">
        <v>2016</v>
      </c>
      <c r="J1225" s="3074">
        <v>1.5</v>
      </c>
    </row>
    <row r="1226" spans="1:10" ht="24.75" thickBot="1">
      <c r="A1226" s="3073">
        <v>39</v>
      </c>
      <c r="B1226" s="3074">
        <v>15</v>
      </c>
      <c r="C1226" s="3074">
        <f t="shared" si="15"/>
        <v>-7.1428571428571425E-2</v>
      </c>
      <c r="D1226" s="3072" t="s">
        <v>3293</v>
      </c>
      <c r="E1226" s="3072" t="s">
        <v>3234</v>
      </c>
      <c r="F1226" s="3072" t="s">
        <v>3235</v>
      </c>
      <c r="G1226" s="3464">
        <v>9.9700000000000006</v>
      </c>
      <c r="H1226" s="3465"/>
      <c r="I1226" s="3074">
        <v>2016</v>
      </c>
      <c r="J1226" s="3074">
        <v>2.0099999999999998</v>
      </c>
    </row>
    <row r="1227" spans="1:10" ht="24.75" thickBot="1">
      <c r="A1227" s="3073">
        <v>40</v>
      </c>
      <c r="B1227" s="3074">
        <v>15</v>
      </c>
      <c r="C1227" s="3074">
        <f t="shared" si="15"/>
        <v>-7.1428571428571425E-2</v>
      </c>
      <c r="D1227" s="3072" t="s">
        <v>3295</v>
      </c>
      <c r="E1227" s="3072" t="s">
        <v>3234</v>
      </c>
      <c r="F1227" s="3072" t="s">
        <v>3235</v>
      </c>
      <c r="G1227" s="3464">
        <v>9.7200000000000006</v>
      </c>
      <c r="H1227" s="3465"/>
      <c r="I1227" s="3074">
        <v>2016</v>
      </c>
      <c r="J1227" s="3074">
        <v>1.96</v>
      </c>
    </row>
    <row r="1228" spans="1:10" ht="24.75" thickBot="1">
      <c r="A1228" s="3073">
        <v>41</v>
      </c>
      <c r="B1228" s="3074">
        <v>15</v>
      </c>
      <c r="C1228" s="3074">
        <f t="shared" si="15"/>
        <v>-7.1428571428571425E-2</v>
      </c>
      <c r="D1228" s="3072" t="s">
        <v>3296</v>
      </c>
      <c r="E1228" s="3072" t="s">
        <v>3234</v>
      </c>
      <c r="F1228" s="3072" t="s">
        <v>3235</v>
      </c>
      <c r="G1228" s="3464">
        <v>9.7200000000000006</v>
      </c>
      <c r="H1228" s="3465"/>
      <c r="I1228" s="3074">
        <v>2016</v>
      </c>
      <c r="J1228" s="3074">
        <v>1.96</v>
      </c>
    </row>
    <row r="1229" spans="1:10" ht="24.75" thickBot="1">
      <c r="A1229" s="3073">
        <v>42</v>
      </c>
      <c r="B1229" s="3074">
        <v>15</v>
      </c>
      <c r="C1229" s="3074">
        <f t="shared" si="15"/>
        <v>-7.1428571428571425E-2</v>
      </c>
      <c r="D1229" s="3072" t="s">
        <v>3297</v>
      </c>
      <c r="E1229" s="3072" t="s">
        <v>3234</v>
      </c>
      <c r="F1229" s="3072" t="s">
        <v>3235</v>
      </c>
      <c r="G1229" s="3464" t="s">
        <v>3822</v>
      </c>
      <c r="H1229" s="3465"/>
      <c r="I1229" s="3074">
        <v>2016</v>
      </c>
      <c r="J1229" s="3074">
        <v>2.08</v>
      </c>
    </row>
    <row r="1230" spans="1:10" ht="24.75" thickBot="1">
      <c r="A1230" s="3073">
        <v>43</v>
      </c>
      <c r="B1230" s="3074">
        <v>15</v>
      </c>
      <c r="C1230" s="3074">
        <f t="shared" si="15"/>
        <v>-7.1428571428571425E-2</v>
      </c>
      <c r="D1230" s="3072" t="s">
        <v>3298</v>
      </c>
      <c r="E1230" s="3072" t="s">
        <v>3234</v>
      </c>
      <c r="F1230" s="3072" t="s">
        <v>3235</v>
      </c>
      <c r="G1230" s="3464" t="s">
        <v>3816</v>
      </c>
      <c r="H1230" s="3465"/>
      <c r="I1230" s="3074">
        <v>2016</v>
      </c>
      <c r="J1230" s="3074">
        <v>2.0699999999999998</v>
      </c>
    </row>
    <row r="1231" spans="1:10" ht="24.75" thickBot="1">
      <c r="A1231" s="3073">
        <v>44</v>
      </c>
      <c r="B1231" s="3074">
        <v>15</v>
      </c>
      <c r="C1231" s="3074">
        <f t="shared" si="15"/>
        <v>-7.1428571428571425E-2</v>
      </c>
      <c r="D1231" s="3072" t="s">
        <v>3299</v>
      </c>
      <c r="E1231" s="3072" t="s">
        <v>3234</v>
      </c>
      <c r="F1231" s="3072" t="s">
        <v>3235</v>
      </c>
      <c r="G1231" s="3464" t="s">
        <v>3605</v>
      </c>
      <c r="H1231" s="3465"/>
      <c r="I1231" s="3074">
        <v>2016</v>
      </c>
      <c r="J1231" s="3074">
        <v>2.69</v>
      </c>
    </row>
    <row r="1232" spans="1:10" ht="24.75" thickBot="1">
      <c r="A1232" s="3073">
        <v>45</v>
      </c>
      <c r="B1232" s="3074">
        <v>15</v>
      </c>
      <c r="C1232" s="3074">
        <f t="shared" si="15"/>
        <v>-7.1428571428571425E-2</v>
      </c>
      <c r="D1232" s="3072" t="s">
        <v>3300</v>
      </c>
      <c r="E1232" s="3072" t="s">
        <v>3234</v>
      </c>
      <c r="F1232" s="3072" t="s">
        <v>3235</v>
      </c>
      <c r="G1232" s="3464" t="s">
        <v>3605</v>
      </c>
      <c r="H1232" s="3465"/>
      <c r="I1232" s="3074">
        <v>2016</v>
      </c>
      <c r="J1232" s="3074">
        <v>2.69</v>
      </c>
    </row>
    <row r="1233" spans="1:10" ht="24.75" thickBot="1">
      <c r="A1233" s="3073">
        <v>46</v>
      </c>
      <c r="B1233" s="3074">
        <v>15</v>
      </c>
      <c r="C1233" s="3074">
        <f t="shared" si="15"/>
        <v>-7.1428571428571425E-2</v>
      </c>
      <c r="D1233" s="3072" t="s">
        <v>3301</v>
      </c>
      <c r="E1233" s="3072" t="s">
        <v>3234</v>
      </c>
      <c r="F1233" s="3072" t="s">
        <v>3235</v>
      </c>
      <c r="G1233" s="3464" t="s">
        <v>3815</v>
      </c>
      <c r="H1233" s="3465"/>
      <c r="I1233" s="3074">
        <v>2016</v>
      </c>
      <c r="J1233" s="3074">
        <v>2.48</v>
      </c>
    </row>
    <row r="1234" spans="1:10" ht="24.75" thickBot="1">
      <c r="A1234" s="3073">
        <v>47</v>
      </c>
      <c r="B1234" s="3074">
        <v>15</v>
      </c>
      <c r="C1234" s="3074">
        <f t="shared" si="15"/>
        <v>-7.1428571428571425E-2</v>
      </c>
      <c r="D1234" s="3072" t="s">
        <v>3302</v>
      </c>
      <c r="E1234" s="3072" t="s">
        <v>3234</v>
      </c>
      <c r="F1234" s="3072" t="s">
        <v>3235</v>
      </c>
      <c r="G1234" s="3464" t="s">
        <v>3814</v>
      </c>
      <c r="H1234" s="3465"/>
      <c r="I1234" s="3074">
        <v>2016</v>
      </c>
      <c r="J1234" s="3074">
        <v>3.58</v>
      </c>
    </row>
    <row r="1235" spans="1:10" ht="24.75" thickBot="1">
      <c r="A1235" s="3073">
        <v>48</v>
      </c>
      <c r="B1235" s="3074">
        <v>15</v>
      </c>
      <c r="C1235" s="3074">
        <f t="shared" si="15"/>
        <v>-7.1428571428571425E-2</v>
      </c>
      <c r="D1235" s="3072" t="s">
        <v>3303</v>
      </c>
      <c r="E1235" s="3072" t="s">
        <v>3234</v>
      </c>
      <c r="F1235" s="3072" t="s">
        <v>3235</v>
      </c>
      <c r="G1235" s="3076"/>
      <c r="H1235" s="3074">
        <v>38</v>
      </c>
      <c r="I1235" s="3074">
        <v>2016</v>
      </c>
      <c r="J1235" s="3074">
        <v>2.09</v>
      </c>
    </row>
    <row r="1236" spans="1:10" ht="24.75" thickBot="1">
      <c r="A1236" s="3073">
        <v>49</v>
      </c>
      <c r="B1236" s="3074">
        <v>15</v>
      </c>
      <c r="C1236" s="3074">
        <f t="shared" si="15"/>
        <v>-7.1428571428571425E-2</v>
      </c>
      <c r="D1236" s="3072" t="s">
        <v>3304</v>
      </c>
      <c r="E1236" s="3072" t="s">
        <v>3234</v>
      </c>
      <c r="F1236" s="3072" t="s">
        <v>3235</v>
      </c>
      <c r="G1236" s="3464" t="s">
        <v>3823</v>
      </c>
      <c r="H1236" s="3465"/>
      <c r="I1236" s="3074">
        <v>2016</v>
      </c>
      <c r="J1236" s="3074">
        <v>2.57</v>
      </c>
    </row>
    <row r="1237" spans="1:10" ht="24.75" thickBot="1">
      <c r="A1237" s="3073">
        <v>50</v>
      </c>
      <c r="B1237" s="3074">
        <v>15</v>
      </c>
      <c r="C1237" s="3074">
        <f t="shared" si="15"/>
        <v>-7.1428571428571425E-2</v>
      </c>
      <c r="D1237" s="3072" t="s">
        <v>3305</v>
      </c>
      <c r="E1237" s="3072" t="s">
        <v>3234</v>
      </c>
      <c r="F1237" s="3072" t="s">
        <v>3235</v>
      </c>
      <c r="G1237" s="3464">
        <v>9.8000000000000007</v>
      </c>
      <c r="H1237" s="3465"/>
      <c r="I1237" s="3074">
        <v>2016</v>
      </c>
      <c r="J1237" s="3074">
        <v>1.98</v>
      </c>
    </row>
    <row r="1238" spans="1:10" ht="24.75" thickBot="1">
      <c r="A1238" s="3073">
        <v>51</v>
      </c>
      <c r="B1238" s="3074">
        <v>15</v>
      </c>
      <c r="C1238" s="3074">
        <f t="shared" si="15"/>
        <v>-7.1428571428571425E-2</v>
      </c>
      <c r="D1238" s="3072" t="s">
        <v>3306</v>
      </c>
      <c r="E1238" s="3072" t="s">
        <v>3234</v>
      </c>
      <c r="F1238" s="3072" t="s">
        <v>3235</v>
      </c>
      <c r="G1238" s="3464" t="s">
        <v>3812</v>
      </c>
      <c r="H1238" s="3465"/>
      <c r="I1238" s="3074">
        <v>2016</v>
      </c>
      <c r="J1238" s="3074">
        <v>2.09</v>
      </c>
    </row>
    <row r="1239" spans="1:10" ht="24.75" thickBot="1">
      <c r="A1239" s="3073">
        <v>52</v>
      </c>
      <c r="B1239" s="3074">
        <v>15</v>
      </c>
      <c r="C1239" s="3074">
        <f t="shared" si="15"/>
        <v>-7.1428571428571425E-2</v>
      </c>
      <c r="D1239" s="3072" t="s">
        <v>3307</v>
      </c>
      <c r="E1239" s="3072" t="s">
        <v>3234</v>
      </c>
      <c r="F1239" s="3072" t="s">
        <v>3235</v>
      </c>
      <c r="G1239" s="3464" t="s">
        <v>3810</v>
      </c>
      <c r="H1239" s="3465"/>
      <c r="I1239" s="3074">
        <v>2016</v>
      </c>
      <c r="J1239" s="3074">
        <v>2.82</v>
      </c>
    </row>
    <row r="1240" spans="1:10" ht="24.75" thickBot="1">
      <c r="A1240" s="3073">
        <v>53</v>
      </c>
      <c r="B1240" s="3074">
        <v>15</v>
      </c>
      <c r="C1240" s="3074">
        <f t="shared" si="15"/>
        <v>-7.1428571428571425E-2</v>
      </c>
      <c r="D1240" s="3072" t="s">
        <v>3308</v>
      </c>
      <c r="E1240" s="3072" t="s">
        <v>3234</v>
      </c>
      <c r="F1240" s="3072" t="s">
        <v>3235</v>
      </c>
      <c r="G1240" s="3464" t="s">
        <v>3811</v>
      </c>
      <c r="H1240" s="3465"/>
      <c r="I1240" s="3074">
        <v>2016</v>
      </c>
      <c r="J1240" s="3074">
        <v>2.4</v>
      </c>
    </row>
    <row r="1241" spans="1:10" ht="24.75" thickBot="1">
      <c r="A1241" s="3073">
        <v>54</v>
      </c>
      <c r="B1241" s="3074">
        <v>15</v>
      </c>
      <c r="C1241" s="3074">
        <f t="shared" si="15"/>
        <v>-7.1428571428571425E-2</v>
      </c>
      <c r="D1241" s="3072" t="s">
        <v>3309</v>
      </c>
      <c r="E1241" s="3072" t="s">
        <v>3234</v>
      </c>
      <c r="F1241" s="3072" t="s">
        <v>3235</v>
      </c>
      <c r="G1241" s="3464" t="s">
        <v>3809</v>
      </c>
      <c r="H1241" s="3465"/>
      <c r="I1241" s="3074">
        <v>2016</v>
      </c>
      <c r="J1241" s="3074">
        <v>2.38</v>
      </c>
    </row>
    <row r="1242" spans="1:10" ht="24.75" thickBot="1">
      <c r="A1242" s="3073">
        <v>55</v>
      </c>
      <c r="B1242" s="3074">
        <v>15</v>
      </c>
      <c r="C1242" s="3074">
        <f t="shared" si="15"/>
        <v>-7.1428571428571425E-2</v>
      </c>
      <c r="D1242" s="3072" t="s">
        <v>3310</v>
      </c>
      <c r="E1242" s="3072" t="s">
        <v>3234</v>
      </c>
      <c r="F1242" s="3072" t="s">
        <v>3235</v>
      </c>
      <c r="G1242" s="3464" t="s">
        <v>3808</v>
      </c>
      <c r="H1242" s="3465"/>
      <c r="I1242" s="3074">
        <v>2016</v>
      </c>
      <c r="J1242" s="3074">
        <v>2.34</v>
      </c>
    </row>
    <row r="1243" spans="1:10" ht="24.75" thickBot="1">
      <c r="A1243" s="3073">
        <v>56</v>
      </c>
      <c r="B1243" s="3074">
        <v>15</v>
      </c>
      <c r="C1243" s="3074">
        <f t="shared" si="15"/>
        <v>-7.1428571428571425E-2</v>
      </c>
      <c r="D1243" s="3072" t="s">
        <v>3311</v>
      </c>
      <c r="E1243" s="3072" t="s">
        <v>3234</v>
      </c>
      <c r="F1243" s="3072" t="s">
        <v>3235</v>
      </c>
      <c r="G1243" s="3464" t="s">
        <v>3807</v>
      </c>
      <c r="H1243" s="3465"/>
      <c r="I1243" s="3074">
        <v>2016</v>
      </c>
      <c r="J1243" s="3074">
        <v>3.25</v>
      </c>
    </row>
    <row r="1244" spans="1:10" ht="24.75" thickBot="1">
      <c r="A1244" s="3073">
        <v>57</v>
      </c>
      <c r="B1244" s="3074">
        <v>15</v>
      </c>
      <c r="C1244" s="3074">
        <f t="shared" si="15"/>
        <v>-7.1428571428571425E-2</v>
      </c>
      <c r="D1244" s="3072" t="s">
        <v>3313</v>
      </c>
      <c r="E1244" s="3072" t="s">
        <v>3234</v>
      </c>
      <c r="F1244" s="3072" t="s">
        <v>3235</v>
      </c>
      <c r="G1244" s="3464" t="s">
        <v>3807</v>
      </c>
      <c r="H1244" s="3465"/>
      <c r="I1244" s="3074">
        <v>2016</v>
      </c>
      <c r="J1244" s="3074">
        <v>3.25</v>
      </c>
    </row>
    <row r="1245" spans="1:10" ht="24.75" thickBot="1">
      <c r="A1245" s="3073">
        <v>58</v>
      </c>
      <c r="B1245" s="3074">
        <v>15</v>
      </c>
      <c r="C1245" s="3074">
        <f t="shared" si="15"/>
        <v>-7.1428571428571425E-2</v>
      </c>
      <c r="D1245" s="3072" t="s">
        <v>3578</v>
      </c>
      <c r="E1245" s="3072" t="s">
        <v>3234</v>
      </c>
      <c r="F1245" s="3072" t="s">
        <v>3235</v>
      </c>
      <c r="G1245" s="3076"/>
      <c r="H1245" s="3074">
        <v>65</v>
      </c>
      <c r="I1245" s="3074">
        <v>2016</v>
      </c>
      <c r="J1245" s="3074">
        <v>3.36</v>
      </c>
    </row>
    <row r="1246" spans="1:10" ht="24.75" thickBot="1">
      <c r="A1246" s="3073">
        <v>59</v>
      </c>
      <c r="B1246" s="3074">
        <v>15</v>
      </c>
      <c r="C1246" s="3074">
        <f t="shared" si="15"/>
        <v>-7.1428571428571425E-2</v>
      </c>
      <c r="D1246" s="3072" t="s">
        <v>3824</v>
      </c>
      <c r="E1246" s="3072" t="s">
        <v>3234</v>
      </c>
      <c r="F1246" s="3072" t="s">
        <v>3235</v>
      </c>
      <c r="G1246" s="3464" t="s">
        <v>3806</v>
      </c>
      <c r="H1246" s="3465"/>
      <c r="I1246" s="3074">
        <v>2016</v>
      </c>
      <c r="J1246" s="3074">
        <v>3.36</v>
      </c>
    </row>
    <row r="1247" spans="1:10" ht="24.75" thickBot="1">
      <c r="A1247" s="3073">
        <v>60</v>
      </c>
      <c r="B1247" s="3074">
        <v>15</v>
      </c>
      <c r="C1247" s="3074">
        <f t="shared" si="15"/>
        <v>-7.1428571428571425E-2</v>
      </c>
      <c r="D1247" s="3072" t="s">
        <v>3825</v>
      </c>
      <c r="E1247" s="3072" t="s">
        <v>3234</v>
      </c>
      <c r="F1247" s="3072" t="s">
        <v>3235</v>
      </c>
      <c r="G1247" s="3464" t="s">
        <v>3806</v>
      </c>
      <c r="H1247" s="3465"/>
      <c r="I1247" s="3074">
        <v>2016</v>
      </c>
      <c r="J1247" s="3074">
        <v>3.36</v>
      </c>
    </row>
    <row r="1248" spans="1:10" ht="24.75" thickBot="1">
      <c r="A1248" s="3073">
        <v>61</v>
      </c>
      <c r="B1248" s="3074">
        <v>15</v>
      </c>
      <c r="C1248" s="3074">
        <f t="shared" ref="C1248:C1261" si="16">-1/28</f>
        <v>-3.5714285714285712E-2</v>
      </c>
      <c r="D1248" s="3072" t="s">
        <v>3314</v>
      </c>
      <c r="E1248" s="3072" t="s">
        <v>3234</v>
      </c>
      <c r="F1248" s="3072" t="s">
        <v>3235</v>
      </c>
      <c r="G1248" s="3464" t="s">
        <v>3806</v>
      </c>
      <c r="H1248" s="3465"/>
      <c r="I1248" s="3074">
        <v>2016</v>
      </c>
      <c r="J1248" s="3074">
        <v>3.36</v>
      </c>
    </row>
    <row r="1249" spans="1:10" ht="24.75" thickBot="1">
      <c r="A1249" s="3073">
        <v>62</v>
      </c>
      <c r="B1249" s="3074">
        <v>15</v>
      </c>
      <c r="C1249" s="3074">
        <f t="shared" si="16"/>
        <v>-3.5714285714285712E-2</v>
      </c>
      <c r="D1249" s="3072" t="s">
        <v>3315</v>
      </c>
      <c r="E1249" s="3072" t="s">
        <v>3234</v>
      </c>
      <c r="F1249" s="3072" t="s">
        <v>3235</v>
      </c>
      <c r="G1249" s="3464" t="s">
        <v>3806</v>
      </c>
      <c r="H1249" s="3465"/>
      <c r="I1249" s="3074">
        <v>2016</v>
      </c>
      <c r="J1249" s="3074">
        <v>3.36</v>
      </c>
    </row>
    <row r="1250" spans="1:10" ht="24.75" thickBot="1">
      <c r="A1250" s="3073">
        <v>63</v>
      </c>
      <c r="B1250" s="3074">
        <v>15</v>
      </c>
      <c r="C1250" s="3074">
        <f t="shared" si="16"/>
        <v>-3.5714285714285712E-2</v>
      </c>
      <c r="D1250" s="3072" t="s">
        <v>3316</v>
      </c>
      <c r="E1250" s="3072" t="s">
        <v>3234</v>
      </c>
      <c r="F1250" s="3072" t="s">
        <v>3235</v>
      </c>
      <c r="G1250" s="3464" t="s">
        <v>3806</v>
      </c>
      <c r="H1250" s="3465"/>
      <c r="I1250" s="3074">
        <v>2016</v>
      </c>
      <c r="J1250" s="3074">
        <v>3.36</v>
      </c>
    </row>
    <row r="1251" spans="1:10" ht="24.75" thickBot="1">
      <c r="A1251" s="3073">
        <v>64</v>
      </c>
      <c r="B1251" s="3074">
        <v>15</v>
      </c>
      <c r="C1251" s="3074">
        <f t="shared" si="16"/>
        <v>-3.5714285714285712E-2</v>
      </c>
      <c r="D1251" s="3072" t="s">
        <v>3317</v>
      </c>
      <c r="E1251" s="3072" t="s">
        <v>3234</v>
      </c>
      <c r="F1251" s="3072" t="s">
        <v>3235</v>
      </c>
      <c r="G1251" s="3464" t="s">
        <v>3807</v>
      </c>
      <c r="H1251" s="3465"/>
      <c r="I1251" s="3074">
        <v>2016</v>
      </c>
      <c r="J1251" s="3074">
        <v>3.25</v>
      </c>
    </row>
    <row r="1252" spans="1:10" ht="24.75" thickBot="1">
      <c r="A1252" s="3073">
        <v>65</v>
      </c>
      <c r="B1252" s="3074">
        <v>15</v>
      </c>
      <c r="C1252" s="3074">
        <f t="shared" si="16"/>
        <v>-3.5714285714285712E-2</v>
      </c>
      <c r="D1252" s="3072" t="s">
        <v>3318</v>
      </c>
      <c r="E1252" s="3072" t="s">
        <v>3234</v>
      </c>
      <c r="F1252" s="3072" t="s">
        <v>3235</v>
      </c>
      <c r="G1252" s="3076"/>
      <c r="H1252" s="3074">
        <v>11</v>
      </c>
      <c r="I1252" s="3074">
        <v>2016</v>
      </c>
      <c r="J1252" s="3074">
        <v>3.25</v>
      </c>
    </row>
    <row r="1253" spans="1:10" ht="24.75" thickBot="1">
      <c r="A1253" s="3073">
        <v>66</v>
      </c>
      <c r="B1253" s="3074">
        <v>15</v>
      </c>
      <c r="C1253" s="3074">
        <f t="shared" si="16"/>
        <v>-3.5714285714285712E-2</v>
      </c>
      <c r="D1253" s="3072" t="s">
        <v>3319</v>
      </c>
      <c r="E1253" s="3072" t="s">
        <v>3234</v>
      </c>
      <c r="F1253" s="3072" t="s">
        <v>3235</v>
      </c>
      <c r="G1253" s="3464" t="s">
        <v>3808</v>
      </c>
      <c r="H1253" s="3465"/>
      <c r="I1253" s="3074">
        <v>2016</v>
      </c>
      <c r="J1253" s="3074">
        <v>2.34</v>
      </c>
    </row>
    <row r="1254" spans="1:10" ht="24.75" thickBot="1">
      <c r="A1254" s="3073">
        <v>67</v>
      </c>
      <c r="B1254" s="3074">
        <v>15</v>
      </c>
      <c r="C1254" s="3074">
        <f t="shared" si="16"/>
        <v>-3.5714285714285712E-2</v>
      </c>
      <c r="D1254" s="3072" t="s">
        <v>3320</v>
      </c>
      <c r="E1254" s="3072" t="s">
        <v>3234</v>
      </c>
      <c r="F1254" s="3072" t="s">
        <v>3235</v>
      </c>
      <c r="G1254" s="3464" t="s">
        <v>3809</v>
      </c>
      <c r="H1254" s="3465"/>
      <c r="I1254" s="3074">
        <v>2016</v>
      </c>
      <c r="J1254" s="3074">
        <v>2.38</v>
      </c>
    </row>
    <row r="1255" spans="1:10" ht="24.75" thickBot="1">
      <c r="A1255" s="3073">
        <v>68</v>
      </c>
      <c r="B1255" s="3074">
        <v>15</v>
      </c>
      <c r="C1255" s="3074">
        <f t="shared" si="16"/>
        <v>-3.5714285714285712E-2</v>
      </c>
      <c r="D1255" s="3072" t="s">
        <v>3321</v>
      </c>
      <c r="E1255" s="3072" t="s">
        <v>3234</v>
      </c>
      <c r="F1255" s="3072" t="s">
        <v>3235</v>
      </c>
      <c r="G1255" s="3464" t="s">
        <v>3810</v>
      </c>
      <c r="H1255" s="3465"/>
      <c r="I1255" s="3074">
        <v>2016</v>
      </c>
      <c r="J1255" s="3074">
        <v>2.82</v>
      </c>
    </row>
    <row r="1256" spans="1:10" ht="24.75" thickBot="1">
      <c r="A1256" s="3073">
        <v>69</v>
      </c>
      <c r="B1256" s="3074">
        <v>15</v>
      </c>
      <c r="C1256" s="3074">
        <f t="shared" si="16"/>
        <v>-3.5714285714285712E-2</v>
      </c>
      <c r="D1256" s="3072" t="s">
        <v>3322</v>
      </c>
      <c r="E1256" s="3072" t="s">
        <v>3234</v>
      </c>
      <c r="F1256" s="3072" t="s">
        <v>3235</v>
      </c>
      <c r="G1256" s="3464" t="s">
        <v>3811</v>
      </c>
      <c r="H1256" s="3465"/>
      <c r="I1256" s="3074">
        <v>2016</v>
      </c>
      <c r="J1256" s="3074">
        <v>2.4</v>
      </c>
    </row>
    <row r="1257" spans="1:10" ht="24.75" thickBot="1">
      <c r="A1257" s="3073">
        <v>70</v>
      </c>
      <c r="B1257" s="3074">
        <v>15</v>
      </c>
      <c r="C1257" s="3074">
        <f t="shared" si="16"/>
        <v>-3.5714285714285712E-2</v>
      </c>
      <c r="D1257" s="3072" t="s">
        <v>3323</v>
      </c>
      <c r="E1257" s="3072" t="s">
        <v>3234</v>
      </c>
      <c r="F1257" s="3072" t="s">
        <v>3235</v>
      </c>
      <c r="G1257" s="3464" t="s">
        <v>3812</v>
      </c>
      <c r="H1257" s="3465"/>
      <c r="I1257" s="3074">
        <v>2016</v>
      </c>
      <c r="J1257" s="3074">
        <v>2.09</v>
      </c>
    </row>
    <row r="1258" spans="1:10" ht="24.75" thickBot="1">
      <c r="A1258" s="3073">
        <v>71</v>
      </c>
      <c r="B1258" s="3074">
        <v>15</v>
      </c>
      <c r="C1258" s="3074">
        <f t="shared" si="16"/>
        <v>-3.5714285714285712E-2</v>
      </c>
      <c r="D1258" s="3072" t="s">
        <v>3325</v>
      </c>
      <c r="E1258" s="3072" t="s">
        <v>3234</v>
      </c>
      <c r="F1258" s="3072" t="s">
        <v>3235</v>
      </c>
      <c r="G1258" s="3464">
        <v>9.8000000000000007</v>
      </c>
      <c r="H1258" s="3465"/>
      <c r="I1258" s="3074">
        <v>2016</v>
      </c>
      <c r="J1258" s="3074">
        <v>1.98</v>
      </c>
    </row>
    <row r="1259" spans="1:10" ht="24.75" thickBot="1">
      <c r="A1259" s="3073">
        <v>72</v>
      </c>
      <c r="B1259" s="3074">
        <v>15</v>
      </c>
      <c r="C1259" s="3074">
        <f t="shared" si="16"/>
        <v>-3.5714285714285712E-2</v>
      </c>
      <c r="D1259" s="3072" t="s">
        <v>3326</v>
      </c>
      <c r="E1259" s="3072" t="s">
        <v>3234</v>
      </c>
      <c r="F1259" s="3072" t="s">
        <v>3235</v>
      </c>
      <c r="G1259" s="3464" t="s">
        <v>3823</v>
      </c>
      <c r="H1259" s="3465"/>
      <c r="I1259" s="3074">
        <v>2016</v>
      </c>
      <c r="J1259" s="3074">
        <v>2.57</v>
      </c>
    </row>
    <row r="1260" spans="1:10" ht="24.75" thickBot="1">
      <c r="A1260" s="3073">
        <v>73</v>
      </c>
      <c r="B1260" s="3074">
        <v>15</v>
      </c>
      <c r="C1260" s="3074">
        <f t="shared" si="16"/>
        <v>-3.5714285714285712E-2</v>
      </c>
      <c r="D1260" s="3072" t="s">
        <v>3327</v>
      </c>
      <c r="E1260" s="3072" t="s">
        <v>3234</v>
      </c>
      <c r="F1260" s="3072" t="s">
        <v>3235</v>
      </c>
      <c r="G1260" s="3464">
        <v>8.69</v>
      </c>
      <c r="H1260" s="3465"/>
      <c r="I1260" s="3074">
        <v>2016</v>
      </c>
      <c r="J1260" s="3074">
        <v>1.75</v>
      </c>
    </row>
    <row r="1261" spans="1:10" ht="24.75" thickBot="1">
      <c r="A1261" s="3073">
        <v>74</v>
      </c>
      <c r="B1261" s="3074">
        <v>15</v>
      </c>
      <c r="C1261" s="3074">
        <f t="shared" si="16"/>
        <v>-3.5714285714285712E-2</v>
      </c>
      <c r="D1261" s="3072" t="s">
        <v>3328</v>
      </c>
      <c r="E1261" s="3072" t="s">
        <v>3234</v>
      </c>
      <c r="F1261" s="3072" t="s">
        <v>3235</v>
      </c>
      <c r="G1261" s="3464">
        <v>8.69</v>
      </c>
      <c r="H1261" s="3465"/>
      <c r="I1261" s="3074">
        <v>2016</v>
      </c>
      <c r="J1261" s="3074">
        <v>1.75</v>
      </c>
    </row>
    <row r="1262" spans="1:10">
      <c r="A1262" s="3070"/>
    </row>
    <row r="1264" spans="1:10" ht="14.25" thickBot="1">
      <c r="A1264" s="3078"/>
    </row>
    <row r="1265" spans="1:11">
      <c r="A1265" s="3458" t="s">
        <v>3223</v>
      </c>
      <c r="B1265" s="3458" t="s">
        <v>3224</v>
      </c>
      <c r="C1265" s="3071" t="s">
        <v>3225</v>
      </c>
      <c r="D1265" s="3458" t="s">
        <v>3227</v>
      </c>
      <c r="E1265" s="3458" t="s">
        <v>1341</v>
      </c>
      <c r="F1265" s="3458" t="s">
        <v>3228</v>
      </c>
      <c r="G1265" s="3460" t="s">
        <v>3229</v>
      </c>
      <c r="H1265" s="3461"/>
      <c r="I1265" s="3458" t="s">
        <v>3231</v>
      </c>
      <c r="J1265" s="3460" t="s">
        <v>3232</v>
      </c>
      <c r="K1265" s="3461"/>
    </row>
    <row r="1266" spans="1:11" ht="14.25" thickBot="1">
      <c r="A1266" s="3459"/>
      <c r="B1266" s="3459"/>
      <c r="C1266" s="3072" t="s">
        <v>3226</v>
      </c>
      <c r="D1266" s="3459"/>
      <c r="E1266" s="3459"/>
      <c r="F1266" s="3459"/>
      <c r="G1266" s="3462" t="s">
        <v>3230</v>
      </c>
      <c r="H1266" s="3463"/>
      <c r="I1266" s="3459"/>
      <c r="J1266" s="3462"/>
      <c r="K1266" s="3463"/>
    </row>
    <row r="1267" spans="1:11" ht="24.75" thickBot="1">
      <c r="A1267" s="3073">
        <v>75</v>
      </c>
      <c r="B1267" s="3074">
        <v>15</v>
      </c>
      <c r="C1267" s="3074">
        <f t="shared" ref="C1267:C1308" si="17">-1/28</f>
        <v>-3.5714285714285712E-2</v>
      </c>
      <c r="D1267" s="3072" t="s">
        <v>3329</v>
      </c>
      <c r="E1267" s="3072" t="s">
        <v>3234</v>
      </c>
      <c r="F1267" s="3072" t="s">
        <v>3235</v>
      </c>
      <c r="G1267" s="3464">
        <v>9.7200000000000006</v>
      </c>
      <c r="H1267" s="3465"/>
      <c r="I1267" s="3074">
        <v>2016</v>
      </c>
      <c r="J1267" s="3464">
        <v>1.96</v>
      </c>
      <c r="K1267" s="3465"/>
    </row>
    <row r="1268" spans="1:11" ht="24.75" thickBot="1">
      <c r="A1268" s="3073">
        <v>76</v>
      </c>
      <c r="B1268" s="3074">
        <v>15</v>
      </c>
      <c r="C1268" s="3074">
        <f t="shared" si="17"/>
        <v>-3.5714285714285712E-2</v>
      </c>
      <c r="D1268" s="3072" t="s">
        <v>3330</v>
      </c>
      <c r="E1268" s="3072" t="s">
        <v>3234</v>
      </c>
      <c r="F1268" s="3072" t="s">
        <v>3235</v>
      </c>
      <c r="G1268" s="3464">
        <v>9.7200000000000006</v>
      </c>
      <c r="H1268" s="3465"/>
      <c r="I1268" s="3074">
        <v>2016</v>
      </c>
      <c r="J1268" s="3464">
        <v>1.96</v>
      </c>
      <c r="K1268" s="3465"/>
    </row>
    <row r="1269" spans="1:11" ht="24.75" thickBot="1">
      <c r="A1269" s="3073">
        <v>77</v>
      </c>
      <c r="B1269" s="3074">
        <v>15</v>
      </c>
      <c r="C1269" s="3074">
        <f t="shared" si="17"/>
        <v>-3.5714285714285712E-2</v>
      </c>
      <c r="D1269" s="3072" t="s">
        <v>3331</v>
      </c>
      <c r="E1269" s="3072" t="s">
        <v>3234</v>
      </c>
      <c r="F1269" s="3072" t="s">
        <v>3235</v>
      </c>
      <c r="G1269" s="3464" t="s">
        <v>3816</v>
      </c>
      <c r="H1269" s="3465"/>
      <c r="I1269" s="3074">
        <v>2016</v>
      </c>
      <c r="J1269" s="3464">
        <v>2.0699999999999998</v>
      </c>
      <c r="K1269" s="3465"/>
    </row>
    <row r="1270" spans="1:11" ht="24.75" thickBot="1">
      <c r="A1270" s="3073">
        <v>78</v>
      </c>
      <c r="B1270" s="3074">
        <v>15</v>
      </c>
      <c r="C1270" s="3074">
        <f t="shared" si="17"/>
        <v>-3.5714285714285712E-2</v>
      </c>
      <c r="D1270" s="3072" t="s">
        <v>3332</v>
      </c>
      <c r="E1270" s="3072" t="s">
        <v>3234</v>
      </c>
      <c r="F1270" s="3072" t="s">
        <v>3235</v>
      </c>
      <c r="G1270" s="3464" t="s">
        <v>3822</v>
      </c>
      <c r="H1270" s="3465"/>
      <c r="I1270" s="3074">
        <v>2016</v>
      </c>
      <c r="J1270" s="3464">
        <v>2.08</v>
      </c>
      <c r="K1270" s="3465"/>
    </row>
    <row r="1271" spans="1:11" ht="24.75" thickBot="1">
      <c r="A1271" s="3073">
        <v>79</v>
      </c>
      <c r="B1271" s="3074">
        <v>15</v>
      </c>
      <c r="C1271" s="3074">
        <f t="shared" si="17"/>
        <v>-3.5714285714285712E-2</v>
      </c>
      <c r="D1271" s="3072" t="s">
        <v>3334</v>
      </c>
      <c r="E1271" s="3072" t="s">
        <v>3234</v>
      </c>
      <c r="F1271" s="3072" t="s">
        <v>3235</v>
      </c>
      <c r="G1271" s="3464">
        <v>9.9700000000000006</v>
      </c>
      <c r="H1271" s="3465"/>
      <c r="I1271" s="3074">
        <v>2016</v>
      </c>
      <c r="J1271" s="3464">
        <v>2.0099999999999998</v>
      </c>
      <c r="K1271" s="3465"/>
    </row>
    <row r="1272" spans="1:11" ht="24.75" thickBot="1">
      <c r="A1272" s="3073">
        <v>80</v>
      </c>
      <c r="B1272" s="3074">
        <v>15</v>
      </c>
      <c r="C1272" s="3074">
        <f t="shared" si="17"/>
        <v>-3.5714285714285712E-2</v>
      </c>
      <c r="D1272" s="3072" t="s">
        <v>3335</v>
      </c>
      <c r="E1272" s="3072" t="s">
        <v>3234</v>
      </c>
      <c r="F1272" s="3072" t="s">
        <v>3235</v>
      </c>
      <c r="G1272" s="3464">
        <v>9.31</v>
      </c>
      <c r="H1272" s="3465"/>
      <c r="I1272" s="3074">
        <v>2016</v>
      </c>
      <c r="J1272" s="3464">
        <v>1.88</v>
      </c>
      <c r="K1272" s="3465"/>
    </row>
    <row r="1273" spans="1:11" ht="24.75" thickBot="1">
      <c r="A1273" s="3073">
        <v>81</v>
      </c>
      <c r="B1273" s="3074">
        <v>15</v>
      </c>
      <c r="C1273" s="3074">
        <f t="shared" si="17"/>
        <v>-3.5714285714285712E-2</v>
      </c>
      <c r="D1273" s="3072" t="s">
        <v>3336</v>
      </c>
      <c r="E1273" s="3072" t="s">
        <v>3234</v>
      </c>
      <c r="F1273" s="3072" t="s">
        <v>3235</v>
      </c>
      <c r="G1273" s="3464">
        <v>9.06</v>
      </c>
      <c r="H1273" s="3465"/>
      <c r="I1273" s="3074">
        <v>2016</v>
      </c>
      <c r="J1273" s="3464">
        <v>1.83</v>
      </c>
      <c r="K1273" s="3465"/>
    </row>
    <row r="1274" spans="1:11" ht="24.75" thickBot="1">
      <c r="A1274" s="3073">
        <v>82</v>
      </c>
      <c r="B1274" s="3074">
        <v>15</v>
      </c>
      <c r="C1274" s="3074">
        <f t="shared" si="17"/>
        <v>-3.5714285714285712E-2</v>
      </c>
      <c r="D1274" s="3072" t="s">
        <v>3337</v>
      </c>
      <c r="E1274" s="3072" t="s">
        <v>3234</v>
      </c>
      <c r="F1274" s="3072" t="s">
        <v>3235</v>
      </c>
      <c r="G1274" s="3464" t="s">
        <v>3817</v>
      </c>
      <c r="H1274" s="3465"/>
      <c r="I1274" s="3074">
        <v>2016</v>
      </c>
      <c r="J1274" s="3464">
        <v>2.38</v>
      </c>
      <c r="K1274" s="3465"/>
    </row>
    <row r="1275" spans="1:11" ht="24.75" thickBot="1">
      <c r="A1275" s="3073">
        <v>83</v>
      </c>
      <c r="B1275" s="3074">
        <v>15</v>
      </c>
      <c r="C1275" s="3074">
        <f t="shared" si="17"/>
        <v>-3.5714285714285712E-2</v>
      </c>
      <c r="D1275" s="3072" t="s">
        <v>3339</v>
      </c>
      <c r="E1275" s="3072" t="s">
        <v>3234</v>
      </c>
      <c r="F1275" s="3072" t="s">
        <v>3235</v>
      </c>
      <c r="G1275" s="3464" t="s">
        <v>3826</v>
      </c>
      <c r="H1275" s="3465"/>
      <c r="I1275" s="3074">
        <v>2016</v>
      </c>
      <c r="J1275" s="3464">
        <v>3.26</v>
      </c>
      <c r="K1275" s="3465"/>
    </row>
    <row r="1276" spans="1:11" ht="24.75" thickBot="1">
      <c r="A1276" s="3073">
        <v>84</v>
      </c>
      <c r="B1276" s="3074">
        <v>15</v>
      </c>
      <c r="C1276" s="3074">
        <f t="shared" si="17"/>
        <v>-3.5714285714285712E-2</v>
      </c>
      <c r="D1276" s="3072" t="s">
        <v>3340</v>
      </c>
      <c r="E1276" s="3072" t="s">
        <v>3234</v>
      </c>
      <c r="F1276" s="3072" t="s">
        <v>3235</v>
      </c>
      <c r="G1276" s="3464" t="s">
        <v>3818</v>
      </c>
      <c r="H1276" s="3465"/>
      <c r="I1276" s="3074">
        <v>2016</v>
      </c>
      <c r="J1276" s="3464">
        <v>2.4300000000000002</v>
      </c>
      <c r="K1276" s="3465"/>
    </row>
    <row r="1277" spans="1:11" ht="24.75" thickBot="1">
      <c r="A1277" s="3073">
        <v>85</v>
      </c>
      <c r="B1277" s="3074">
        <v>15</v>
      </c>
      <c r="C1277" s="3074">
        <f t="shared" si="17"/>
        <v>-3.5714285714285712E-2</v>
      </c>
      <c r="D1277" s="3072" t="s">
        <v>3341</v>
      </c>
      <c r="E1277" s="3072" t="s">
        <v>3234</v>
      </c>
      <c r="F1277" s="3072" t="s">
        <v>3235</v>
      </c>
      <c r="G1277" s="3464" t="s">
        <v>3819</v>
      </c>
      <c r="H1277" s="3465"/>
      <c r="I1277" s="3074">
        <v>2016</v>
      </c>
      <c r="J1277" s="3464">
        <v>2.42</v>
      </c>
      <c r="K1277" s="3465"/>
    </row>
    <row r="1278" spans="1:11" ht="24.75" thickBot="1">
      <c r="A1278" s="3073">
        <v>86</v>
      </c>
      <c r="B1278" s="3074">
        <v>15</v>
      </c>
      <c r="C1278" s="3074">
        <f t="shared" si="17"/>
        <v>-3.5714285714285712E-2</v>
      </c>
      <c r="D1278" s="3072" t="s">
        <v>3342</v>
      </c>
      <c r="E1278" s="3072" t="s">
        <v>3234</v>
      </c>
      <c r="F1278" s="3072" t="s">
        <v>3235</v>
      </c>
      <c r="G1278" s="3464">
        <v>6.84</v>
      </c>
      <c r="H1278" s="3465"/>
      <c r="I1278" s="3074">
        <v>2016</v>
      </c>
      <c r="J1278" s="3464">
        <v>1.38</v>
      </c>
      <c r="K1278" s="3465"/>
    </row>
    <row r="1279" spans="1:11" ht="24.75" thickBot="1">
      <c r="A1279" s="3073">
        <v>87</v>
      </c>
      <c r="B1279" s="3074">
        <v>15</v>
      </c>
      <c r="C1279" s="3074">
        <f t="shared" si="17"/>
        <v>-3.5714285714285712E-2</v>
      </c>
      <c r="D1279" s="3072" t="s">
        <v>3343</v>
      </c>
      <c r="E1279" s="3072" t="s">
        <v>3234</v>
      </c>
      <c r="F1279" s="3072" t="s">
        <v>3235</v>
      </c>
      <c r="G1279" s="3464" t="s">
        <v>3820</v>
      </c>
      <c r="H1279" s="3465"/>
      <c r="I1279" s="3074">
        <v>2016</v>
      </c>
      <c r="J1279" s="3464">
        <v>2.54</v>
      </c>
      <c r="K1279" s="3465"/>
    </row>
    <row r="1280" spans="1:11" ht="24.75" thickBot="1">
      <c r="A1280" s="3073">
        <v>88</v>
      </c>
      <c r="B1280" s="3074">
        <v>15</v>
      </c>
      <c r="C1280" s="3074">
        <f t="shared" si="17"/>
        <v>-3.5714285714285712E-2</v>
      </c>
      <c r="D1280" s="3072" t="s">
        <v>3344</v>
      </c>
      <c r="E1280" s="3072" t="s">
        <v>3234</v>
      </c>
      <c r="F1280" s="3072" t="s">
        <v>3235</v>
      </c>
      <c r="G1280" s="3464" t="s">
        <v>3821</v>
      </c>
      <c r="H1280" s="3465"/>
      <c r="I1280" s="3074">
        <v>2016</v>
      </c>
      <c r="J1280" s="3464">
        <v>3.84</v>
      </c>
      <c r="K1280" s="3465"/>
    </row>
    <row r="1281" spans="1:11" ht="24.75" thickBot="1">
      <c r="A1281" s="3073">
        <v>89</v>
      </c>
      <c r="B1281" s="3074">
        <v>15</v>
      </c>
      <c r="C1281" s="3074">
        <f t="shared" si="17"/>
        <v>-3.5714285714285712E-2</v>
      </c>
      <c r="D1281" s="3072" t="s">
        <v>3345</v>
      </c>
      <c r="E1281" s="3072" t="s">
        <v>3234</v>
      </c>
      <c r="F1281" s="3072" t="s">
        <v>3235</v>
      </c>
      <c r="G1281" s="3464" t="s">
        <v>3821</v>
      </c>
      <c r="H1281" s="3465"/>
      <c r="I1281" s="3074">
        <v>2016</v>
      </c>
      <c r="J1281" s="3464">
        <v>3.84</v>
      </c>
      <c r="K1281" s="3465"/>
    </row>
    <row r="1282" spans="1:11" ht="24.75" thickBot="1">
      <c r="A1282" s="3073">
        <v>90</v>
      </c>
      <c r="B1282" s="3074">
        <v>15</v>
      </c>
      <c r="C1282" s="3074">
        <f t="shared" si="17"/>
        <v>-3.5714285714285712E-2</v>
      </c>
      <c r="D1282" s="3072" t="s">
        <v>3346</v>
      </c>
      <c r="E1282" s="3072" t="s">
        <v>3234</v>
      </c>
      <c r="F1282" s="3072" t="s">
        <v>3235</v>
      </c>
      <c r="G1282" s="3464" t="s">
        <v>3820</v>
      </c>
      <c r="H1282" s="3465"/>
      <c r="I1282" s="3074">
        <v>2016</v>
      </c>
      <c r="J1282" s="3464">
        <v>2.54</v>
      </c>
      <c r="K1282" s="3465"/>
    </row>
    <row r="1283" spans="1:11" ht="24.75" thickBot="1">
      <c r="A1283" s="3073">
        <v>91</v>
      </c>
      <c r="B1283" s="3074">
        <v>15</v>
      </c>
      <c r="C1283" s="3074">
        <f t="shared" si="17"/>
        <v>-3.5714285714285712E-2</v>
      </c>
      <c r="D1283" s="3072" t="s">
        <v>3347</v>
      </c>
      <c r="E1283" s="3072" t="s">
        <v>3234</v>
      </c>
      <c r="F1283" s="3072" t="s">
        <v>3235</v>
      </c>
      <c r="G1283" s="3464">
        <v>6.84</v>
      </c>
      <c r="H1283" s="3465"/>
      <c r="I1283" s="3074">
        <v>2016</v>
      </c>
      <c r="J1283" s="3464">
        <v>1.38</v>
      </c>
      <c r="K1283" s="3465"/>
    </row>
    <row r="1284" spans="1:11" ht="24.75" thickBot="1">
      <c r="A1284" s="3073">
        <v>92</v>
      </c>
      <c r="B1284" s="3074">
        <v>15</v>
      </c>
      <c r="C1284" s="3074">
        <f t="shared" si="17"/>
        <v>-3.5714285714285712E-2</v>
      </c>
      <c r="D1284" s="3072" t="s">
        <v>3348</v>
      </c>
      <c r="E1284" s="3072" t="s">
        <v>3234</v>
      </c>
      <c r="F1284" s="3072" t="s">
        <v>3235</v>
      </c>
      <c r="G1284" s="3464" t="s">
        <v>3819</v>
      </c>
      <c r="H1284" s="3465"/>
      <c r="I1284" s="3074">
        <v>2016</v>
      </c>
      <c r="J1284" s="3464">
        <v>2.42</v>
      </c>
      <c r="K1284" s="3465"/>
    </row>
    <row r="1285" spans="1:11" ht="24.75" thickBot="1">
      <c r="A1285" s="3073">
        <v>93</v>
      </c>
      <c r="B1285" s="3074">
        <v>15</v>
      </c>
      <c r="C1285" s="3074">
        <f t="shared" si="17"/>
        <v>-3.5714285714285712E-2</v>
      </c>
      <c r="D1285" s="3072" t="s">
        <v>3349</v>
      </c>
      <c r="E1285" s="3072" t="s">
        <v>3234</v>
      </c>
      <c r="F1285" s="3072" t="s">
        <v>3235</v>
      </c>
      <c r="G1285" s="3464" t="s">
        <v>3818</v>
      </c>
      <c r="H1285" s="3465"/>
      <c r="I1285" s="3074">
        <v>2016</v>
      </c>
      <c r="J1285" s="3464">
        <v>2.4300000000000002</v>
      </c>
      <c r="K1285" s="3465"/>
    </row>
    <row r="1286" spans="1:11" ht="24.75" thickBot="1">
      <c r="A1286" s="3073">
        <v>94</v>
      </c>
      <c r="B1286" s="3074">
        <v>15</v>
      </c>
      <c r="C1286" s="3074">
        <f t="shared" si="17"/>
        <v>-3.5714285714285712E-2</v>
      </c>
      <c r="D1286" s="3072" t="s">
        <v>3350</v>
      </c>
      <c r="E1286" s="3072" t="s">
        <v>3234</v>
      </c>
      <c r="F1286" s="3072" t="s">
        <v>3235</v>
      </c>
      <c r="G1286" s="3464" t="s">
        <v>3826</v>
      </c>
      <c r="H1286" s="3465"/>
      <c r="I1286" s="3074">
        <v>2016</v>
      </c>
      <c r="J1286" s="3464">
        <v>3.26</v>
      </c>
      <c r="K1286" s="3465"/>
    </row>
    <row r="1287" spans="1:11" ht="24.75" thickBot="1">
      <c r="A1287" s="3073">
        <v>95</v>
      </c>
      <c r="B1287" s="3074">
        <v>15</v>
      </c>
      <c r="C1287" s="3074">
        <f t="shared" si="17"/>
        <v>-3.5714285714285712E-2</v>
      </c>
      <c r="D1287" s="3072" t="s">
        <v>3351</v>
      </c>
      <c r="E1287" s="3072" t="s">
        <v>3234</v>
      </c>
      <c r="F1287" s="3072" t="s">
        <v>3235</v>
      </c>
      <c r="G1287" s="3464">
        <v>9.31</v>
      </c>
      <c r="H1287" s="3465"/>
      <c r="I1287" s="3074">
        <v>2016</v>
      </c>
      <c r="J1287" s="3464">
        <v>1.88</v>
      </c>
      <c r="K1287" s="3465"/>
    </row>
    <row r="1288" spans="1:11" ht="24.75" thickBot="1">
      <c r="A1288" s="3073">
        <v>96</v>
      </c>
      <c r="B1288" s="3074">
        <v>15</v>
      </c>
      <c r="C1288" s="3074">
        <f t="shared" si="17"/>
        <v>-3.5714285714285712E-2</v>
      </c>
      <c r="D1288" s="3072" t="s">
        <v>3352</v>
      </c>
      <c r="E1288" s="3072" t="s">
        <v>3234</v>
      </c>
      <c r="F1288" s="3072" t="s">
        <v>3235</v>
      </c>
      <c r="G1288" s="3464">
        <v>9.06</v>
      </c>
      <c r="H1288" s="3465"/>
      <c r="I1288" s="3074">
        <v>2016</v>
      </c>
      <c r="J1288" s="3464">
        <v>1.83</v>
      </c>
      <c r="K1288" s="3465"/>
    </row>
    <row r="1289" spans="1:11" ht="24.75" thickBot="1">
      <c r="A1289" s="3073">
        <v>97</v>
      </c>
      <c r="B1289" s="3074">
        <v>15</v>
      </c>
      <c r="C1289" s="3074">
        <f t="shared" si="17"/>
        <v>-3.5714285714285712E-2</v>
      </c>
      <c r="D1289" s="3072" t="s">
        <v>3353</v>
      </c>
      <c r="E1289" s="3072" t="s">
        <v>3234</v>
      </c>
      <c r="F1289" s="3072" t="s">
        <v>3235</v>
      </c>
      <c r="G1289" s="3464" t="s">
        <v>3817</v>
      </c>
      <c r="H1289" s="3465"/>
      <c r="I1289" s="3074">
        <v>2016</v>
      </c>
      <c r="J1289" s="3464">
        <v>2.38</v>
      </c>
      <c r="K1289" s="3465"/>
    </row>
    <row r="1290" spans="1:11" ht="24.75" thickBot="1">
      <c r="A1290" s="3073">
        <v>98</v>
      </c>
      <c r="B1290" s="3074">
        <v>15</v>
      </c>
      <c r="C1290" s="3074">
        <f t="shared" si="17"/>
        <v>-3.5714285714285712E-2</v>
      </c>
      <c r="D1290" s="3072" t="s">
        <v>3354</v>
      </c>
      <c r="E1290" s="3072" t="s">
        <v>3234</v>
      </c>
      <c r="F1290" s="3072" t="s">
        <v>3235</v>
      </c>
      <c r="G1290" s="3464">
        <v>9.9700000000000006</v>
      </c>
      <c r="H1290" s="3465"/>
      <c r="I1290" s="3074">
        <v>2016</v>
      </c>
      <c r="J1290" s="3464">
        <v>2.0099999999999998</v>
      </c>
      <c r="K1290" s="3465"/>
    </row>
    <row r="1291" spans="1:11" ht="24.75" thickBot="1">
      <c r="A1291" s="3073">
        <v>99</v>
      </c>
      <c r="B1291" s="3074">
        <v>15</v>
      </c>
      <c r="C1291" s="3074">
        <f t="shared" si="17"/>
        <v>-3.5714285714285712E-2</v>
      </c>
      <c r="D1291" s="3072" t="s">
        <v>3355</v>
      </c>
      <c r="E1291" s="3072" t="s">
        <v>3234</v>
      </c>
      <c r="F1291" s="3072" t="s">
        <v>3235</v>
      </c>
      <c r="G1291" s="3464">
        <v>9.7200000000000006</v>
      </c>
      <c r="H1291" s="3465"/>
      <c r="I1291" s="3074">
        <v>2016</v>
      </c>
      <c r="J1291" s="3464">
        <v>1.96</v>
      </c>
      <c r="K1291" s="3465"/>
    </row>
    <row r="1292" spans="1:11" ht="24.75" thickBot="1">
      <c r="A1292" s="3073">
        <v>100</v>
      </c>
      <c r="B1292" s="3074">
        <v>15</v>
      </c>
      <c r="C1292" s="3074">
        <f t="shared" si="17"/>
        <v>-3.5714285714285712E-2</v>
      </c>
      <c r="D1292" s="3072" t="s">
        <v>3356</v>
      </c>
      <c r="E1292" s="3072" t="s">
        <v>3234</v>
      </c>
      <c r="F1292" s="3072" t="s">
        <v>3235</v>
      </c>
      <c r="G1292" s="3464" t="s">
        <v>3822</v>
      </c>
      <c r="H1292" s="3465"/>
      <c r="I1292" s="3074">
        <v>2016</v>
      </c>
      <c r="J1292" s="3464">
        <v>2.08</v>
      </c>
      <c r="K1292" s="3465"/>
    </row>
    <row r="1293" spans="1:11" ht="24.75" thickBot="1">
      <c r="A1293" s="3073">
        <v>101</v>
      </c>
      <c r="B1293" s="3074">
        <v>15</v>
      </c>
      <c r="C1293" s="3074">
        <f t="shared" si="17"/>
        <v>-3.5714285714285712E-2</v>
      </c>
      <c r="D1293" s="3072" t="s">
        <v>3357</v>
      </c>
      <c r="E1293" s="3072" t="s">
        <v>3234</v>
      </c>
      <c r="F1293" s="3072" t="s">
        <v>3235</v>
      </c>
      <c r="G1293" s="3464" t="s">
        <v>3816</v>
      </c>
      <c r="H1293" s="3465"/>
      <c r="I1293" s="3074">
        <v>2016</v>
      </c>
      <c r="J1293" s="3464">
        <v>2.0699999999999998</v>
      </c>
      <c r="K1293" s="3465"/>
    </row>
    <row r="1294" spans="1:11" ht="24.75" thickBot="1">
      <c r="A1294" s="3073">
        <v>102</v>
      </c>
      <c r="B1294" s="3074">
        <v>15</v>
      </c>
      <c r="C1294" s="3074">
        <f t="shared" si="17"/>
        <v>-3.5714285714285712E-2</v>
      </c>
      <c r="D1294" s="3072" t="s">
        <v>3359</v>
      </c>
      <c r="E1294" s="3072" t="s">
        <v>3234</v>
      </c>
      <c r="F1294" s="3072" t="s">
        <v>3235</v>
      </c>
      <c r="G1294" s="3464">
        <v>9.7200000000000006</v>
      </c>
      <c r="H1294" s="3465"/>
      <c r="I1294" s="3074">
        <v>2016</v>
      </c>
      <c r="J1294" s="3464">
        <v>1.96</v>
      </c>
      <c r="K1294" s="3465"/>
    </row>
    <row r="1295" spans="1:11" ht="24.75" thickBot="1">
      <c r="A1295" s="3073">
        <v>103</v>
      </c>
      <c r="B1295" s="3074">
        <v>15</v>
      </c>
      <c r="C1295" s="3074">
        <f t="shared" si="17"/>
        <v>-3.5714285714285712E-2</v>
      </c>
      <c r="D1295" s="3072" t="s">
        <v>3360</v>
      </c>
      <c r="E1295" s="3072" t="s">
        <v>3234</v>
      </c>
      <c r="F1295" s="3072" t="s">
        <v>3235</v>
      </c>
      <c r="G1295" s="3464">
        <v>8.69</v>
      </c>
      <c r="H1295" s="3465"/>
      <c r="I1295" s="3074">
        <v>2016</v>
      </c>
      <c r="J1295" s="3464">
        <v>1.75</v>
      </c>
      <c r="K1295" s="3465"/>
    </row>
    <row r="1296" spans="1:11" ht="24.75" thickBot="1">
      <c r="A1296" s="3073">
        <v>104</v>
      </c>
      <c r="B1296" s="3074">
        <v>15</v>
      </c>
      <c r="C1296" s="3074">
        <f t="shared" si="17"/>
        <v>-3.5714285714285712E-2</v>
      </c>
      <c r="D1296" s="3072" t="s">
        <v>3361</v>
      </c>
      <c r="E1296" s="3072" t="s">
        <v>3234</v>
      </c>
      <c r="F1296" s="3072" t="s">
        <v>3235</v>
      </c>
      <c r="G1296" s="3464">
        <v>8.69</v>
      </c>
      <c r="H1296" s="3465"/>
      <c r="I1296" s="3074">
        <v>2016</v>
      </c>
      <c r="J1296" s="3464">
        <v>1.75</v>
      </c>
      <c r="K1296" s="3465"/>
    </row>
    <row r="1297" spans="1:11" ht="24.75" thickBot="1">
      <c r="A1297" s="3073">
        <v>105</v>
      </c>
      <c r="B1297" s="3074">
        <v>15</v>
      </c>
      <c r="C1297" s="3074">
        <f t="shared" si="17"/>
        <v>-3.5714285714285712E-2</v>
      </c>
      <c r="D1297" s="3072" t="s">
        <v>3609</v>
      </c>
      <c r="E1297" s="3072" t="s">
        <v>3234</v>
      </c>
      <c r="F1297" s="3072" t="s">
        <v>3235</v>
      </c>
      <c r="G1297" s="3464" t="s">
        <v>3823</v>
      </c>
      <c r="H1297" s="3465"/>
      <c r="I1297" s="3074">
        <v>2016</v>
      </c>
      <c r="J1297" s="3464">
        <v>2.57</v>
      </c>
      <c r="K1297" s="3465"/>
    </row>
    <row r="1298" spans="1:11" ht="24.75" thickBot="1">
      <c r="A1298" s="3073">
        <v>106</v>
      </c>
      <c r="B1298" s="3074">
        <v>15</v>
      </c>
      <c r="C1298" s="3074">
        <f t="shared" si="17"/>
        <v>-3.5714285714285712E-2</v>
      </c>
      <c r="D1298" s="3072" t="s">
        <v>3610</v>
      </c>
      <c r="E1298" s="3072" t="s">
        <v>3234</v>
      </c>
      <c r="F1298" s="3072" t="s">
        <v>3235</v>
      </c>
      <c r="G1298" s="3464">
        <v>9.8000000000000007</v>
      </c>
      <c r="H1298" s="3465"/>
      <c r="I1298" s="3074">
        <v>2016</v>
      </c>
      <c r="J1298" s="3464">
        <v>1.98</v>
      </c>
      <c r="K1298" s="3465"/>
    </row>
    <row r="1299" spans="1:11" ht="24.75" thickBot="1">
      <c r="A1299" s="3073">
        <v>107</v>
      </c>
      <c r="B1299" s="3074">
        <v>15</v>
      </c>
      <c r="C1299" s="3074">
        <f t="shared" si="17"/>
        <v>-3.5714285714285712E-2</v>
      </c>
      <c r="D1299" s="3072" t="s">
        <v>3827</v>
      </c>
      <c r="E1299" s="3072" t="s">
        <v>3234</v>
      </c>
      <c r="F1299" s="3072" t="s">
        <v>3235</v>
      </c>
      <c r="G1299" s="3464" t="s">
        <v>3812</v>
      </c>
      <c r="H1299" s="3465"/>
      <c r="I1299" s="3074">
        <v>2016</v>
      </c>
      <c r="J1299" s="3464">
        <v>2.09</v>
      </c>
      <c r="K1299" s="3465"/>
    </row>
    <row r="1300" spans="1:11" ht="24.75" thickBot="1">
      <c r="A1300" s="3073">
        <v>108</v>
      </c>
      <c r="B1300" s="3074">
        <v>15</v>
      </c>
      <c r="C1300" s="3074">
        <f t="shared" si="17"/>
        <v>-3.5714285714285712E-2</v>
      </c>
      <c r="D1300" s="3072" t="s">
        <v>3828</v>
      </c>
      <c r="E1300" s="3072" t="s">
        <v>3234</v>
      </c>
      <c r="F1300" s="3072" t="s">
        <v>3235</v>
      </c>
      <c r="G1300" s="3464" t="s">
        <v>3810</v>
      </c>
      <c r="H1300" s="3465"/>
      <c r="I1300" s="3074">
        <v>2016</v>
      </c>
      <c r="J1300" s="3464">
        <v>2.82</v>
      </c>
      <c r="K1300" s="3465"/>
    </row>
    <row r="1301" spans="1:11" ht="22.5" thickBot="1">
      <c r="A1301" s="3073">
        <v>109</v>
      </c>
      <c r="B1301" s="3074">
        <v>15</v>
      </c>
      <c r="C1301" s="3074">
        <f t="shared" si="17"/>
        <v>-3.5714285714285712E-2</v>
      </c>
      <c r="D1301" s="3083" t="s">
        <v>3829</v>
      </c>
      <c r="E1301" s="3083" t="s">
        <v>3234</v>
      </c>
      <c r="F1301" s="3083" t="s">
        <v>3235</v>
      </c>
      <c r="G1301" s="3464" t="s">
        <v>3811</v>
      </c>
      <c r="H1301" s="3465"/>
      <c r="I1301" s="3074">
        <v>2016</v>
      </c>
      <c r="J1301" s="3464">
        <v>2.4</v>
      </c>
      <c r="K1301" s="3465"/>
    </row>
    <row r="1302" spans="1:11" ht="24.75" thickBot="1">
      <c r="A1302" s="3073">
        <v>110</v>
      </c>
      <c r="B1302" s="3074">
        <v>15</v>
      </c>
      <c r="C1302" s="3074">
        <f t="shared" si="17"/>
        <v>-3.5714285714285712E-2</v>
      </c>
      <c r="D1302" s="3072" t="s">
        <v>3830</v>
      </c>
      <c r="E1302" s="3072" t="s">
        <v>3234</v>
      </c>
      <c r="F1302" s="3072" t="s">
        <v>3235</v>
      </c>
      <c r="G1302" s="3464" t="s">
        <v>3809</v>
      </c>
      <c r="H1302" s="3465"/>
      <c r="I1302" s="3074">
        <v>2016</v>
      </c>
      <c r="J1302" s="3464">
        <v>2.38</v>
      </c>
      <c r="K1302" s="3465"/>
    </row>
    <row r="1303" spans="1:11" ht="24.75" thickBot="1">
      <c r="A1303" s="3073">
        <v>111</v>
      </c>
      <c r="B1303" s="3074">
        <v>15</v>
      </c>
      <c r="C1303" s="3074">
        <f t="shared" si="17"/>
        <v>-3.5714285714285712E-2</v>
      </c>
      <c r="D1303" s="3072" t="s">
        <v>3831</v>
      </c>
      <c r="E1303" s="3072" t="s">
        <v>3234</v>
      </c>
      <c r="F1303" s="3072" t="s">
        <v>3235</v>
      </c>
      <c r="G1303" s="3464" t="s">
        <v>3808</v>
      </c>
      <c r="H1303" s="3465"/>
      <c r="I1303" s="3074">
        <v>2016</v>
      </c>
      <c r="J1303" s="3464">
        <v>2.34</v>
      </c>
      <c r="K1303" s="3465"/>
    </row>
    <row r="1304" spans="1:11" ht="24.75" thickBot="1">
      <c r="A1304" s="3073">
        <v>112</v>
      </c>
      <c r="B1304" s="3074">
        <v>15</v>
      </c>
      <c r="C1304" s="3074">
        <f t="shared" si="17"/>
        <v>-3.5714285714285712E-2</v>
      </c>
      <c r="D1304" s="3072" t="s">
        <v>3832</v>
      </c>
      <c r="E1304" s="3072" t="s">
        <v>3234</v>
      </c>
      <c r="F1304" s="3072" t="s">
        <v>3235</v>
      </c>
      <c r="G1304" s="3464" t="s">
        <v>3807</v>
      </c>
      <c r="H1304" s="3465"/>
      <c r="I1304" s="3074">
        <v>2016</v>
      </c>
      <c r="J1304" s="3464">
        <v>3.25</v>
      </c>
      <c r="K1304" s="3465"/>
    </row>
    <row r="1305" spans="1:11" ht="24.75" thickBot="1">
      <c r="A1305" s="3073">
        <v>113</v>
      </c>
      <c r="B1305" s="3074">
        <v>15</v>
      </c>
      <c r="C1305" s="3074">
        <f t="shared" si="17"/>
        <v>-3.5714285714285712E-2</v>
      </c>
      <c r="D1305" s="3072" t="s">
        <v>3833</v>
      </c>
      <c r="E1305" s="3072" t="s">
        <v>3234</v>
      </c>
      <c r="F1305" s="3072" t="s">
        <v>3235</v>
      </c>
      <c r="G1305" s="3076"/>
      <c r="H1305" s="3074">
        <v>11</v>
      </c>
      <c r="I1305" s="3074">
        <v>2016</v>
      </c>
      <c r="J1305" s="3464">
        <v>3.25</v>
      </c>
      <c r="K1305" s="3465"/>
    </row>
    <row r="1306" spans="1:11" ht="22.5" thickBot="1">
      <c r="A1306" s="3073">
        <v>114</v>
      </c>
      <c r="B1306" s="3074">
        <v>15</v>
      </c>
      <c r="C1306" s="3074">
        <f t="shared" si="17"/>
        <v>-3.5714285714285712E-2</v>
      </c>
      <c r="D1306" s="3083" t="s">
        <v>3834</v>
      </c>
      <c r="E1306" s="3083" t="s">
        <v>3234</v>
      </c>
      <c r="F1306" s="3083" t="s">
        <v>3235</v>
      </c>
      <c r="G1306" s="3464" t="s">
        <v>3806</v>
      </c>
      <c r="H1306" s="3465"/>
      <c r="I1306" s="3074">
        <v>2016</v>
      </c>
      <c r="J1306" s="3464">
        <v>3.36</v>
      </c>
      <c r="K1306" s="3465"/>
    </row>
    <row r="1307" spans="1:11" ht="22.5" thickBot="1">
      <c r="A1307" s="3073">
        <v>115</v>
      </c>
      <c r="B1307" s="3074">
        <v>15</v>
      </c>
      <c r="C1307" s="3074">
        <f t="shared" si="17"/>
        <v>-3.5714285714285712E-2</v>
      </c>
      <c r="D1307" s="3083" t="s">
        <v>3835</v>
      </c>
      <c r="E1307" s="3083" t="s">
        <v>3234</v>
      </c>
      <c r="F1307" s="3083" t="s">
        <v>3235</v>
      </c>
      <c r="G1307" s="3464" t="s">
        <v>3806</v>
      </c>
      <c r="H1307" s="3465"/>
      <c r="I1307" s="3074">
        <v>2016</v>
      </c>
      <c r="J1307" s="3464">
        <v>3.36</v>
      </c>
      <c r="K1307" s="3465"/>
    </row>
    <row r="1308" spans="1:11" ht="22.5" thickBot="1">
      <c r="A1308" s="3073">
        <v>116</v>
      </c>
      <c r="B1308" s="3074">
        <v>15</v>
      </c>
      <c r="C1308" s="3074">
        <f t="shared" si="17"/>
        <v>-3.5714285714285712E-2</v>
      </c>
      <c r="D1308" s="3083" t="s">
        <v>3836</v>
      </c>
      <c r="E1308" s="3083" t="s">
        <v>3234</v>
      </c>
      <c r="F1308" s="3083" t="s">
        <v>3235</v>
      </c>
      <c r="G1308" s="3464" t="s">
        <v>3806</v>
      </c>
      <c r="H1308" s="3465"/>
      <c r="I1308" s="3074">
        <v>2016</v>
      </c>
      <c r="J1308" s="3464">
        <v>3.36</v>
      </c>
      <c r="K1308" s="3465"/>
    </row>
    <row r="1309" spans="1:11" ht="26.25" thickBot="1">
      <c r="A1309" s="3073">
        <v>117</v>
      </c>
      <c r="B1309" s="3074">
        <v>15</v>
      </c>
      <c r="C1309" s="3079">
        <v>44224</v>
      </c>
      <c r="D1309" s="3074" t="s">
        <v>3362</v>
      </c>
      <c r="E1309" s="3072" t="s">
        <v>3109</v>
      </c>
      <c r="F1309" s="3072" t="s">
        <v>3235</v>
      </c>
      <c r="G1309" s="3464" t="s">
        <v>3837</v>
      </c>
      <c r="H1309" s="3465"/>
      <c r="I1309" s="3074">
        <v>6114</v>
      </c>
      <c r="J1309" s="3464" t="s">
        <v>3838</v>
      </c>
      <c r="K1309" s="3465"/>
    </row>
    <row r="1310" spans="1:11" ht="26.25" thickBot="1">
      <c r="A1310" s="3073">
        <v>118</v>
      </c>
      <c r="B1310" s="3074">
        <v>15</v>
      </c>
      <c r="C1310" s="3079">
        <v>44224</v>
      </c>
      <c r="D1310" s="3074" t="s">
        <v>3365</v>
      </c>
      <c r="E1310" s="3072" t="s">
        <v>3109</v>
      </c>
      <c r="F1310" s="3072" t="s">
        <v>3235</v>
      </c>
      <c r="G1310" s="3464" t="s">
        <v>3839</v>
      </c>
      <c r="H1310" s="3465"/>
      <c r="I1310" s="3074">
        <v>6114</v>
      </c>
      <c r="J1310" s="3464" t="s">
        <v>3840</v>
      </c>
      <c r="K1310" s="3465"/>
    </row>
    <row r="1311" spans="1:11" ht="26.25" thickBot="1">
      <c r="A1311" s="3073">
        <v>119</v>
      </c>
      <c r="B1311" s="3074">
        <v>15</v>
      </c>
      <c r="C1311" s="3079">
        <v>44224</v>
      </c>
      <c r="D1311" s="3074" t="s">
        <v>3368</v>
      </c>
      <c r="E1311" s="3072" t="s">
        <v>3109</v>
      </c>
      <c r="F1311" s="3072" t="s">
        <v>3235</v>
      </c>
      <c r="G1311" s="3464" t="s">
        <v>3841</v>
      </c>
      <c r="H1311" s="3465"/>
      <c r="I1311" s="3074">
        <v>6114</v>
      </c>
      <c r="J1311" s="3464" t="s">
        <v>3842</v>
      </c>
      <c r="K1311" s="3465"/>
    </row>
    <row r="1312" spans="1:11" ht="26.25" thickBot="1">
      <c r="A1312" s="3073">
        <v>120</v>
      </c>
      <c r="B1312" s="3074">
        <v>15</v>
      </c>
      <c r="C1312" s="3079">
        <v>44224</v>
      </c>
      <c r="D1312" s="3074" t="s">
        <v>3371</v>
      </c>
      <c r="E1312" s="3072" t="s">
        <v>3109</v>
      </c>
      <c r="F1312" s="3072" t="s">
        <v>3235</v>
      </c>
      <c r="G1312" s="3075">
        <v>11</v>
      </c>
      <c r="H1312" s="3074" t="s">
        <v>3843</v>
      </c>
      <c r="I1312" s="3074">
        <v>6114</v>
      </c>
      <c r="J1312" s="3081">
        <v>7</v>
      </c>
      <c r="K1312" s="3074" t="s">
        <v>3844</v>
      </c>
    </row>
    <row r="1313" spans="1:11" ht="23.25" thickBot="1">
      <c r="A1313" s="3073">
        <v>121</v>
      </c>
      <c r="B1313" s="3074">
        <v>15</v>
      </c>
      <c r="C1313" s="3079">
        <v>44224</v>
      </c>
      <c r="D1313" s="3082" t="s">
        <v>3845</v>
      </c>
      <c r="E1313" s="3083" t="s">
        <v>3109</v>
      </c>
      <c r="F1313" s="3083" t="s">
        <v>3235</v>
      </c>
      <c r="G1313" s="3464" t="s">
        <v>3839</v>
      </c>
      <c r="H1313" s="3465"/>
      <c r="I1313" s="3074">
        <v>6114</v>
      </c>
      <c r="J1313" s="3464" t="s">
        <v>3840</v>
      </c>
      <c r="K1313" s="3465"/>
    </row>
    <row r="1314" spans="1:11" ht="23.25" thickBot="1">
      <c r="A1314" s="3073">
        <v>122</v>
      </c>
      <c r="B1314" s="3074">
        <v>15</v>
      </c>
      <c r="C1314" s="3079">
        <v>44224</v>
      </c>
      <c r="D1314" s="3082" t="s">
        <v>3846</v>
      </c>
      <c r="E1314" s="3083" t="s">
        <v>3109</v>
      </c>
      <c r="F1314" s="3083" t="s">
        <v>3235</v>
      </c>
      <c r="G1314" s="3464" t="s">
        <v>3847</v>
      </c>
      <c r="H1314" s="3465"/>
      <c r="I1314" s="3074">
        <v>6114</v>
      </c>
      <c r="J1314" s="3464" t="s">
        <v>3848</v>
      </c>
      <c r="K1314" s="3465"/>
    </row>
    <row r="1315" spans="1:11" ht="23.25" thickBot="1">
      <c r="A1315" s="3073">
        <v>123</v>
      </c>
      <c r="B1315" s="3074">
        <v>15</v>
      </c>
      <c r="C1315" s="3079">
        <v>44255</v>
      </c>
      <c r="D1315" s="3082" t="s">
        <v>3849</v>
      </c>
      <c r="E1315" s="3083" t="s">
        <v>3109</v>
      </c>
      <c r="F1315" s="3083" t="s">
        <v>3235</v>
      </c>
      <c r="G1315" s="3464" t="s">
        <v>3850</v>
      </c>
      <c r="H1315" s="3465"/>
      <c r="I1315" s="3074">
        <v>6114</v>
      </c>
      <c r="J1315" s="3464" t="s">
        <v>3851</v>
      </c>
      <c r="K1315" s="3465"/>
    </row>
    <row r="1316" spans="1:11" ht="26.25" thickBot="1">
      <c r="A1316" s="3073">
        <v>124</v>
      </c>
      <c r="B1316" s="3074">
        <v>15</v>
      </c>
      <c r="C1316" s="3079">
        <v>44255</v>
      </c>
      <c r="D1316" s="3074" t="s">
        <v>3379</v>
      </c>
      <c r="E1316" s="3072" t="s">
        <v>3109</v>
      </c>
      <c r="F1316" s="3072" t="s">
        <v>3235</v>
      </c>
      <c r="G1316" s="3464" t="s">
        <v>3839</v>
      </c>
      <c r="H1316" s="3465"/>
      <c r="I1316" s="3074">
        <v>6114</v>
      </c>
      <c r="J1316" s="3464" t="s">
        <v>3840</v>
      </c>
      <c r="K1316" s="3465"/>
    </row>
    <row r="1317" spans="1:11" ht="26.25" thickBot="1">
      <c r="A1317" s="3073">
        <v>125</v>
      </c>
      <c r="B1317" s="3074">
        <v>15</v>
      </c>
      <c r="C1317" s="3079">
        <v>44255</v>
      </c>
      <c r="D1317" s="3074" t="s">
        <v>3779</v>
      </c>
      <c r="E1317" s="3072" t="s">
        <v>3109</v>
      </c>
      <c r="F1317" s="3072" t="s">
        <v>3235</v>
      </c>
      <c r="G1317" s="3464" t="s">
        <v>3841</v>
      </c>
      <c r="H1317" s="3465"/>
      <c r="I1317" s="3074">
        <v>6114</v>
      </c>
      <c r="J1317" s="3464" t="s">
        <v>3842</v>
      </c>
      <c r="K1317" s="3465"/>
    </row>
    <row r="1318" spans="1:11" ht="26.25" thickBot="1">
      <c r="A1318" s="3073">
        <v>126</v>
      </c>
      <c r="B1318" s="3074">
        <v>15</v>
      </c>
      <c r="C1318" s="3079">
        <v>44255</v>
      </c>
      <c r="D1318" s="3074" t="s">
        <v>3627</v>
      </c>
      <c r="E1318" s="3072" t="s">
        <v>3109</v>
      </c>
      <c r="F1318" s="3072" t="s">
        <v>3235</v>
      </c>
      <c r="G1318" s="3464" t="s">
        <v>3852</v>
      </c>
      <c r="H1318" s="3465"/>
      <c r="I1318" s="3074">
        <v>6114</v>
      </c>
      <c r="J1318" s="3464" t="s">
        <v>3853</v>
      </c>
      <c r="K1318" s="3465"/>
    </row>
    <row r="1319" spans="1:11" ht="26.25" thickBot="1">
      <c r="A1319" s="3073">
        <v>127</v>
      </c>
      <c r="B1319" s="3074">
        <v>15</v>
      </c>
      <c r="C1319" s="3079">
        <v>44255</v>
      </c>
      <c r="D1319" s="3074" t="s">
        <v>3386</v>
      </c>
      <c r="E1319" s="3072" t="s">
        <v>3109</v>
      </c>
      <c r="F1319" s="3072" t="s">
        <v>3235</v>
      </c>
      <c r="G1319" s="3464" t="s">
        <v>3839</v>
      </c>
      <c r="H1319" s="3465"/>
      <c r="I1319" s="3074">
        <v>6114</v>
      </c>
      <c r="J1319" s="3464" t="s">
        <v>3840</v>
      </c>
      <c r="K1319" s="3465"/>
    </row>
    <row r="1320" spans="1:11" ht="26.25" thickBot="1">
      <c r="A1320" s="3073">
        <v>128</v>
      </c>
      <c r="B1320" s="3074">
        <v>15</v>
      </c>
      <c r="C1320" s="3079">
        <v>44255</v>
      </c>
      <c r="D1320" s="3074" t="s">
        <v>3387</v>
      </c>
      <c r="E1320" s="3072" t="s">
        <v>3109</v>
      </c>
      <c r="F1320" s="3072" t="s">
        <v>3235</v>
      </c>
      <c r="G1320" s="3464" t="s">
        <v>3847</v>
      </c>
      <c r="H1320" s="3465"/>
      <c r="I1320" s="3074">
        <v>6114</v>
      </c>
      <c r="J1320" s="3464" t="s">
        <v>3848</v>
      </c>
      <c r="K1320" s="3465"/>
    </row>
    <row r="1321" spans="1:11" ht="26.25" thickBot="1">
      <c r="A1321" s="3073">
        <v>129</v>
      </c>
      <c r="B1321" s="3074">
        <v>15</v>
      </c>
      <c r="C1321" s="3079">
        <v>44283</v>
      </c>
      <c r="D1321" s="3074" t="s">
        <v>3390</v>
      </c>
      <c r="E1321" s="3072" t="s">
        <v>3109</v>
      </c>
      <c r="F1321" s="3072" t="s">
        <v>3235</v>
      </c>
      <c r="G1321" s="3464" t="s">
        <v>3847</v>
      </c>
      <c r="H1321" s="3465"/>
      <c r="I1321" s="3074">
        <v>6114</v>
      </c>
      <c r="J1321" s="3464" t="s">
        <v>3848</v>
      </c>
      <c r="K1321" s="3465"/>
    </row>
    <row r="1322" spans="1:11">
      <c r="A1322" s="3070"/>
    </row>
    <row r="1324" spans="1:11" ht="14.25" thickBot="1">
      <c r="A1324" s="3078"/>
    </row>
    <row r="1325" spans="1:11">
      <c r="A1325" s="3458" t="s">
        <v>3223</v>
      </c>
      <c r="B1325" s="3458" t="s">
        <v>3224</v>
      </c>
      <c r="C1325" s="3071" t="s">
        <v>3225</v>
      </c>
      <c r="D1325" s="3458" t="s">
        <v>3227</v>
      </c>
      <c r="E1325" s="3458" t="s">
        <v>1341</v>
      </c>
      <c r="F1325" s="3458" t="s">
        <v>3228</v>
      </c>
      <c r="G1325" s="3460" t="s">
        <v>3229</v>
      </c>
      <c r="H1325" s="3461"/>
      <c r="I1325" s="3458" t="s">
        <v>3231</v>
      </c>
      <c r="J1325" s="3460" t="s">
        <v>3232</v>
      </c>
      <c r="K1325" s="3461"/>
    </row>
    <row r="1326" spans="1:11" ht="14.25" thickBot="1">
      <c r="A1326" s="3459"/>
      <c r="B1326" s="3459"/>
      <c r="C1326" s="3072" t="s">
        <v>3226</v>
      </c>
      <c r="D1326" s="3459"/>
      <c r="E1326" s="3459"/>
      <c r="F1326" s="3459"/>
      <c r="G1326" s="3462" t="s">
        <v>3230</v>
      </c>
      <c r="H1326" s="3463"/>
      <c r="I1326" s="3459"/>
      <c r="J1326" s="3462"/>
      <c r="K1326" s="3463"/>
    </row>
    <row r="1327" spans="1:11" ht="26.25" thickBot="1">
      <c r="A1327" s="3073">
        <v>130</v>
      </c>
      <c r="B1327" s="3074">
        <v>15</v>
      </c>
      <c r="C1327" s="3079">
        <v>44283</v>
      </c>
      <c r="D1327" s="3074" t="s">
        <v>3392</v>
      </c>
      <c r="E1327" s="3072" t="s">
        <v>3109</v>
      </c>
      <c r="F1327" s="3072" t="s">
        <v>3235</v>
      </c>
      <c r="G1327" s="3464" t="s">
        <v>3839</v>
      </c>
      <c r="H1327" s="3465"/>
      <c r="I1327" s="3074">
        <v>6114</v>
      </c>
      <c r="J1327" s="3464" t="s">
        <v>3840</v>
      </c>
      <c r="K1327" s="3465"/>
    </row>
    <row r="1328" spans="1:11" ht="26.25" thickBot="1">
      <c r="A1328" s="3073">
        <v>131</v>
      </c>
      <c r="B1328" s="3074">
        <v>15</v>
      </c>
      <c r="C1328" s="3079">
        <v>44283</v>
      </c>
      <c r="D1328" s="3074" t="s">
        <v>3393</v>
      </c>
      <c r="E1328" s="3072" t="s">
        <v>3109</v>
      </c>
      <c r="F1328" s="3072" t="s">
        <v>3235</v>
      </c>
      <c r="G1328" s="3075">
        <v>11</v>
      </c>
      <c r="H1328" s="3074" t="s">
        <v>3843</v>
      </c>
      <c r="I1328" s="3074">
        <v>6114</v>
      </c>
      <c r="J1328" s="3081">
        <v>7</v>
      </c>
      <c r="K1328" s="3074" t="s">
        <v>3844</v>
      </c>
    </row>
    <row r="1329" spans="1:11" ht="26.25" thickBot="1">
      <c r="A1329" s="3073">
        <v>132</v>
      </c>
      <c r="B1329" s="3074">
        <v>15</v>
      </c>
      <c r="C1329" s="3079">
        <v>44283</v>
      </c>
      <c r="D1329" s="3074" t="s">
        <v>3394</v>
      </c>
      <c r="E1329" s="3072" t="s">
        <v>3109</v>
      </c>
      <c r="F1329" s="3072" t="s">
        <v>3235</v>
      </c>
      <c r="G1329" s="3464" t="s">
        <v>3841</v>
      </c>
      <c r="H1329" s="3465"/>
      <c r="I1329" s="3074">
        <v>6114</v>
      </c>
      <c r="J1329" s="3464" t="s">
        <v>3842</v>
      </c>
      <c r="K1329" s="3465"/>
    </row>
    <row r="1330" spans="1:11" ht="26.25" thickBot="1">
      <c r="A1330" s="3073">
        <v>133</v>
      </c>
      <c r="B1330" s="3074">
        <v>15</v>
      </c>
      <c r="C1330" s="3079">
        <v>44283</v>
      </c>
      <c r="D1330" s="3074" t="s">
        <v>3395</v>
      </c>
      <c r="E1330" s="3072" t="s">
        <v>3109</v>
      </c>
      <c r="F1330" s="3072" t="s">
        <v>3235</v>
      </c>
      <c r="G1330" s="3464" t="s">
        <v>3839</v>
      </c>
      <c r="H1330" s="3465"/>
      <c r="I1330" s="3074">
        <v>6114</v>
      </c>
      <c r="J1330" s="3464" t="s">
        <v>3840</v>
      </c>
      <c r="K1330" s="3465"/>
    </row>
    <row r="1331" spans="1:11" ht="23.25" thickBot="1">
      <c r="A1331" s="3073">
        <v>134</v>
      </c>
      <c r="B1331" s="3074">
        <v>15</v>
      </c>
      <c r="C1331" s="3079">
        <v>44283</v>
      </c>
      <c r="D1331" s="3082" t="s">
        <v>3854</v>
      </c>
      <c r="E1331" s="3083" t="s">
        <v>3109</v>
      </c>
      <c r="F1331" s="3083" t="s">
        <v>3235</v>
      </c>
      <c r="G1331" s="3464" t="s">
        <v>3850</v>
      </c>
      <c r="H1331" s="3465"/>
      <c r="I1331" s="3074">
        <v>6114</v>
      </c>
      <c r="J1331" s="3464" t="s">
        <v>3851</v>
      </c>
      <c r="K1331" s="3465"/>
    </row>
    <row r="1332" spans="1:11" ht="26.25" thickBot="1">
      <c r="A1332" s="3073">
        <v>135</v>
      </c>
      <c r="B1332" s="3074">
        <v>15</v>
      </c>
      <c r="C1332" s="3079">
        <v>44314</v>
      </c>
      <c r="D1332" s="3074" t="s">
        <v>3398</v>
      </c>
      <c r="E1332" s="3072" t="s">
        <v>3109</v>
      </c>
      <c r="F1332" s="3072" t="s">
        <v>3235</v>
      </c>
      <c r="G1332" s="3464" t="s">
        <v>3847</v>
      </c>
      <c r="H1332" s="3465"/>
      <c r="I1332" s="3074">
        <v>6114</v>
      </c>
      <c r="J1332" s="3464" t="s">
        <v>3848</v>
      </c>
      <c r="K1332" s="3465"/>
    </row>
    <row r="1333" spans="1:11" ht="26.25" thickBot="1">
      <c r="A1333" s="3073">
        <v>136</v>
      </c>
      <c r="B1333" s="3074">
        <v>15</v>
      </c>
      <c r="C1333" s="3079">
        <v>44314</v>
      </c>
      <c r="D1333" s="3074" t="s">
        <v>3631</v>
      </c>
      <c r="E1333" s="3072" t="s">
        <v>3109</v>
      </c>
      <c r="F1333" s="3072" t="s">
        <v>3235</v>
      </c>
      <c r="G1333" s="3464" t="s">
        <v>3839</v>
      </c>
      <c r="H1333" s="3465"/>
      <c r="I1333" s="3074">
        <v>6114</v>
      </c>
      <c r="J1333" s="3464" t="s">
        <v>3840</v>
      </c>
      <c r="K1333" s="3465"/>
    </row>
    <row r="1334" spans="1:11" ht="26.25" thickBot="1">
      <c r="A1334" s="3073">
        <v>137</v>
      </c>
      <c r="B1334" s="3074">
        <v>15</v>
      </c>
      <c r="C1334" s="3079">
        <v>44314</v>
      </c>
      <c r="D1334" s="3074" t="s">
        <v>3401</v>
      </c>
      <c r="E1334" s="3072" t="s">
        <v>3109</v>
      </c>
      <c r="F1334" s="3072" t="s">
        <v>3235</v>
      </c>
      <c r="G1334" s="3464" t="s">
        <v>3852</v>
      </c>
      <c r="H1334" s="3465"/>
      <c r="I1334" s="3074">
        <v>6114</v>
      </c>
      <c r="J1334" s="3464" t="s">
        <v>3853</v>
      </c>
      <c r="K1334" s="3465"/>
    </row>
    <row r="1335" spans="1:11" ht="26.25" thickBot="1">
      <c r="A1335" s="3073">
        <v>138</v>
      </c>
      <c r="B1335" s="3074">
        <v>15</v>
      </c>
      <c r="C1335" s="3079">
        <v>44314</v>
      </c>
      <c r="D1335" s="3074" t="s">
        <v>3402</v>
      </c>
      <c r="E1335" s="3072" t="s">
        <v>3109</v>
      </c>
      <c r="F1335" s="3072" t="s">
        <v>3235</v>
      </c>
      <c r="G1335" s="3464" t="s">
        <v>3841</v>
      </c>
      <c r="H1335" s="3465"/>
      <c r="I1335" s="3074">
        <v>6114</v>
      </c>
      <c r="J1335" s="3464" t="s">
        <v>3842</v>
      </c>
      <c r="K1335" s="3465"/>
    </row>
    <row r="1336" spans="1:11" ht="26.25" thickBot="1">
      <c r="A1336" s="3073">
        <v>139</v>
      </c>
      <c r="B1336" s="3074">
        <v>15</v>
      </c>
      <c r="C1336" s="3079">
        <v>44314</v>
      </c>
      <c r="D1336" s="3074" t="s">
        <v>3403</v>
      </c>
      <c r="E1336" s="3072" t="s">
        <v>3109</v>
      </c>
      <c r="F1336" s="3072" t="s">
        <v>3235</v>
      </c>
      <c r="G1336" s="3464" t="s">
        <v>3839</v>
      </c>
      <c r="H1336" s="3465"/>
      <c r="I1336" s="3074">
        <v>6114</v>
      </c>
      <c r="J1336" s="3464" t="s">
        <v>3840</v>
      </c>
      <c r="K1336" s="3465"/>
    </row>
    <row r="1337" spans="1:11" ht="26.25" thickBot="1">
      <c r="A1337" s="3073">
        <v>140</v>
      </c>
      <c r="B1337" s="3074">
        <v>15</v>
      </c>
      <c r="C1337" s="3079">
        <v>44314</v>
      </c>
      <c r="D1337" s="3074" t="s">
        <v>3404</v>
      </c>
      <c r="E1337" s="3072" t="s">
        <v>3109</v>
      </c>
      <c r="F1337" s="3072" t="s">
        <v>3235</v>
      </c>
      <c r="G1337" s="3464" t="s">
        <v>3847</v>
      </c>
      <c r="H1337" s="3465"/>
      <c r="I1337" s="3074">
        <v>6114</v>
      </c>
      <c r="J1337" s="3464" t="s">
        <v>3848</v>
      </c>
      <c r="K1337" s="3465"/>
    </row>
    <row r="1338" spans="1:11" ht="26.25" thickBot="1">
      <c r="A1338" s="3073">
        <v>141</v>
      </c>
      <c r="B1338" s="3074">
        <v>15</v>
      </c>
      <c r="C1338" s="3079">
        <v>44344</v>
      </c>
      <c r="D1338" s="3074" t="s">
        <v>3405</v>
      </c>
      <c r="E1338" s="3072" t="s">
        <v>3109</v>
      </c>
      <c r="F1338" s="3072" t="s">
        <v>3235</v>
      </c>
      <c r="G1338" s="3081">
        <v>13</v>
      </c>
      <c r="H1338" s="3074" t="s">
        <v>3855</v>
      </c>
      <c r="I1338" s="3074">
        <v>6114</v>
      </c>
      <c r="J1338" s="3081">
        <v>8</v>
      </c>
      <c r="K1338" s="3074" t="s">
        <v>3856</v>
      </c>
    </row>
    <row r="1339" spans="1:11" ht="26.25" thickBot="1">
      <c r="A1339" s="3073">
        <v>142</v>
      </c>
      <c r="B1339" s="3074">
        <v>15</v>
      </c>
      <c r="C1339" s="3079">
        <v>44344</v>
      </c>
      <c r="D1339" s="3074" t="s">
        <v>3406</v>
      </c>
      <c r="E1339" s="3072" t="s">
        <v>3109</v>
      </c>
      <c r="F1339" s="3072" t="s">
        <v>3235</v>
      </c>
      <c r="G1339" s="3464" t="s">
        <v>3839</v>
      </c>
      <c r="H1339" s="3465"/>
      <c r="I1339" s="3074">
        <v>6114</v>
      </c>
      <c r="J1339" s="3464" t="s">
        <v>3840</v>
      </c>
      <c r="K1339" s="3465"/>
    </row>
    <row r="1340" spans="1:11" ht="26.25" thickBot="1">
      <c r="A1340" s="3073">
        <v>143</v>
      </c>
      <c r="B1340" s="3074">
        <v>15</v>
      </c>
      <c r="C1340" s="3079">
        <v>44344</v>
      </c>
      <c r="D1340" s="3074" t="s">
        <v>3407</v>
      </c>
      <c r="E1340" s="3072" t="s">
        <v>3109</v>
      </c>
      <c r="F1340" s="3072" t="s">
        <v>3235</v>
      </c>
      <c r="G1340" s="3464" t="s">
        <v>3841</v>
      </c>
      <c r="H1340" s="3465"/>
      <c r="I1340" s="3074">
        <v>6114</v>
      </c>
      <c r="J1340" s="3464" t="s">
        <v>3842</v>
      </c>
      <c r="K1340" s="3465"/>
    </row>
    <row r="1341" spans="1:11" ht="23.25" thickBot="1">
      <c r="A1341" s="3073">
        <v>144</v>
      </c>
      <c r="B1341" s="3074">
        <v>15</v>
      </c>
      <c r="C1341" s="3079">
        <v>44344</v>
      </c>
      <c r="D1341" s="3082" t="s">
        <v>3857</v>
      </c>
      <c r="E1341" s="3083" t="s">
        <v>3109</v>
      </c>
      <c r="F1341" s="3083" t="s">
        <v>3235</v>
      </c>
      <c r="G1341" s="3464" t="s">
        <v>3852</v>
      </c>
      <c r="H1341" s="3465"/>
      <c r="I1341" s="3074">
        <v>6114</v>
      </c>
      <c r="J1341" s="3464" t="s">
        <v>3853</v>
      </c>
      <c r="K1341" s="3465"/>
    </row>
    <row r="1342" spans="1:11" ht="26.25" thickBot="1">
      <c r="A1342" s="3073">
        <v>145</v>
      </c>
      <c r="B1342" s="3074">
        <v>15</v>
      </c>
      <c r="C1342" s="3079">
        <v>44344</v>
      </c>
      <c r="D1342" s="3074" t="s">
        <v>3409</v>
      </c>
      <c r="E1342" s="3072" t="s">
        <v>3109</v>
      </c>
      <c r="F1342" s="3072" t="s">
        <v>3235</v>
      </c>
      <c r="G1342" s="3464" t="s">
        <v>3839</v>
      </c>
      <c r="H1342" s="3465"/>
      <c r="I1342" s="3074">
        <v>6114</v>
      </c>
      <c r="J1342" s="3464" t="s">
        <v>3840</v>
      </c>
      <c r="K1342" s="3465"/>
    </row>
    <row r="1343" spans="1:11" ht="26.25" thickBot="1">
      <c r="A1343" s="3073">
        <v>146</v>
      </c>
      <c r="B1343" s="3074">
        <v>15</v>
      </c>
      <c r="C1343" s="3079">
        <v>44344</v>
      </c>
      <c r="D1343" s="3074" t="s">
        <v>3410</v>
      </c>
      <c r="E1343" s="3072" t="s">
        <v>3109</v>
      </c>
      <c r="F1343" s="3072" t="s">
        <v>3235</v>
      </c>
      <c r="G1343" s="3464" t="s">
        <v>3847</v>
      </c>
      <c r="H1343" s="3465"/>
      <c r="I1343" s="3074">
        <v>6114</v>
      </c>
      <c r="J1343" s="3464" t="s">
        <v>3848</v>
      </c>
      <c r="K1343" s="3465"/>
    </row>
    <row r="1344" spans="1:11" ht="26.25" thickBot="1">
      <c r="A1344" s="3073">
        <v>147</v>
      </c>
      <c r="B1344" s="3074">
        <v>15</v>
      </c>
      <c r="C1344" s="3079">
        <v>44375</v>
      </c>
      <c r="D1344" s="3074" t="s">
        <v>3411</v>
      </c>
      <c r="E1344" s="3072" t="s">
        <v>3109</v>
      </c>
      <c r="F1344" s="3072" t="s">
        <v>3235</v>
      </c>
      <c r="G1344" s="3464" t="s">
        <v>3850</v>
      </c>
      <c r="H1344" s="3465"/>
      <c r="I1344" s="3074">
        <v>6114</v>
      </c>
      <c r="J1344" s="3464" t="s">
        <v>3851</v>
      </c>
      <c r="K1344" s="3465"/>
    </row>
    <row r="1345" spans="1:11" ht="26.25" thickBot="1">
      <c r="A1345" s="3073">
        <v>148</v>
      </c>
      <c r="B1345" s="3074">
        <v>15</v>
      </c>
      <c r="C1345" s="3079">
        <v>44375</v>
      </c>
      <c r="D1345" s="3074" t="s">
        <v>3412</v>
      </c>
      <c r="E1345" s="3072" t="s">
        <v>3109</v>
      </c>
      <c r="F1345" s="3072" t="s">
        <v>3235</v>
      </c>
      <c r="G1345" s="3464" t="s">
        <v>3839</v>
      </c>
      <c r="H1345" s="3465"/>
      <c r="I1345" s="3074">
        <v>6114</v>
      </c>
      <c r="J1345" s="3464" t="s">
        <v>3840</v>
      </c>
      <c r="K1345" s="3465"/>
    </row>
    <row r="1346" spans="1:11" ht="26.25" thickBot="1">
      <c r="A1346" s="3073">
        <v>149</v>
      </c>
      <c r="B1346" s="3074">
        <v>15</v>
      </c>
      <c r="C1346" s="3079">
        <v>44375</v>
      </c>
      <c r="D1346" s="3074" t="s">
        <v>3413</v>
      </c>
      <c r="E1346" s="3072" t="s">
        <v>3109</v>
      </c>
      <c r="F1346" s="3072" t="s">
        <v>3235</v>
      </c>
      <c r="G1346" s="3464" t="s">
        <v>3841</v>
      </c>
      <c r="H1346" s="3465"/>
      <c r="I1346" s="3074">
        <v>6114</v>
      </c>
      <c r="J1346" s="3464" t="s">
        <v>3842</v>
      </c>
      <c r="K1346" s="3465"/>
    </row>
    <row r="1347" spans="1:11" ht="26.25" thickBot="1">
      <c r="A1347" s="3073">
        <v>150</v>
      </c>
      <c r="B1347" s="3074">
        <v>15</v>
      </c>
      <c r="C1347" s="3079">
        <v>44375</v>
      </c>
      <c r="D1347" s="3074" t="s">
        <v>3414</v>
      </c>
      <c r="E1347" s="3072" t="s">
        <v>3109</v>
      </c>
      <c r="F1347" s="3072" t="s">
        <v>3235</v>
      </c>
      <c r="G1347" s="3464" t="s">
        <v>3841</v>
      </c>
      <c r="H1347" s="3465"/>
      <c r="I1347" s="3074">
        <v>6114</v>
      </c>
      <c r="J1347" s="3464" t="s">
        <v>3842</v>
      </c>
      <c r="K1347" s="3465"/>
    </row>
    <row r="1348" spans="1:11" ht="26.25" thickBot="1">
      <c r="A1348" s="3073">
        <v>151</v>
      </c>
      <c r="B1348" s="3074">
        <v>15</v>
      </c>
      <c r="C1348" s="3079">
        <v>44375</v>
      </c>
      <c r="D1348" s="3074" t="s">
        <v>3416</v>
      </c>
      <c r="E1348" s="3072" t="s">
        <v>3109</v>
      </c>
      <c r="F1348" s="3072" t="s">
        <v>3235</v>
      </c>
      <c r="G1348" s="3464" t="s">
        <v>3858</v>
      </c>
      <c r="H1348" s="3465"/>
      <c r="I1348" s="3074">
        <v>6114</v>
      </c>
      <c r="J1348" s="3464" t="s">
        <v>3859</v>
      </c>
      <c r="K1348" s="3465"/>
    </row>
    <row r="1349" spans="1:11" ht="26.25" thickBot="1">
      <c r="A1349" s="3073">
        <v>152</v>
      </c>
      <c r="B1349" s="3074">
        <v>15</v>
      </c>
      <c r="C1349" s="3079">
        <v>44375</v>
      </c>
      <c r="D1349" s="3074" t="s">
        <v>3417</v>
      </c>
      <c r="E1349" s="3072" t="s">
        <v>3109</v>
      </c>
      <c r="F1349" s="3072" t="s">
        <v>3235</v>
      </c>
      <c r="G1349" s="3464" t="s">
        <v>3847</v>
      </c>
      <c r="H1349" s="3465"/>
      <c r="I1349" s="3074">
        <v>6114</v>
      </c>
      <c r="J1349" s="3464" t="s">
        <v>3848</v>
      </c>
      <c r="K1349" s="3465"/>
    </row>
    <row r="1350" spans="1:11" ht="26.25" thickBot="1">
      <c r="A1350" s="3073">
        <v>153</v>
      </c>
      <c r="B1350" s="3074">
        <v>15</v>
      </c>
      <c r="C1350" s="3079">
        <v>44405</v>
      </c>
      <c r="D1350" s="3074" t="s">
        <v>3418</v>
      </c>
      <c r="E1350" s="3072" t="s">
        <v>3109</v>
      </c>
      <c r="F1350" s="3072" t="s">
        <v>3235</v>
      </c>
      <c r="G1350" s="3464" t="s">
        <v>3847</v>
      </c>
      <c r="H1350" s="3465"/>
      <c r="I1350" s="3074">
        <v>6114</v>
      </c>
      <c r="J1350" s="3464" t="s">
        <v>3848</v>
      </c>
      <c r="K1350" s="3465"/>
    </row>
    <row r="1351" spans="1:11" ht="26.25" thickBot="1">
      <c r="A1351" s="3073">
        <v>154</v>
      </c>
      <c r="B1351" s="3074">
        <v>15</v>
      </c>
      <c r="C1351" s="3079">
        <v>44405</v>
      </c>
      <c r="D1351" s="3074" t="s">
        <v>3419</v>
      </c>
      <c r="E1351" s="3072" t="s">
        <v>3109</v>
      </c>
      <c r="F1351" s="3072" t="s">
        <v>3235</v>
      </c>
      <c r="G1351" s="3464" t="s">
        <v>3858</v>
      </c>
      <c r="H1351" s="3465"/>
      <c r="I1351" s="3074">
        <v>6114</v>
      </c>
      <c r="J1351" s="3464" t="s">
        <v>3859</v>
      </c>
      <c r="K1351" s="3465"/>
    </row>
    <row r="1352" spans="1:11" ht="26.25" thickBot="1">
      <c r="A1352" s="3073">
        <v>155</v>
      </c>
      <c r="B1352" s="3074">
        <v>15</v>
      </c>
      <c r="C1352" s="3079">
        <v>44405</v>
      </c>
      <c r="D1352" s="3074" t="s">
        <v>3420</v>
      </c>
      <c r="E1352" s="3072" t="s">
        <v>3109</v>
      </c>
      <c r="F1352" s="3072" t="s">
        <v>3235</v>
      </c>
      <c r="G1352" s="3464" t="s">
        <v>3841</v>
      </c>
      <c r="H1352" s="3465"/>
      <c r="I1352" s="3074">
        <v>6114</v>
      </c>
      <c r="J1352" s="3464" t="s">
        <v>3842</v>
      </c>
      <c r="K1352" s="3465"/>
    </row>
    <row r="1353" spans="1:11" ht="26.25" thickBot="1">
      <c r="A1353" s="3073">
        <v>156</v>
      </c>
      <c r="B1353" s="3074">
        <v>15</v>
      </c>
      <c r="C1353" s="3079">
        <v>44405</v>
      </c>
      <c r="D1353" s="3074" t="s">
        <v>3421</v>
      </c>
      <c r="E1353" s="3072" t="s">
        <v>3109</v>
      </c>
      <c r="F1353" s="3072" t="s">
        <v>3235</v>
      </c>
      <c r="G1353" s="3464" t="s">
        <v>3841</v>
      </c>
      <c r="H1353" s="3465"/>
      <c r="I1353" s="3074">
        <v>6114</v>
      </c>
      <c r="J1353" s="3464" t="s">
        <v>3842</v>
      </c>
      <c r="K1353" s="3465"/>
    </row>
    <row r="1354" spans="1:11" ht="26.25" thickBot="1">
      <c r="A1354" s="3073">
        <v>157</v>
      </c>
      <c r="B1354" s="3074">
        <v>15</v>
      </c>
      <c r="C1354" s="3079">
        <v>44405</v>
      </c>
      <c r="D1354" s="3074" t="s">
        <v>3422</v>
      </c>
      <c r="E1354" s="3072" t="s">
        <v>3109</v>
      </c>
      <c r="F1354" s="3072" t="s">
        <v>3235</v>
      </c>
      <c r="G1354" s="3464" t="s">
        <v>3839</v>
      </c>
      <c r="H1354" s="3465"/>
      <c r="I1354" s="3074">
        <v>6114</v>
      </c>
      <c r="J1354" s="3464" t="s">
        <v>3840</v>
      </c>
      <c r="K1354" s="3465"/>
    </row>
    <row r="1355" spans="1:11" ht="26.25" thickBot="1">
      <c r="A1355" s="3073">
        <v>158</v>
      </c>
      <c r="B1355" s="3074">
        <v>15</v>
      </c>
      <c r="C1355" s="3079">
        <v>44405</v>
      </c>
      <c r="D1355" s="3074" t="s">
        <v>3423</v>
      </c>
      <c r="E1355" s="3072" t="s">
        <v>3109</v>
      </c>
      <c r="F1355" s="3072" t="s">
        <v>3235</v>
      </c>
      <c r="G1355" s="3081">
        <v>13</v>
      </c>
      <c r="H1355" s="3074" t="s">
        <v>3855</v>
      </c>
      <c r="I1355" s="3074">
        <v>6114</v>
      </c>
      <c r="J1355" s="3081">
        <v>8</v>
      </c>
      <c r="K1355" s="3074" t="s">
        <v>3856</v>
      </c>
    </row>
    <row r="1356" spans="1:11" ht="26.25" thickBot="1">
      <c r="A1356" s="3073">
        <v>159</v>
      </c>
      <c r="B1356" s="3074">
        <v>15</v>
      </c>
      <c r="C1356" s="3079">
        <v>44436</v>
      </c>
      <c r="D1356" s="3074" t="s">
        <v>3424</v>
      </c>
      <c r="E1356" s="3072" t="s">
        <v>3109</v>
      </c>
      <c r="F1356" s="3072" t="s">
        <v>3235</v>
      </c>
      <c r="G1356" s="3464" t="s">
        <v>3847</v>
      </c>
      <c r="H1356" s="3465"/>
      <c r="I1356" s="3074">
        <v>6114</v>
      </c>
      <c r="J1356" s="3464" t="s">
        <v>3848</v>
      </c>
      <c r="K1356" s="3465"/>
    </row>
    <row r="1357" spans="1:11" ht="26.25" thickBot="1">
      <c r="A1357" s="3073">
        <v>160</v>
      </c>
      <c r="B1357" s="3074">
        <v>15</v>
      </c>
      <c r="C1357" s="3079">
        <v>44436</v>
      </c>
      <c r="D1357" s="3074" t="s">
        <v>3425</v>
      </c>
      <c r="E1357" s="3072" t="s">
        <v>3109</v>
      </c>
      <c r="F1357" s="3072" t="s">
        <v>3235</v>
      </c>
      <c r="G1357" s="3464" t="s">
        <v>3839</v>
      </c>
      <c r="H1357" s="3465"/>
      <c r="I1357" s="3074">
        <v>6114</v>
      </c>
      <c r="J1357" s="3464" t="s">
        <v>3840</v>
      </c>
      <c r="K1357" s="3465"/>
    </row>
    <row r="1358" spans="1:11" ht="26.25" thickBot="1">
      <c r="A1358" s="3073">
        <v>161</v>
      </c>
      <c r="B1358" s="3074">
        <v>15</v>
      </c>
      <c r="C1358" s="3079">
        <v>44436</v>
      </c>
      <c r="D1358" s="3074" t="s">
        <v>3426</v>
      </c>
      <c r="E1358" s="3072" t="s">
        <v>3109</v>
      </c>
      <c r="F1358" s="3072" t="s">
        <v>3235</v>
      </c>
      <c r="G1358" s="3464" t="s">
        <v>3852</v>
      </c>
      <c r="H1358" s="3465"/>
      <c r="I1358" s="3074">
        <v>6114</v>
      </c>
      <c r="J1358" s="3464" t="s">
        <v>3853</v>
      </c>
      <c r="K1358" s="3465"/>
    </row>
    <row r="1359" spans="1:11" ht="26.25" thickBot="1">
      <c r="A1359" s="3073">
        <v>162</v>
      </c>
      <c r="B1359" s="3074">
        <v>15</v>
      </c>
      <c r="C1359" s="3079">
        <v>44436</v>
      </c>
      <c r="D1359" s="3074" t="s">
        <v>3427</v>
      </c>
      <c r="E1359" s="3072" t="s">
        <v>3109</v>
      </c>
      <c r="F1359" s="3072" t="s">
        <v>3235</v>
      </c>
      <c r="G1359" s="3464" t="s">
        <v>3841</v>
      </c>
      <c r="H1359" s="3465"/>
      <c r="I1359" s="3074">
        <v>6114</v>
      </c>
      <c r="J1359" s="3464" t="s">
        <v>3842</v>
      </c>
      <c r="K1359" s="3465"/>
    </row>
    <row r="1360" spans="1:11" ht="26.25" thickBot="1">
      <c r="A1360" s="3073">
        <v>163</v>
      </c>
      <c r="B1360" s="3074">
        <v>15</v>
      </c>
      <c r="C1360" s="3079">
        <v>44436</v>
      </c>
      <c r="D1360" s="3074" t="s">
        <v>3428</v>
      </c>
      <c r="E1360" s="3072" t="s">
        <v>3109</v>
      </c>
      <c r="F1360" s="3072" t="s">
        <v>3235</v>
      </c>
      <c r="G1360" s="3464" t="s">
        <v>3839</v>
      </c>
      <c r="H1360" s="3465"/>
      <c r="I1360" s="3074">
        <v>6114</v>
      </c>
      <c r="J1360" s="3464" t="s">
        <v>3840</v>
      </c>
      <c r="K1360" s="3465"/>
    </row>
    <row r="1361" spans="1:11" ht="26.25" thickBot="1">
      <c r="A1361" s="3073">
        <v>164</v>
      </c>
      <c r="B1361" s="3074">
        <v>15</v>
      </c>
      <c r="C1361" s="3079">
        <v>44436</v>
      </c>
      <c r="D1361" s="3074" t="s">
        <v>3429</v>
      </c>
      <c r="E1361" s="3072" t="s">
        <v>3109</v>
      </c>
      <c r="F1361" s="3072" t="s">
        <v>3235</v>
      </c>
      <c r="G1361" s="3464" t="s">
        <v>3850</v>
      </c>
      <c r="H1361" s="3465"/>
      <c r="I1361" s="3074">
        <v>6114</v>
      </c>
      <c r="J1361" s="3464" t="s">
        <v>3851</v>
      </c>
      <c r="K1361" s="3465"/>
    </row>
    <row r="1362" spans="1:11" ht="26.25" thickBot="1">
      <c r="A1362" s="3073">
        <v>165</v>
      </c>
      <c r="B1362" s="3074">
        <v>15</v>
      </c>
      <c r="C1362" s="3079">
        <v>44467</v>
      </c>
      <c r="D1362" s="3074" t="s">
        <v>3430</v>
      </c>
      <c r="E1362" s="3072" t="s">
        <v>3109</v>
      </c>
      <c r="F1362" s="3072" t="s">
        <v>3235</v>
      </c>
      <c r="G1362" s="3464" t="s">
        <v>3847</v>
      </c>
      <c r="H1362" s="3465"/>
      <c r="I1362" s="3074">
        <v>6114</v>
      </c>
      <c r="J1362" s="3464" t="s">
        <v>3848</v>
      </c>
      <c r="K1362" s="3465"/>
    </row>
    <row r="1363" spans="1:11" ht="26.25" thickBot="1">
      <c r="A1363" s="3073">
        <v>166</v>
      </c>
      <c r="B1363" s="3074">
        <v>15</v>
      </c>
      <c r="C1363" s="3079">
        <v>44467</v>
      </c>
      <c r="D1363" s="3074" t="s">
        <v>3431</v>
      </c>
      <c r="E1363" s="3072" t="s">
        <v>3109</v>
      </c>
      <c r="F1363" s="3072" t="s">
        <v>3235</v>
      </c>
      <c r="G1363" s="3464" t="s">
        <v>3839</v>
      </c>
      <c r="H1363" s="3465"/>
      <c r="I1363" s="3074">
        <v>6114</v>
      </c>
      <c r="J1363" s="3464" t="s">
        <v>3840</v>
      </c>
      <c r="K1363" s="3465"/>
    </row>
    <row r="1364" spans="1:11" ht="26.25" thickBot="1">
      <c r="A1364" s="3073">
        <v>167</v>
      </c>
      <c r="B1364" s="3074">
        <v>15</v>
      </c>
      <c r="C1364" s="3079">
        <v>44467</v>
      </c>
      <c r="D1364" s="3074" t="s">
        <v>3432</v>
      </c>
      <c r="E1364" s="3072" t="s">
        <v>3109</v>
      </c>
      <c r="F1364" s="3072" t="s">
        <v>3235</v>
      </c>
      <c r="G1364" s="3464" t="s">
        <v>3841</v>
      </c>
      <c r="H1364" s="3465"/>
      <c r="I1364" s="3074">
        <v>6114</v>
      </c>
      <c r="J1364" s="3464" t="s">
        <v>3842</v>
      </c>
      <c r="K1364" s="3465"/>
    </row>
    <row r="1365" spans="1:11" ht="26.25" thickBot="1">
      <c r="A1365" s="3073">
        <v>168</v>
      </c>
      <c r="B1365" s="3074">
        <v>15</v>
      </c>
      <c r="C1365" s="3079">
        <v>44467</v>
      </c>
      <c r="D1365" s="3074" t="s">
        <v>3433</v>
      </c>
      <c r="E1365" s="3072" t="s">
        <v>3109</v>
      </c>
      <c r="F1365" s="3072" t="s">
        <v>3235</v>
      </c>
      <c r="G1365" s="3075">
        <v>11</v>
      </c>
      <c r="H1365" s="3074" t="s">
        <v>3843</v>
      </c>
      <c r="I1365" s="3074">
        <v>6114</v>
      </c>
      <c r="J1365" s="3081">
        <v>7</v>
      </c>
      <c r="K1365" s="3074" t="s">
        <v>3844</v>
      </c>
    </row>
    <row r="1366" spans="1:11" ht="26.25" thickBot="1">
      <c r="A1366" s="3073">
        <v>169</v>
      </c>
      <c r="B1366" s="3074">
        <v>15</v>
      </c>
      <c r="C1366" s="3079">
        <v>44467</v>
      </c>
      <c r="D1366" s="3074" t="s">
        <v>3434</v>
      </c>
      <c r="E1366" s="3072" t="s">
        <v>3109</v>
      </c>
      <c r="F1366" s="3072" t="s">
        <v>3235</v>
      </c>
      <c r="G1366" s="3464" t="s">
        <v>3839</v>
      </c>
      <c r="H1366" s="3465"/>
      <c r="I1366" s="3074">
        <v>6114</v>
      </c>
      <c r="J1366" s="3464" t="s">
        <v>3840</v>
      </c>
      <c r="K1366" s="3465"/>
    </row>
    <row r="1367" spans="1:11" ht="26.25" thickBot="1">
      <c r="A1367" s="3073">
        <v>170</v>
      </c>
      <c r="B1367" s="3074">
        <v>15</v>
      </c>
      <c r="C1367" s="3079">
        <v>44467</v>
      </c>
      <c r="D1367" s="3074" t="s">
        <v>3435</v>
      </c>
      <c r="E1367" s="3072" t="s">
        <v>3109</v>
      </c>
      <c r="F1367" s="3072" t="s">
        <v>3235</v>
      </c>
      <c r="G1367" s="3464" t="s">
        <v>3847</v>
      </c>
      <c r="H1367" s="3465"/>
      <c r="I1367" s="3074">
        <v>6114</v>
      </c>
      <c r="J1367" s="3464" t="s">
        <v>3848</v>
      </c>
      <c r="K1367" s="3465"/>
    </row>
    <row r="1368" spans="1:11" ht="26.25" thickBot="1">
      <c r="A1368" s="3073">
        <v>171</v>
      </c>
      <c r="B1368" s="3074">
        <v>15</v>
      </c>
      <c r="C1368" s="3079">
        <v>44497</v>
      </c>
      <c r="D1368" s="3074" t="s">
        <v>3436</v>
      </c>
      <c r="E1368" s="3072" t="s">
        <v>3109</v>
      </c>
      <c r="F1368" s="3072" t="s">
        <v>3235</v>
      </c>
      <c r="G1368" s="3464" t="s">
        <v>3850</v>
      </c>
      <c r="H1368" s="3465"/>
      <c r="I1368" s="3074">
        <v>6114</v>
      </c>
      <c r="J1368" s="3464" t="s">
        <v>3851</v>
      </c>
      <c r="K1368" s="3465"/>
    </row>
    <row r="1369" spans="1:11" ht="26.25" thickBot="1">
      <c r="A1369" s="3073">
        <v>172</v>
      </c>
      <c r="B1369" s="3074">
        <v>15</v>
      </c>
      <c r="C1369" s="3079">
        <v>44497</v>
      </c>
      <c r="D1369" s="3074" t="s">
        <v>3437</v>
      </c>
      <c r="E1369" s="3072" t="s">
        <v>3109</v>
      </c>
      <c r="F1369" s="3072" t="s">
        <v>3235</v>
      </c>
      <c r="G1369" s="3464" t="s">
        <v>3839</v>
      </c>
      <c r="H1369" s="3465"/>
      <c r="I1369" s="3074">
        <v>6114</v>
      </c>
      <c r="J1369" s="3464" t="s">
        <v>3840</v>
      </c>
      <c r="K1369" s="3465"/>
    </row>
    <row r="1370" spans="1:11" ht="26.25" thickBot="1">
      <c r="A1370" s="3073">
        <v>173</v>
      </c>
      <c r="B1370" s="3074">
        <v>15</v>
      </c>
      <c r="C1370" s="3079">
        <v>44497</v>
      </c>
      <c r="D1370" s="3074" t="s">
        <v>3438</v>
      </c>
      <c r="E1370" s="3072" t="s">
        <v>3109</v>
      </c>
      <c r="F1370" s="3072" t="s">
        <v>3235</v>
      </c>
      <c r="G1370" s="3464" t="s">
        <v>3841</v>
      </c>
      <c r="H1370" s="3465"/>
      <c r="I1370" s="3074">
        <v>6114</v>
      </c>
      <c r="J1370" s="3464" t="s">
        <v>3842</v>
      </c>
      <c r="K1370" s="3465"/>
    </row>
    <row r="1371" spans="1:11" ht="26.25" thickBot="1">
      <c r="A1371" s="3073">
        <v>174</v>
      </c>
      <c r="B1371" s="3074">
        <v>15</v>
      </c>
      <c r="C1371" s="3079">
        <v>44497</v>
      </c>
      <c r="D1371" s="3074" t="s">
        <v>3439</v>
      </c>
      <c r="E1371" s="3072" t="s">
        <v>3109</v>
      </c>
      <c r="F1371" s="3072" t="s">
        <v>3235</v>
      </c>
      <c r="G1371" s="3464" t="s">
        <v>3841</v>
      </c>
      <c r="H1371" s="3465"/>
      <c r="I1371" s="3074">
        <v>6114</v>
      </c>
      <c r="J1371" s="3464" t="s">
        <v>3842</v>
      </c>
      <c r="K1371" s="3465"/>
    </row>
    <row r="1372" spans="1:11" ht="26.25" thickBot="1">
      <c r="A1372" s="3073">
        <v>175</v>
      </c>
      <c r="B1372" s="3074">
        <v>15</v>
      </c>
      <c r="C1372" s="3079">
        <v>44497</v>
      </c>
      <c r="D1372" s="3074" t="s">
        <v>3440</v>
      </c>
      <c r="E1372" s="3072" t="s">
        <v>3109</v>
      </c>
      <c r="F1372" s="3072" t="s">
        <v>3235</v>
      </c>
      <c r="G1372" s="3075">
        <v>11</v>
      </c>
      <c r="H1372" s="3074" t="s">
        <v>3860</v>
      </c>
      <c r="I1372" s="3074">
        <v>6114</v>
      </c>
      <c r="J1372" s="3081">
        <v>7</v>
      </c>
      <c r="K1372" s="3074" t="s">
        <v>3861</v>
      </c>
    </row>
    <row r="1373" spans="1:11" ht="26.25" thickBot="1">
      <c r="A1373" s="3073">
        <v>176</v>
      </c>
      <c r="B1373" s="3074">
        <v>15</v>
      </c>
      <c r="C1373" s="3079">
        <v>44497</v>
      </c>
      <c r="D1373" s="3074" t="s">
        <v>3441</v>
      </c>
      <c r="E1373" s="3072" t="s">
        <v>3109</v>
      </c>
      <c r="F1373" s="3072" t="s">
        <v>3235</v>
      </c>
      <c r="G1373" s="3464" t="s">
        <v>3847</v>
      </c>
      <c r="H1373" s="3465"/>
      <c r="I1373" s="3074">
        <v>6114</v>
      </c>
      <c r="J1373" s="3464" t="s">
        <v>3848</v>
      </c>
      <c r="K1373" s="3465"/>
    </row>
    <row r="1374" spans="1:11" ht="26.25" thickBot="1">
      <c r="A1374" s="3073">
        <v>177</v>
      </c>
      <c r="B1374" s="3074">
        <v>15</v>
      </c>
      <c r="C1374" s="3079">
        <v>44528</v>
      </c>
      <c r="D1374" s="3074" t="s">
        <v>3442</v>
      </c>
      <c r="E1374" s="3072" t="s">
        <v>3109</v>
      </c>
      <c r="F1374" s="3072" t="s">
        <v>3235</v>
      </c>
      <c r="G1374" s="3464" t="s">
        <v>3847</v>
      </c>
      <c r="H1374" s="3465"/>
      <c r="I1374" s="3074">
        <v>6114</v>
      </c>
      <c r="J1374" s="3464" t="s">
        <v>3848</v>
      </c>
      <c r="K1374" s="3465"/>
    </row>
    <row r="1375" spans="1:11" ht="26.25" thickBot="1">
      <c r="A1375" s="3073">
        <v>178</v>
      </c>
      <c r="B1375" s="3074">
        <v>15</v>
      </c>
      <c r="C1375" s="3079">
        <v>44528</v>
      </c>
      <c r="D1375" s="3074" t="s">
        <v>3443</v>
      </c>
      <c r="E1375" s="3072" t="s">
        <v>3109</v>
      </c>
      <c r="F1375" s="3072" t="s">
        <v>3235</v>
      </c>
      <c r="G1375" s="3464" t="s">
        <v>3858</v>
      </c>
      <c r="H1375" s="3465"/>
      <c r="I1375" s="3074">
        <v>6114</v>
      </c>
      <c r="J1375" s="3464" t="s">
        <v>3859</v>
      </c>
      <c r="K1375" s="3465"/>
    </row>
    <row r="1376" spans="1:11" ht="26.25" thickBot="1">
      <c r="A1376" s="3073">
        <v>179</v>
      </c>
      <c r="B1376" s="3074">
        <v>15</v>
      </c>
      <c r="C1376" s="3079">
        <v>44528</v>
      </c>
      <c r="D1376" s="3074" t="s">
        <v>3444</v>
      </c>
      <c r="E1376" s="3072" t="s">
        <v>3109</v>
      </c>
      <c r="F1376" s="3072" t="s">
        <v>3235</v>
      </c>
      <c r="G1376" s="3464" t="s">
        <v>3841</v>
      </c>
      <c r="H1376" s="3465"/>
      <c r="I1376" s="3074">
        <v>6114</v>
      </c>
      <c r="J1376" s="3464" t="s">
        <v>3842</v>
      </c>
      <c r="K1376" s="3465"/>
    </row>
    <row r="1377" spans="1:11" ht="26.25" thickBot="1">
      <c r="A1377" s="3073">
        <v>180</v>
      </c>
      <c r="B1377" s="3074">
        <v>15</v>
      </c>
      <c r="C1377" s="3079">
        <v>44528</v>
      </c>
      <c r="D1377" s="3074" t="s">
        <v>3697</v>
      </c>
      <c r="E1377" s="3072" t="s">
        <v>3109</v>
      </c>
      <c r="F1377" s="3072" t="s">
        <v>3235</v>
      </c>
      <c r="G1377" s="3464" t="s">
        <v>3841</v>
      </c>
      <c r="H1377" s="3465"/>
      <c r="I1377" s="3074">
        <v>6114</v>
      </c>
      <c r="J1377" s="3464" t="s">
        <v>3842</v>
      </c>
      <c r="K1377" s="3465"/>
    </row>
    <row r="1378" spans="1:11" ht="26.25" thickBot="1">
      <c r="A1378" s="3073">
        <v>181</v>
      </c>
      <c r="B1378" s="3074">
        <v>15</v>
      </c>
      <c r="C1378" s="3079">
        <v>44528</v>
      </c>
      <c r="D1378" s="3074" t="s">
        <v>3635</v>
      </c>
      <c r="E1378" s="3072" t="s">
        <v>3109</v>
      </c>
      <c r="F1378" s="3072" t="s">
        <v>3235</v>
      </c>
      <c r="G1378" s="3464" t="s">
        <v>3858</v>
      </c>
      <c r="H1378" s="3465"/>
      <c r="I1378" s="3074">
        <v>6114</v>
      </c>
      <c r="J1378" s="3464" t="s">
        <v>3859</v>
      </c>
      <c r="K1378" s="3465"/>
    </row>
    <row r="1379" spans="1:11" ht="26.25" thickBot="1">
      <c r="A1379" s="3073">
        <v>182</v>
      </c>
      <c r="B1379" s="3074">
        <v>15</v>
      </c>
      <c r="C1379" s="3079">
        <v>44528</v>
      </c>
      <c r="D1379" s="3074" t="s">
        <v>3447</v>
      </c>
      <c r="E1379" s="3072" t="s">
        <v>3109</v>
      </c>
      <c r="F1379" s="3072" t="s">
        <v>3235</v>
      </c>
      <c r="G1379" s="3464" t="s">
        <v>3847</v>
      </c>
      <c r="H1379" s="3465"/>
      <c r="I1379" s="3074">
        <v>6114</v>
      </c>
      <c r="J1379" s="3464" t="s">
        <v>3848</v>
      </c>
      <c r="K1379" s="3465"/>
    </row>
    <row r="1380" spans="1:11" ht="26.25" thickBot="1">
      <c r="A1380" s="3073">
        <v>183</v>
      </c>
      <c r="B1380" s="3074">
        <v>15</v>
      </c>
      <c r="C1380" s="3079">
        <v>44558</v>
      </c>
      <c r="D1380" s="3074" t="s">
        <v>3448</v>
      </c>
      <c r="E1380" s="3072" t="s">
        <v>3109</v>
      </c>
      <c r="F1380" s="3072" t="s">
        <v>3235</v>
      </c>
      <c r="G1380" s="3464" t="s">
        <v>3847</v>
      </c>
      <c r="H1380" s="3465"/>
      <c r="I1380" s="3074">
        <v>6114</v>
      </c>
      <c r="J1380" s="3464" t="s">
        <v>3848</v>
      </c>
      <c r="K1380" s="3465"/>
    </row>
    <row r="1381" spans="1:11" ht="26.25" thickBot="1">
      <c r="A1381" s="3073">
        <v>184</v>
      </c>
      <c r="B1381" s="3074">
        <v>15</v>
      </c>
      <c r="C1381" s="3079">
        <v>44558</v>
      </c>
      <c r="D1381" s="3074" t="s">
        <v>3449</v>
      </c>
      <c r="E1381" s="3072" t="s">
        <v>3109</v>
      </c>
      <c r="F1381" s="3072" t="s">
        <v>3235</v>
      </c>
      <c r="G1381" s="3464" t="s">
        <v>3839</v>
      </c>
      <c r="H1381" s="3465"/>
      <c r="I1381" s="3074">
        <v>6114</v>
      </c>
      <c r="J1381" s="3464" t="s">
        <v>3840</v>
      </c>
      <c r="K1381" s="3465"/>
    </row>
    <row r="1382" spans="1:11">
      <c r="A1382" s="3070"/>
    </row>
    <row r="1384" spans="1:11" ht="14.25" thickBot="1">
      <c r="A1384" s="3078"/>
    </row>
    <row r="1385" spans="1:11">
      <c r="A1385" s="3458" t="s">
        <v>3223</v>
      </c>
      <c r="B1385" s="3458" t="s">
        <v>3224</v>
      </c>
      <c r="C1385" s="3071" t="s">
        <v>3225</v>
      </c>
      <c r="D1385" s="3458" t="s">
        <v>3227</v>
      </c>
      <c r="E1385" s="3458" t="s">
        <v>1341</v>
      </c>
      <c r="F1385" s="3458" t="s">
        <v>3228</v>
      </c>
      <c r="G1385" s="3460" t="s">
        <v>3229</v>
      </c>
      <c r="H1385" s="3461"/>
      <c r="I1385" s="3458" t="s">
        <v>3231</v>
      </c>
      <c r="J1385" s="3460" t="s">
        <v>3232</v>
      </c>
      <c r="K1385" s="3461"/>
    </row>
    <row r="1386" spans="1:11" ht="14.25" thickBot="1">
      <c r="A1386" s="3459"/>
      <c r="B1386" s="3459"/>
      <c r="C1386" s="3072" t="s">
        <v>3226</v>
      </c>
      <c r="D1386" s="3459"/>
      <c r="E1386" s="3459"/>
      <c r="F1386" s="3459"/>
      <c r="G1386" s="3462" t="s">
        <v>3230</v>
      </c>
      <c r="H1386" s="3463"/>
      <c r="I1386" s="3459"/>
      <c r="J1386" s="3462"/>
      <c r="K1386" s="3463"/>
    </row>
    <row r="1387" spans="1:11" ht="26.25" thickBot="1">
      <c r="A1387" s="3073">
        <v>185</v>
      </c>
      <c r="B1387" s="3074">
        <v>15</v>
      </c>
      <c r="C1387" s="3079">
        <v>44558</v>
      </c>
      <c r="D1387" s="3074" t="s">
        <v>3450</v>
      </c>
      <c r="E1387" s="3072" t="s">
        <v>3109</v>
      </c>
      <c r="F1387" s="3072" t="s">
        <v>3235</v>
      </c>
      <c r="G1387" s="3464" t="s">
        <v>3841</v>
      </c>
      <c r="H1387" s="3465"/>
      <c r="I1387" s="3074">
        <v>6114</v>
      </c>
      <c r="J1387" s="3464" t="s">
        <v>3842</v>
      </c>
      <c r="K1387" s="3465"/>
    </row>
    <row r="1388" spans="1:11" ht="26.25" thickBot="1">
      <c r="A1388" s="3073">
        <v>186</v>
      </c>
      <c r="B1388" s="3074">
        <v>15</v>
      </c>
      <c r="C1388" s="3079">
        <v>44558</v>
      </c>
      <c r="D1388" s="3074" t="s">
        <v>3451</v>
      </c>
      <c r="E1388" s="3072" t="s">
        <v>3109</v>
      </c>
      <c r="F1388" s="3072" t="s">
        <v>3235</v>
      </c>
      <c r="G1388" s="3075">
        <v>11</v>
      </c>
      <c r="H1388" s="3074" t="s">
        <v>3843</v>
      </c>
      <c r="I1388" s="3074">
        <v>6114</v>
      </c>
      <c r="J1388" s="3081">
        <v>7</v>
      </c>
      <c r="K1388" s="3074" t="s">
        <v>3844</v>
      </c>
    </row>
    <row r="1389" spans="1:11" ht="26.25" thickBot="1">
      <c r="A1389" s="3073">
        <v>187</v>
      </c>
      <c r="B1389" s="3074">
        <v>15</v>
      </c>
      <c r="C1389" s="3079">
        <v>44558</v>
      </c>
      <c r="D1389" s="3074" t="s">
        <v>3452</v>
      </c>
      <c r="E1389" s="3072" t="s">
        <v>3109</v>
      </c>
      <c r="F1389" s="3072" t="s">
        <v>3235</v>
      </c>
      <c r="G1389" s="3464" t="s">
        <v>3839</v>
      </c>
      <c r="H1389" s="3465"/>
      <c r="I1389" s="3074">
        <v>6114</v>
      </c>
      <c r="J1389" s="3464" t="s">
        <v>3840</v>
      </c>
      <c r="K1389" s="3465"/>
    </row>
    <row r="1390" spans="1:11" ht="26.25" thickBot="1">
      <c r="A1390" s="3073">
        <v>188</v>
      </c>
      <c r="B1390" s="3074">
        <v>15</v>
      </c>
      <c r="C1390" s="3079">
        <v>44558</v>
      </c>
      <c r="D1390" s="3074" t="s">
        <v>3453</v>
      </c>
      <c r="E1390" s="3072" t="s">
        <v>3109</v>
      </c>
      <c r="F1390" s="3072" t="s">
        <v>3235</v>
      </c>
      <c r="G1390" s="3464" t="s">
        <v>3847</v>
      </c>
      <c r="H1390" s="3465"/>
      <c r="I1390" s="3074">
        <v>6114</v>
      </c>
      <c r="J1390" s="3464" t="s">
        <v>3848</v>
      </c>
      <c r="K1390" s="3465"/>
    </row>
    <row r="1391" spans="1:11" ht="23.25" thickBot="1">
      <c r="A1391" s="3073">
        <v>189</v>
      </c>
      <c r="B1391" s="3074">
        <v>15</v>
      </c>
      <c r="C1391" s="3074" t="s">
        <v>3454</v>
      </c>
      <c r="D1391" s="3082" t="s">
        <v>3862</v>
      </c>
      <c r="E1391" s="3083" t="s">
        <v>3109</v>
      </c>
      <c r="F1391" s="3083" t="s">
        <v>3235</v>
      </c>
      <c r="G1391" s="3464" t="s">
        <v>3850</v>
      </c>
      <c r="H1391" s="3465"/>
      <c r="I1391" s="3074">
        <v>6114</v>
      </c>
      <c r="J1391" s="3464" t="s">
        <v>3851</v>
      </c>
      <c r="K1391" s="3465"/>
    </row>
    <row r="1392" spans="1:11" ht="26.25" thickBot="1">
      <c r="A1392" s="3073">
        <v>190</v>
      </c>
      <c r="B1392" s="3074">
        <v>15</v>
      </c>
      <c r="C1392" s="3074" t="s">
        <v>3454</v>
      </c>
      <c r="D1392" s="3074" t="s">
        <v>3456</v>
      </c>
      <c r="E1392" s="3072" t="s">
        <v>3109</v>
      </c>
      <c r="F1392" s="3072" t="s">
        <v>3235</v>
      </c>
      <c r="G1392" s="3464" t="s">
        <v>3839</v>
      </c>
      <c r="H1392" s="3465"/>
      <c r="I1392" s="3074">
        <v>6114</v>
      </c>
      <c r="J1392" s="3464" t="s">
        <v>3840</v>
      </c>
      <c r="K1392" s="3465"/>
    </row>
    <row r="1393" spans="1:11" ht="26.25" thickBot="1">
      <c r="A1393" s="3073">
        <v>191</v>
      </c>
      <c r="B1393" s="3074">
        <v>15</v>
      </c>
      <c r="C1393" s="3074" t="s">
        <v>3454</v>
      </c>
      <c r="D1393" s="3074" t="s">
        <v>3637</v>
      </c>
      <c r="E1393" s="3072" t="s">
        <v>3109</v>
      </c>
      <c r="F1393" s="3072" t="s">
        <v>3235</v>
      </c>
      <c r="G1393" s="3464" t="s">
        <v>3841</v>
      </c>
      <c r="H1393" s="3465"/>
      <c r="I1393" s="3074">
        <v>6114</v>
      </c>
      <c r="J1393" s="3464" t="s">
        <v>3842</v>
      </c>
      <c r="K1393" s="3465"/>
    </row>
    <row r="1394" spans="1:11" ht="26.25" thickBot="1">
      <c r="A1394" s="3073">
        <v>192</v>
      </c>
      <c r="B1394" s="3074">
        <v>15</v>
      </c>
      <c r="C1394" s="3074" t="s">
        <v>3454</v>
      </c>
      <c r="D1394" s="3074" t="s">
        <v>3458</v>
      </c>
      <c r="E1394" s="3072" t="s">
        <v>3109</v>
      </c>
      <c r="F1394" s="3072" t="s">
        <v>3235</v>
      </c>
      <c r="G1394" s="3464" t="s">
        <v>3852</v>
      </c>
      <c r="H1394" s="3465"/>
      <c r="I1394" s="3074">
        <v>6114</v>
      </c>
      <c r="J1394" s="3464" t="s">
        <v>3853</v>
      </c>
      <c r="K1394" s="3465"/>
    </row>
    <row r="1395" spans="1:11" ht="26.25" thickBot="1">
      <c r="A1395" s="3073">
        <v>193</v>
      </c>
      <c r="B1395" s="3074">
        <v>15</v>
      </c>
      <c r="C1395" s="3074" t="s">
        <v>3454</v>
      </c>
      <c r="D1395" s="3074" t="s">
        <v>3459</v>
      </c>
      <c r="E1395" s="3072" t="s">
        <v>3109</v>
      </c>
      <c r="F1395" s="3072" t="s">
        <v>3235</v>
      </c>
      <c r="G1395" s="3464" t="s">
        <v>3839</v>
      </c>
      <c r="H1395" s="3465"/>
      <c r="I1395" s="3074">
        <v>6114</v>
      </c>
      <c r="J1395" s="3464" t="s">
        <v>3840</v>
      </c>
      <c r="K1395" s="3465"/>
    </row>
    <row r="1396" spans="1:11" ht="26.25" thickBot="1">
      <c r="A1396" s="3073">
        <v>194</v>
      </c>
      <c r="B1396" s="3074">
        <v>15</v>
      </c>
      <c r="C1396" s="3074" t="s">
        <v>3454</v>
      </c>
      <c r="D1396" s="3074" t="s">
        <v>3460</v>
      </c>
      <c r="E1396" s="3072" t="s">
        <v>3109</v>
      </c>
      <c r="F1396" s="3072" t="s">
        <v>3235</v>
      </c>
      <c r="G1396" s="3464" t="s">
        <v>3847</v>
      </c>
      <c r="H1396" s="3465"/>
      <c r="I1396" s="3074">
        <v>6114</v>
      </c>
      <c r="J1396" s="3464" t="s">
        <v>3848</v>
      </c>
      <c r="K1396" s="3465"/>
    </row>
    <row r="1397" spans="1:11" ht="26.25" thickBot="1">
      <c r="A1397" s="3073">
        <v>195</v>
      </c>
      <c r="B1397" s="3074">
        <v>15</v>
      </c>
      <c r="C1397" s="3074" t="s">
        <v>3461</v>
      </c>
      <c r="D1397" s="3074" t="s">
        <v>3462</v>
      </c>
      <c r="E1397" s="3072" t="s">
        <v>3109</v>
      </c>
      <c r="F1397" s="3072" t="s">
        <v>3235</v>
      </c>
      <c r="G1397" s="3464" t="s">
        <v>3847</v>
      </c>
      <c r="H1397" s="3465"/>
      <c r="I1397" s="3074">
        <v>6114</v>
      </c>
      <c r="J1397" s="3464" t="s">
        <v>3848</v>
      </c>
      <c r="K1397" s="3465"/>
    </row>
    <row r="1398" spans="1:11" ht="26.25" thickBot="1">
      <c r="A1398" s="3073">
        <v>196</v>
      </c>
      <c r="B1398" s="3074">
        <v>15</v>
      </c>
      <c r="C1398" s="3074" t="s">
        <v>3461</v>
      </c>
      <c r="D1398" s="3074" t="s">
        <v>3463</v>
      </c>
      <c r="E1398" s="3072" t="s">
        <v>3109</v>
      </c>
      <c r="F1398" s="3072" t="s">
        <v>3235</v>
      </c>
      <c r="G1398" s="3075">
        <v>11</v>
      </c>
      <c r="H1398" s="3074" t="s">
        <v>3860</v>
      </c>
      <c r="I1398" s="3074">
        <v>6114</v>
      </c>
      <c r="J1398" s="3081">
        <v>7</v>
      </c>
      <c r="K1398" s="3074" t="s">
        <v>3861</v>
      </c>
    </row>
    <row r="1399" spans="1:11" ht="26.25" thickBot="1">
      <c r="A1399" s="3073">
        <v>197</v>
      </c>
      <c r="B1399" s="3074">
        <v>15</v>
      </c>
      <c r="C1399" s="3074" t="s">
        <v>3461</v>
      </c>
      <c r="D1399" s="3074" t="s">
        <v>3464</v>
      </c>
      <c r="E1399" s="3072" t="s">
        <v>3109</v>
      </c>
      <c r="F1399" s="3072" t="s">
        <v>3235</v>
      </c>
      <c r="G1399" s="3464" t="s">
        <v>3841</v>
      </c>
      <c r="H1399" s="3465"/>
      <c r="I1399" s="3074">
        <v>6114</v>
      </c>
      <c r="J1399" s="3464" t="s">
        <v>3842</v>
      </c>
      <c r="K1399" s="3465"/>
    </row>
    <row r="1400" spans="1:11" ht="26.25" thickBot="1">
      <c r="A1400" s="3073">
        <v>198</v>
      </c>
      <c r="B1400" s="3074">
        <v>15</v>
      </c>
      <c r="C1400" s="3074" t="s">
        <v>3461</v>
      </c>
      <c r="D1400" s="3074" t="s">
        <v>3465</v>
      </c>
      <c r="E1400" s="3072" t="s">
        <v>3109</v>
      </c>
      <c r="F1400" s="3072" t="s">
        <v>3235</v>
      </c>
      <c r="G1400" s="3464" t="s">
        <v>3841</v>
      </c>
      <c r="H1400" s="3465"/>
      <c r="I1400" s="3074">
        <v>6114</v>
      </c>
      <c r="J1400" s="3464" t="s">
        <v>3842</v>
      </c>
      <c r="K1400" s="3465"/>
    </row>
    <row r="1401" spans="1:11" ht="23.25" thickBot="1">
      <c r="A1401" s="3073">
        <v>199</v>
      </c>
      <c r="B1401" s="3074">
        <v>15</v>
      </c>
      <c r="C1401" s="3074" t="s">
        <v>3461</v>
      </c>
      <c r="D1401" s="3082" t="s">
        <v>3699</v>
      </c>
      <c r="E1401" s="3083" t="s">
        <v>3109</v>
      </c>
      <c r="F1401" s="3083" t="s">
        <v>3235</v>
      </c>
      <c r="G1401" s="3464" t="s">
        <v>3858</v>
      </c>
      <c r="H1401" s="3465"/>
      <c r="I1401" s="3074">
        <v>6114</v>
      </c>
      <c r="J1401" s="3464" t="s">
        <v>3859</v>
      </c>
      <c r="K1401" s="3465"/>
    </row>
    <row r="1402" spans="1:11" ht="26.25" thickBot="1">
      <c r="A1402" s="3073">
        <v>200</v>
      </c>
      <c r="B1402" s="3074">
        <v>15</v>
      </c>
      <c r="C1402" s="3074" t="s">
        <v>3461</v>
      </c>
      <c r="D1402" s="3074" t="s">
        <v>3467</v>
      </c>
      <c r="E1402" s="3072" t="s">
        <v>3109</v>
      </c>
      <c r="F1402" s="3072" t="s">
        <v>3235</v>
      </c>
      <c r="G1402" s="3464" t="s">
        <v>3847</v>
      </c>
      <c r="H1402" s="3465"/>
      <c r="I1402" s="3074">
        <v>6114</v>
      </c>
      <c r="J1402" s="3464" t="s">
        <v>3848</v>
      </c>
      <c r="K1402" s="3465"/>
    </row>
    <row r="1403" spans="1:11" ht="26.25" thickBot="1">
      <c r="A1403" s="3073">
        <v>201</v>
      </c>
      <c r="B1403" s="3074">
        <v>15</v>
      </c>
      <c r="C1403" s="3074" t="s">
        <v>3468</v>
      </c>
      <c r="D1403" s="3074" t="s">
        <v>3469</v>
      </c>
      <c r="E1403" s="3072" t="s">
        <v>3109</v>
      </c>
      <c r="F1403" s="3072" t="s">
        <v>3235</v>
      </c>
      <c r="G1403" s="3464" t="s">
        <v>3847</v>
      </c>
      <c r="H1403" s="3465"/>
      <c r="I1403" s="3074">
        <v>6114</v>
      </c>
      <c r="J1403" s="3464" t="s">
        <v>3848</v>
      </c>
      <c r="K1403" s="3465"/>
    </row>
    <row r="1404" spans="1:11" ht="26.25" thickBot="1">
      <c r="A1404" s="3073">
        <v>202</v>
      </c>
      <c r="B1404" s="3074">
        <v>15</v>
      </c>
      <c r="C1404" s="3074" t="s">
        <v>3468</v>
      </c>
      <c r="D1404" s="3074" t="s">
        <v>3470</v>
      </c>
      <c r="E1404" s="3072" t="s">
        <v>3109</v>
      </c>
      <c r="F1404" s="3072" t="s">
        <v>3235</v>
      </c>
      <c r="G1404" s="3464" t="s">
        <v>3858</v>
      </c>
      <c r="H1404" s="3465"/>
      <c r="I1404" s="3074">
        <v>6114</v>
      </c>
      <c r="J1404" s="3464" t="s">
        <v>3859</v>
      </c>
      <c r="K1404" s="3465"/>
    </row>
    <row r="1405" spans="1:11" ht="26.25" thickBot="1">
      <c r="A1405" s="3073">
        <v>203</v>
      </c>
      <c r="B1405" s="3074">
        <v>15</v>
      </c>
      <c r="C1405" s="3074" t="s">
        <v>3468</v>
      </c>
      <c r="D1405" s="3074" t="s">
        <v>3471</v>
      </c>
      <c r="E1405" s="3072" t="s">
        <v>3109</v>
      </c>
      <c r="F1405" s="3072" t="s">
        <v>3235</v>
      </c>
      <c r="G1405" s="3464" t="s">
        <v>3841</v>
      </c>
      <c r="H1405" s="3465"/>
      <c r="I1405" s="3074">
        <v>6114</v>
      </c>
      <c r="J1405" s="3464" t="s">
        <v>3842</v>
      </c>
      <c r="K1405" s="3465"/>
    </row>
    <row r="1406" spans="1:11" ht="26.25" thickBot="1">
      <c r="A1406" s="3073">
        <v>204</v>
      </c>
      <c r="B1406" s="3074">
        <v>15</v>
      </c>
      <c r="C1406" s="3074" t="s">
        <v>3468</v>
      </c>
      <c r="D1406" s="3074" t="s">
        <v>3472</v>
      </c>
      <c r="E1406" s="3072" t="s">
        <v>3109</v>
      </c>
      <c r="F1406" s="3072" t="s">
        <v>3235</v>
      </c>
      <c r="G1406" s="3464" t="s">
        <v>3841</v>
      </c>
      <c r="H1406" s="3465"/>
      <c r="I1406" s="3074">
        <v>6114</v>
      </c>
      <c r="J1406" s="3464" t="s">
        <v>3842</v>
      </c>
      <c r="K1406" s="3465"/>
    </row>
    <row r="1407" spans="1:11" ht="26.25" thickBot="1">
      <c r="A1407" s="3073">
        <v>205</v>
      </c>
      <c r="B1407" s="3074">
        <v>15</v>
      </c>
      <c r="C1407" s="3074" t="s">
        <v>3468</v>
      </c>
      <c r="D1407" s="3074" t="s">
        <v>3473</v>
      </c>
      <c r="E1407" s="3072" t="s">
        <v>3109</v>
      </c>
      <c r="F1407" s="3072" t="s">
        <v>3235</v>
      </c>
      <c r="G1407" s="3464" t="s">
        <v>3839</v>
      </c>
      <c r="H1407" s="3465"/>
      <c r="I1407" s="3074">
        <v>6114</v>
      </c>
      <c r="J1407" s="3464" t="s">
        <v>3840</v>
      </c>
      <c r="K1407" s="3465"/>
    </row>
    <row r="1408" spans="1:11" ht="26.25" thickBot="1">
      <c r="A1408" s="3073">
        <v>206</v>
      </c>
      <c r="B1408" s="3074">
        <v>15</v>
      </c>
      <c r="C1408" s="3074" t="s">
        <v>3468</v>
      </c>
      <c r="D1408" s="3074" t="s">
        <v>3474</v>
      </c>
      <c r="E1408" s="3072" t="s">
        <v>3109</v>
      </c>
      <c r="F1408" s="3072" t="s">
        <v>3235</v>
      </c>
      <c r="G1408" s="3464" t="s">
        <v>3850</v>
      </c>
      <c r="H1408" s="3465"/>
      <c r="I1408" s="3074">
        <v>6114</v>
      </c>
      <c r="J1408" s="3464" t="s">
        <v>3851</v>
      </c>
      <c r="K1408" s="3465"/>
    </row>
    <row r="1409" spans="1:11" ht="26.25" thickBot="1">
      <c r="A1409" s="3073">
        <v>207</v>
      </c>
      <c r="B1409" s="3074">
        <v>15</v>
      </c>
      <c r="C1409" s="3074" t="s">
        <v>3475</v>
      </c>
      <c r="D1409" s="3074" t="s">
        <v>3476</v>
      </c>
      <c r="E1409" s="3072" t="s">
        <v>3109</v>
      </c>
      <c r="F1409" s="3072" t="s">
        <v>3235</v>
      </c>
      <c r="G1409" s="3464" t="s">
        <v>3847</v>
      </c>
      <c r="H1409" s="3465"/>
      <c r="I1409" s="3074">
        <v>6114</v>
      </c>
      <c r="J1409" s="3464" t="s">
        <v>3848</v>
      </c>
      <c r="K1409" s="3465"/>
    </row>
    <row r="1410" spans="1:11" ht="26.25" thickBot="1">
      <c r="A1410" s="3073">
        <v>208</v>
      </c>
      <c r="B1410" s="3074">
        <v>15</v>
      </c>
      <c r="C1410" s="3074" t="s">
        <v>3475</v>
      </c>
      <c r="D1410" s="3074" t="s">
        <v>3477</v>
      </c>
      <c r="E1410" s="3072" t="s">
        <v>3109</v>
      </c>
      <c r="F1410" s="3072" t="s">
        <v>3235</v>
      </c>
      <c r="G1410" s="3464" t="s">
        <v>3839</v>
      </c>
      <c r="H1410" s="3465"/>
      <c r="I1410" s="3074">
        <v>6114</v>
      </c>
      <c r="J1410" s="3464" t="s">
        <v>3840</v>
      </c>
      <c r="K1410" s="3465"/>
    </row>
    <row r="1411" spans="1:11" ht="26.25" thickBot="1">
      <c r="A1411" s="3073">
        <v>209</v>
      </c>
      <c r="B1411" s="3074">
        <v>15</v>
      </c>
      <c r="C1411" s="3074" t="s">
        <v>3475</v>
      </c>
      <c r="D1411" s="3074" t="s">
        <v>3478</v>
      </c>
      <c r="E1411" s="3072" t="s">
        <v>3109</v>
      </c>
      <c r="F1411" s="3072" t="s">
        <v>3235</v>
      </c>
      <c r="G1411" s="3464" t="s">
        <v>3852</v>
      </c>
      <c r="H1411" s="3465"/>
      <c r="I1411" s="3074">
        <v>6114</v>
      </c>
      <c r="J1411" s="3464" t="s">
        <v>3853</v>
      </c>
      <c r="K1411" s="3465"/>
    </row>
    <row r="1412" spans="1:11" ht="26.25" thickBot="1">
      <c r="A1412" s="3073">
        <v>210</v>
      </c>
      <c r="B1412" s="3074">
        <v>15</v>
      </c>
      <c r="C1412" s="3074" t="s">
        <v>3475</v>
      </c>
      <c r="D1412" s="3074" t="s">
        <v>3479</v>
      </c>
      <c r="E1412" s="3072" t="s">
        <v>3109</v>
      </c>
      <c r="F1412" s="3072" t="s">
        <v>3235</v>
      </c>
      <c r="G1412" s="3464" t="s">
        <v>3841</v>
      </c>
      <c r="H1412" s="3465"/>
      <c r="I1412" s="3074">
        <v>6114</v>
      </c>
      <c r="J1412" s="3464" t="s">
        <v>3842</v>
      </c>
      <c r="K1412" s="3465"/>
    </row>
    <row r="1413" spans="1:11" ht="26.25" thickBot="1">
      <c r="A1413" s="3073">
        <v>211</v>
      </c>
      <c r="B1413" s="3074">
        <v>15</v>
      </c>
      <c r="C1413" s="3074" t="s">
        <v>3475</v>
      </c>
      <c r="D1413" s="3074" t="s">
        <v>3480</v>
      </c>
      <c r="E1413" s="3072" t="s">
        <v>3109</v>
      </c>
      <c r="F1413" s="3072" t="s">
        <v>3235</v>
      </c>
      <c r="G1413" s="3464" t="s">
        <v>3839</v>
      </c>
      <c r="H1413" s="3465"/>
      <c r="I1413" s="3074">
        <v>6114</v>
      </c>
      <c r="J1413" s="3464" t="s">
        <v>3840</v>
      </c>
      <c r="K1413" s="3465"/>
    </row>
    <row r="1414" spans="1:11" ht="26.25" thickBot="1">
      <c r="A1414" s="3073">
        <v>212</v>
      </c>
      <c r="B1414" s="3074">
        <v>15</v>
      </c>
      <c r="C1414" s="3074" t="s">
        <v>3475</v>
      </c>
      <c r="D1414" s="3074" t="s">
        <v>3481</v>
      </c>
      <c r="E1414" s="3072" t="s">
        <v>3109</v>
      </c>
      <c r="F1414" s="3072" t="s">
        <v>3235</v>
      </c>
      <c r="G1414" s="3464" t="s">
        <v>3847</v>
      </c>
      <c r="H1414" s="3465"/>
      <c r="I1414" s="3074">
        <v>6114</v>
      </c>
      <c r="J1414" s="3464" t="s">
        <v>3848</v>
      </c>
      <c r="K1414" s="3465"/>
    </row>
    <row r="1415" spans="1:11" ht="26.25" thickBot="1">
      <c r="A1415" s="3073">
        <v>213</v>
      </c>
      <c r="B1415" s="3074">
        <v>15</v>
      </c>
      <c r="C1415" s="3074" t="s">
        <v>3482</v>
      </c>
      <c r="D1415" s="3074" t="s">
        <v>3483</v>
      </c>
      <c r="E1415" s="3072" t="s">
        <v>3109</v>
      </c>
      <c r="F1415" s="3072" t="s">
        <v>3235</v>
      </c>
      <c r="G1415" s="3081">
        <v>13</v>
      </c>
      <c r="H1415" s="3074" t="s">
        <v>3855</v>
      </c>
      <c r="I1415" s="3074">
        <v>6114</v>
      </c>
      <c r="J1415" s="3081">
        <v>8</v>
      </c>
      <c r="K1415" s="3074" t="s">
        <v>3856</v>
      </c>
    </row>
    <row r="1416" spans="1:11" ht="26.25" thickBot="1">
      <c r="A1416" s="3073">
        <v>214</v>
      </c>
      <c r="B1416" s="3074">
        <v>15</v>
      </c>
      <c r="C1416" s="3074" t="s">
        <v>3482</v>
      </c>
      <c r="D1416" s="3074" t="s">
        <v>3484</v>
      </c>
      <c r="E1416" s="3072" t="s">
        <v>3109</v>
      </c>
      <c r="F1416" s="3072" t="s">
        <v>3235</v>
      </c>
      <c r="G1416" s="3464" t="s">
        <v>3839</v>
      </c>
      <c r="H1416" s="3465"/>
      <c r="I1416" s="3074">
        <v>6114</v>
      </c>
      <c r="J1416" s="3464" t="s">
        <v>3840</v>
      </c>
      <c r="K1416" s="3465"/>
    </row>
    <row r="1417" spans="1:11" ht="26.25" thickBot="1">
      <c r="A1417" s="3073">
        <v>215</v>
      </c>
      <c r="B1417" s="3074">
        <v>15</v>
      </c>
      <c r="C1417" s="3074" t="s">
        <v>3482</v>
      </c>
      <c r="D1417" s="3074" t="s">
        <v>3485</v>
      </c>
      <c r="E1417" s="3072" t="s">
        <v>3109</v>
      </c>
      <c r="F1417" s="3072" t="s">
        <v>3235</v>
      </c>
      <c r="G1417" s="3464" t="s">
        <v>3841</v>
      </c>
      <c r="H1417" s="3465"/>
      <c r="I1417" s="3074">
        <v>6114</v>
      </c>
      <c r="J1417" s="3464" t="s">
        <v>3842</v>
      </c>
      <c r="K1417" s="3465"/>
    </row>
    <row r="1418" spans="1:11" ht="26.25" thickBot="1">
      <c r="A1418" s="3073">
        <v>216</v>
      </c>
      <c r="B1418" s="3074">
        <v>15</v>
      </c>
      <c r="C1418" s="3074" t="s">
        <v>3482</v>
      </c>
      <c r="D1418" s="3074" t="s">
        <v>3486</v>
      </c>
      <c r="E1418" s="3072" t="s">
        <v>3109</v>
      </c>
      <c r="F1418" s="3072" t="s">
        <v>3235</v>
      </c>
      <c r="G1418" s="3464" t="s">
        <v>3852</v>
      </c>
      <c r="H1418" s="3465"/>
      <c r="I1418" s="3074">
        <v>6114</v>
      </c>
      <c r="J1418" s="3464" t="s">
        <v>3853</v>
      </c>
      <c r="K1418" s="3465"/>
    </row>
    <row r="1419" spans="1:11" ht="26.25" thickBot="1">
      <c r="A1419" s="3073">
        <v>217</v>
      </c>
      <c r="B1419" s="3074">
        <v>15</v>
      </c>
      <c r="C1419" s="3074" t="s">
        <v>3482</v>
      </c>
      <c r="D1419" s="3074" t="s">
        <v>3487</v>
      </c>
      <c r="E1419" s="3072" t="s">
        <v>3109</v>
      </c>
      <c r="F1419" s="3072" t="s">
        <v>3235</v>
      </c>
      <c r="G1419" s="3464" t="s">
        <v>3839</v>
      </c>
      <c r="H1419" s="3465"/>
      <c r="I1419" s="3074">
        <v>6114</v>
      </c>
      <c r="J1419" s="3464" t="s">
        <v>3840</v>
      </c>
      <c r="K1419" s="3465"/>
    </row>
    <row r="1420" spans="1:11" ht="26.25" thickBot="1">
      <c r="A1420" s="3073">
        <v>218</v>
      </c>
      <c r="B1420" s="3074">
        <v>15</v>
      </c>
      <c r="C1420" s="3074" t="s">
        <v>3482</v>
      </c>
      <c r="D1420" s="3074" t="s">
        <v>3488</v>
      </c>
      <c r="E1420" s="3072" t="s">
        <v>3109</v>
      </c>
      <c r="F1420" s="3072" t="s">
        <v>3235</v>
      </c>
      <c r="G1420" s="3464" t="s">
        <v>3847</v>
      </c>
      <c r="H1420" s="3465"/>
      <c r="I1420" s="3074">
        <v>6114</v>
      </c>
      <c r="J1420" s="3464" t="s">
        <v>3848</v>
      </c>
      <c r="K1420" s="3465"/>
    </row>
    <row r="1421" spans="1:11" ht="26.25" thickBot="1">
      <c r="A1421" s="3073">
        <v>219</v>
      </c>
      <c r="B1421" s="3074">
        <v>15</v>
      </c>
      <c r="C1421" s="3074" t="s">
        <v>3489</v>
      </c>
      <c r="D1421" s="3074" t="s">
        <v>3490</v>
      </c>
      <c r="E1421" s="3072" t="s">
        <v>3109</v>
      </c>
      <c r="F1421" s="3072" t="s">
        <v>3235</v>
      </c>
      <c r="G1421" s="3464" t="s">
        <v>3850</v>
      </c>
      <c r="H1421" s="3465"/>
      <c r="I1421" s="3074">
        <v>6114</v>
      </c>
      <c r="J1421" s="3464" t="s">
        <v>3851</v>
      </c>
      <c r="K1421" s="3465"/>
    </row>
    <row r="1422" spans="1:11" ht="26.25" thickBot="1">
      <c r="A1422" s="3073">
        <v>220</v>
      </c>
      <c r="B1422" s="3074">
        <v>15</v>
      </c>
      <c r="C1422" s="3074" t="s">
        <v>3489</v>
      </c>
      <c r="D1422" s="3074" t="s">
        <v>3491</v>
      </c>
      <c r="E1422" s="3072" t="s">
        <v>3109</v>
      </c>
      <c r="F1422" s="3072" t="s">
        <v>3235</v>
      </c>
      <c r="G1422" s="3464" t="s">
        <v>3839</v>
      </c>
      <c r="H1422" s="3465"/>
      <c r="I1422" s="3074">
        <v>6114</v>
      </c>
      <c r="J1422" s="3464" t="s">
        <v>3840</v>
      </c>
      <c r="K1422" s="3465"/>
    </row>
    <row r="1423" spans="1:11" ht="26.25" thickBot="1">
      <c r="A1423" s="3073">
        <v>221</v>
      </c>
      <c r="B1423" s="3074">
        <v>15</v>
      </c>
      <c r="C1423" s="3074" t="s">
        <v>3489</v>
      </c>
      <c r="D1423" s="3074" t="s">
        <v>3492</v>
      </c>
      <c r="E1423" s="3072" t="s">
        <v>3109</v>
      </c>
      <c r="F1423" s="3072" t="s">
        <v>3235</v>
      </c>
      <c r="G1423" s="3464" t="s">
        <v>3841</v>
      </c>
      <c r="H1423" s="3465"/>
      <c r="I1423" s="3074">
        <v>6114</v>
      </c>
      <c r="J1423" s="3464" t="s">
        <v>3842</v>
      </c>
      <c r="K1423" s="3465"/>
    </row>
    <row r="1424" spans="1:11" ht="26.25" thickBot="1">
      <c r="A1424" s="3073">
        <v>222</v>
      </c>
      <c r="B1424" s="3074">
        <v>15</v>
      </c>
      <c r="C1424" s="3074" t="s">
        <v>3489</v>
      </c>
      <c r="D1424" s="3074" t="s">
        <v>3493</v>
      </c>
      <c r="E1424" s="3072" t="s">
        <v>3109</v>
      </c>
      <c r="F1424" s="3072" t="s">
        <v>3235</v>
      </c>
      <c r="G1424" s="3464" t="s">
        <v>3841</v>
      </c>
      <c r="H1424" s="3465"/>
      <c r="I1424" s="3074">
        <v>6114</v>
      </c>
      <c r="J1424" s="3464" t="s">
        <v>3842</v>
      </c>
      <c r="K1424" s="3465"/>
    </row>
    <row r="1425" spans="1:11" ht="26.25" thickBot="1">
      <c r="A1425" s="3073">
        <v>223</v>
      </c>
      <c r="B1425" s="3074">
        <v>15</v>
      </c>
      <c r="C1425" s="3074" t="s">
        <v>3489</v>
      </c>
      <c r="D1425" s="3074" t="s">
        <v>3494</v>
      </c>
      <c r="E1425" s="3072" t="s">
        <v>3109</v>
      </c>
      <c r="F1425" s="3072" t="s">
        <v>3235</v>
      </c>
      <c r="G1425" s="3075">
        <v>11</v>
      </c>
      <c r="H1425" s="3074" t="s">
        <v>3860</v>
      </c>
      <c r="I1425" s="3074">
        <v>6114</v>
      </c>
      <c r="J1425" s="3081">
        <v>7</v>
      </c>
      <c r="K1425" s="3074" t="s">
        <v>3861</v>
      </c>
    </row>
    <row r="1426" spans="1:11" ht="26.25" thickBot="1">
      <c r="A1426" s="3073">
        <v>224</v>
      </c>
      <c r="B1426" s="3074">
        <v>15</v>
      </c>
      <c r="C1426" s="3074" t="s">
        <v>3489</v>
      </c>
      <c r="D1426" s="3074" t="s">
        <v>3495</v>
      </c>
      <c r="E1426" s="3072" t="s">
        <v>3109</v>
      </c>
      <c r="F1426" s="3072" t="s">
        <v>3235</v>
      </c>
      <c r="G1426" s="3464" t="s">
        <v>3847</v>
      </c>
      <c r="H1426" s="3465"/>
      <c r="I1426" s="3074">
        <v>6114</v>
      </c>
      <c r="J1426" s="3464" t="s">
        <v>3848</v>
      </c>
      <c r="K1426" s="3465"/>
    </row>
    <row r="1427" spans="1:11" ht="26.25" thickBot="1">
      <c r="A1427" s="3073">
        <v>225</v>
      </c>
      <c r="B1427" s="3074">
        <v>15</v>
      </c>
      <c r="C1427" s="3074" t="s">
        <v>3496</v>
      </c>
      <c r="D1427" s="3074" t="s">
        <v>3497</v>
      </c>
      <c r="E1427" s="3072" t="s">
        <v>3109</v>
      </c>
      <c r="F1427" s="3072" t="s">
        <v>3235</v>
      </c>
      <c r="G1427" s="3464" t="s">
        <v>3847</v>
      </c>
      <c r="H1427" s="3465"/>
      <c r="I1427" s="3074">
        <v>6114</v>
      </c>
      <c r="J1427" s="3464" t="s">
        <v>3848</v>
      </c>
      <c r="K1427" s="3465"/>
    </row>
    <row r="1428" spans="1:11" ht="26.25" thickBot="1">
      <c r="A1428" s="3073">
        <v>226</v>
      </c>
      <c r="B1428" s="3074">
        <v>15</v>
      </c>
      <c r="C1428" s="3074" t="s">
        <v>3496</v>
      </c>
      <c r="D1428" s="3074" t="s">
        <v>3498</v>
      </c>
      <c r="E1428" s="3072" t="s">
        <v>3109</v>
      </c>
      <c r="F1428" s="3072" t="s">
        <v>3235</v>
      </c>
      <c r="G1428" s="3464" t="s">
        <v>3858</v>
      </c>
      <c r="H1428" s="3465"/>
      <c r="I1428" s="3074">
        <v>6114</v>
      </c>
      <c r="J1428" s="3464" t="s">
        <v>3859</v>
      </c>
      <c r="K1428" s="3465"/>
    </row>
    <row r="1429" spans="1:11" ht="26.25" thickBot="1">
      <c r="A1429" s="3073">
        <v>227</v>
      </c>
      <c r="B1429" s="3074">
        <v>15</v>
      </c>
      <c r="C1429" s="3074" t="s">
        <v>3496</v>
      </c>
      <c r="D1429" s="3074" t="s">
        <v>3499</v>
      </c>
      <c r="E1429" s="3072" t="s">
        <v>3109</v>
      </c>
      <c r="F1429" s="3072" t="s">
        <v>3235</v>
      </c>
      <c r="G1429" s="3464" t="s">
        <v>3841</v>
      </c>
      <c r="H1429" s="3465"/>
      <c r="I1429" s="3074">
        <v>6114</v>
      </c>
      <c r="J1429" s="3464" t="s">
        <v>3842</v>
      </c>
      <c r="K1429" s="3465"/>
    </row>
    <row r="1430" spans="1:11" ht="26.25" thickBot="1">
      <c r="A1430" s="3073">
        <v>228</v>
      </c>
      <c r="B1430" s="3074">
        <v>15</v>
      </c>
      <c r="C1430" s="3074" t="s">
        <v>3496</v>
      </c>
      <c r="D1430" s="3074" t="s">
        <v>3500</v>
      </c>
      <c r="E1430" s="3072" t="s">
        <v>3109</v>
      </c>
      <c r="F1430" s="3072" t="s">
        <v>3235</v>
      </c>
      <c r="G1430" s="3464" t="s">
        <v>3841</v>
      </c>
      <c r="H1430" s="3465"/>
      <c r="I1430" s="3074">
        <v>6114</v>
      </c>
      <c r="J1430" s="3464" t="s">
        <v>3842</v>
      </c>
      <c r="K1430" s="3465"/>
    </row>
    <row r="1431" spans="1:11" ht="26.25" thickBot="1">
      <c r="A1431" s="3073">
        <v>229</v>
      </c>
      <c r="B1431" s="3074">
        <v>15</v>
      </c>
      <c r="C1431" s="3074" t="s">
        <v>3496</v>
      </c>
      <c r="D1431" s="3074" t="s">
        <v>3501</v>
      </c>
      <c r="E1431" s="3072" t="s">
        <v>3109</v>
      </c>
      <c r="F1431" s="3072" t="s">
        <v>3235</v>
      </c>
      <c r="G1431" s="3464" t="s">
        <v>3839</v>
      </c>
      <c r="H1431" s="3465"/>
      <c r="I1431" s="3074">
        <v>6114</v>
      </c>
      <c r="J1431" s="3464" t="s">
        <v>3840</v>
      </c>
      <c r="K1431" s="3465"/>
    </row>
    <row r="1432" spans="1:11" ht="26.25" thickBot="1">
      <c r="A1432" s="3073">
        <v>230</v>
      </c>
      <c r="B1432" s="3074">
        <v>15</v>
      </c>
      <c r="C1432" s="3074" t="s">
        <v>3496</v>
      </c>
      <c r="D1432" s="3074" t="s">
        <v>3502</v>
      </c>
      <c r="E1432" s="3072" t="s">
        <v>3109</v>
      </c>
      <c r="F1432" s="3072" t="s">
        <v>3235</v>
      </c>
      <c r="G1432" s="3081">
        <v>13</v>
      </c>
      <c r="H1432" s="3074" t="s">
        <v>3855</v>
      </c>
      <c r="I1432" s="3074">
        <v>6114</v>
      </c>
      <c r="J1432" s="3081">
        <v>8</v>
      </c>
      <c r="K1432" s="3074" t="s">
        <v>3856</v>
      </c>
    </row>
    <row r="1433" spans="1:11" ht="26.25" thickBot="1">
      <c r="A1433" s="3073">
        <v>231</v>
      </c>
      <c r="B1433" s="3074">
        <v>15</v>
      </c>
      <c r="C1433" s="3074" t="s">
        <v>3503</v>
      </c>
      <c r="D1433" s="3074" t="s">
        <v>3504</v>
      </c>
      <c r="E1433" s="3072" t="s">
        <v>3109</v>
      </c>
      <c r="F1433" s="3072" t="s">
        <v>3235</v>
      </c>
      <c r="G1433" s="3464" t="s">
        <v>3847</v>
      </c>
      <c r="H1433" s="3465"/>
      <c r="I1433" s="3074">
        <v>6114</v>
      </c>
      <c r="J1433" s="3464" t="s">
        <v>3848</v>
      </c>
      <c r="K1433" s="3465"/>
    </row>
    <row r="1434" spans="1:11" ht="26.25" thickBot="1">
      <c r="A1434" s="3073">
        <v>232</v>
      </c>
      <c r="B1434" s="3074">
        <v>15</v>
      </c>
      <c r="C1434" s="3074" t="s">
        <v>3503</v>
      </c>
      <c r="D1434" s="3074" t="s">
        <v>3505</v>
      </c>
      <c r="E1434" s="3072" t="s">
        <v>3109</v>
      </c>
      <c r="F1434" s="3072" t="s">
        <v>3235</v>
      </c>
      <c r="G1434" s="3464" t="s">
        <v>3839</v>
      </c>
      <c r="H1434" s="3465"/>
      <c r="I1434" s="3074">
        <v>6114</v>
      </c>
      <c r="J1434" s="3464" t="s">
        <v>3840</v>
      </c>
      <c r="K1434" s="3465"/>
    </row>
    <row r="1435" spans="1:11" ht="26.25" thickBot="1">
      <c r="A1435" s="3073">
        <v>233</v>
      </c>
      <c r="B1435" s="3074">
        <v>15</v>
      </c>
      <c r="C1435" s="3074" t="s">
        <v>3503</v>
      </c>
      <c r="D1435" s="3074" t="s">
        <v>3506</v>
      </c>
      <c r="E1435" s="3072" t="s">
        <v>3109</v>
      </c>
      <c r="F1435" s="3072" t="s">
        <v>3235</v>
      </c>
      <c r="G1435" s="3464" t="s">
        <v>3852</v>
      </c>
      <c r="H1435" s="3465"/>
      <c r="I1435" s="3074">
        <v>6114</v>
      </c>
      <c r="J1435" s="3464" t="s">
        <v>3853</v>
      </c>
      <c r="K1435" s="3465"/>
    </row>
    <row r="1436" spans="1:11" ht="26.25" thickBot="1">
      <c r="A1436" s="3073">
        <v>234</v>
      </c>
      <c r="B1436" s="3074">
        <v>15</v>
      </c>
      <c r="C1436" s="3074" t="s">
        <v>3503</v>
      </c>
      <c r="D1436" s="3074" t="s">
        <v>3507</v>
      </c>
      <c r="E1436" s="3072" t="s">
        <v>3109</v>
      </c>
      <c r="F1436" s="3072" t="s">
        <v>3235</v>
      </c>
      <c r="G1436" s="3464" t="s">
        <v>3841</v>
      </c>
      <c r="H1436" s="3465"/>
      <c r="I1436" s="3074">
        <v>6114</v>
      </c>
      <c r="J1436" s="3464" t="s">
        <v>3842</v>
      </c>
      <c r="K1436" s="3465"/>
    </row>
    <row r="1437" spans="1:11" ht="26.25" thickBot="1">
      <c r="A1437" s="3073">
        <v>235</v>
      </c>
      <c r="B1437" s="3074">
        <v>15</v>
      </c>
      <c r="C1437" s="3074" t="s">
        <v>3503</v>
      </c>
      <c r="D1437" s="3074" t="s">
        <v>3703</v>
      </c>
      <c r="E1437" s="3072" t="s">
        <v>3109</v>
      </c>
      <c r="F1437" s="3072" t="s">
        <v>3235</v>
      </c>
      <c r="G1437" s="3464" t="s">
        <v>3839</v>
      </c>
      <c r="H1437" s="3465"/>
      <c r="I1437" s="3074">
        <v>6114</v>
      </c>
      <c r="J1437" s="3464" t="s">
        <v>3840</v>
      </c>
      <c r="K1437" s="3465"/>
    </row>
    <row r="1438" spans="1:11" ht="26.25" thickBot="1">
      <c r="A1438" s="3073">
        <v>236</v>
      </c>
      <c r="B1438" s="3074">
        <v>15</v>
      </c>
      <c r="C1438" s="3074" t="s">
        <v>3503</v>
      </c>
      <c r="D1438" s="3074" t="s">
        <v>3639</v>
      </c>
      <c r="E1438" s="3072" t="s">
        <v>3109</v>
      </c>
      <c r="F1438" s="3072" t="s">
        <v>3235</v>
      </c>
      <c r="G1438" s="3464" t="s">
        <v>3850</v>
      </c>
      <c r="H1438" s="3465"/>
      <c r="I1438" s="3074">
        <v>6114</v>
      </c>
      <c r="J1438" s="3464" t="s">
        <v>3851</v>
      </c>
      <c r="K1438" s="3465"/>
    </row>
    <row r="1439" spans="1:11" ht="26.25" thickBot="1">
      <c r="A1439" s="3073">
        <v>237</v>
      </c>
      <c r="B1439" s="3074">
        <v>15</v>
      </c>
      <c r="C1439" s="3074" t="s">
        <v>3510</v>
      </c>
      <c r="D1439" s="3074" t="s">
        <v>3511</v>
      </c>
      <c r="E1439" s="3072" t="s">
        <v>3109</v>
      </c>
      <c r="F1439" s="3072" t="s">
        <v>3235</v>
      </c>
      <c r="G1439" s="3464" t="s">
        <v>3847</v>
      </c>
      <c r="H1439" s="3465"/>
      <c r="I1439" s="3074">
        <v>6114</v>
      </c>
      <c r="J1439" s="3464" t="s">
        <v>3848</v>
      </c>
      <c r="K1439" s="3465"/>
    </row>
    <row r="1440" spans="1:11" ht="26.25" thickBot="1">
      <c r="A1440" s="3073">
        <v>238</v>
      </c>
      <c r="B1440" s="3074">
        <v>15</v>
      </c>
      <c r="C1440" s="3074" t="s">
        <v>3510</v>
      </c>
      <c r="D1440" s="3074" t="s">
        <v>3512</v>
      </c>
      <c r="E1440" s="3072" t="s">
        <v>3109</v>
      </c>
      <c r="F1440" s="3072" t="s">
        <v>3235</v>
      </c>
      <c r="G1440" s="3464" t="s">
        <v>3839</v>
      </c>
      <c r="H1440" s="3465"/>
      <c r="I1440" s="3074">
        <v>6114</v>
      </c>
      <c r="J1440" s="3464" t="s">
        <v>3840</v>
      </c>
      <c r="K1440" s="3465"/>
    </row>
    <row r="1441" spans="1:13" ht="26.25" thickBot="1">
      <c r="A1441" s="3073">
        <v>239</v>
      </c>
      <c r="B1441" s="3074">
        <v>15</v>
      </c>
      <c r="C1441" s="3074" t="s">
        <v>3510</v>
      </c>
      <c r="D1441" s="3074" t="s">
        <v>3513</v>
      </c>
      <c r="E1441" s="3072" t="s">
        <v>3109</v>
      </c>
      <c r="F1441" s="3072" t="s">
        <v>3235</v>
      </c>
      <c r="G1441" s="3464" t="s">
        <v>3841</v>
      </c>
      <c r="H1441" s="3465"/>
      <c r="I1441" s="3074">
        <v>6114</v>
      </c>
      <c r="J1441" s="3464" t="s">
        <v>3842</v>
      </c>
      <c r="K1441" s="3465"/>
    </row>
    <row r="1442" spans="1:13">
      <c r="A1442" s="3070"/>
    </row>
    <row r="1444" spans="1:13" ht="14.25" thickBot="1">
      <c r="A1444" s="3078"/>
    </row>
    <row r="1445" spans="1:13">
      <c r="A1445" s="3458" t="s">
        <v>3223</v>
      </c>
      <c r="B1445" s="3458" t="s">
        <v>3224</v>
      </c>
      <c r="C1445" s="3071" t="s">
        <v>3225</v>
      </c>
      <c r="D1445" s="3458" t="s">
        <v>3227</v>
      </c>
      <c r="E1445" s="3458" t="s">
        <v>1341</v>
      </c>
      <c r="F1445" s="3458" t="s">
        <v>3228</v>
      </c>
      <c r="G1445" s="3460" t="s">
        <v>3229</v>
      </c>
      <c r="H1445" s="3467"/>
      <c r="I1445" s="3461"/>
      <c r="J1445" s="3458" t="s">
        <v>3231</v>
      </c>
      <c r="K1445" s="3460" t="s">
        <v>3232</v>
      </c>
      <c r="L1445" s="3467"/>
      <c r="M1445" s="3461"/>
    </row>
    <row r="1446" spans="1:13" ht="14.25" thickBot="1">
      <c r="A1446" s="3459"/>
      <c r="B1446" s="3459"/>
      <c r="C1446" s="3072" t="s">
        <v>3226</v>
      </c>
      <c r="D1446" s="3459"/>
      <c r="E1446" s="3459"/>
      <c r="F1446" s="3459"/>
      <c r="G1446" s="3462" t="s">
        <v>3230</v>
      </c>
      <c r="H1446" s="3468"/>
      <c r="I1446" s="3463"/>
      <c r="J1446" s="3459"/>
      <c r="K1446" s="3462"/>
      <c r="L1446" s="3468"/>
      <c r="M1446" s="3463"/>
    </row>
    <row r="1447" spans="1:13" ht="26.25" thickBot="1">
      <c r="A1447" s="3073">
        <v>240</v>
      </c>
      <c r="B1447" s="3074">
        <v>15</v>
      </c>
      <c r="C1447" s="3074" t="s">
        <v>3510</v>
      </c>
      <c r="D1447" s="3074" t="s">
        <v>3514</v>
      </c>
      <c r="E1447" s="3072" t="s">
        <v>3109</v>
      </c>
      <c r="F1447" s="3072" t="s">
        <v>3235</v>
      </c>
      <c r="G1447" s="3464" t="s">
        <v>3852</v>
      </c>
      <c r="H1447" s="3466"/>
      <c r="I1447" s="3465"/>
      <c r="J1447" s="3074">
        <v>6114</v>
      </c>
      <c r="K1447" s="3464" t="s">
        <v>3842</v>
      </c>
      <c r="L1447" s="3466"/>
      <c r="M1447" s="3465"/>
    </row>
    <row r="1448" spans="1:13" ht="26.25" thickBot="1">
      <c r="A1448" s="3073">
        <v>241</v>
      </c>
      <c r="B1448" s="3074">
        <v>15</v>
      </c>
      <c r="C1448" s="3074" t="s">
        <v>3510</v>
      </c>
      <c r="D1448" s="3074" t="s">
        <v>3515</v>
      </c>
      <c r="E1448" s="3072" t="s">
        <v>3109</v>
      </c>
      <c r="F1448" s="3072" t="s">
        <v>3235</v>
      </c>
      <c r="G1448" s="3075">
        <v>11</v>
      </c>
      <c r="H1448" s="3466" t="s">
        <v>3863</v>
      </c>
      <c r="I1448" s="3465"/>
      <c r="J1448" s="3074">
        <v>6114</v>
      </c>
      <c r="K1448" s="3081">
        <v>7</v>
      </c>
      <c r="L1448" s="3466" t="s">
        <v>3861</v>
      </c>
      <c r="M1448" s="3465"/>
    </row>
    <row r="1449" spans="1:13" ht="26.25" thickBot="1">
      <c r="A1449" s="3073">
        <v>242</v>
      </c>
      <c r="B1449" s="3074">
        <v>15</v>
      </c>
      <c r="C1449" s="3074" t="s">
        <v>3510</v>
      </c>
      <c r="D1449" s="3074" t="s">
        <v>3516</v>
      </c>
      <c r="E1449" s="3072" t="s">
        <v>3109</v>
      </c>
      <c r="F1449" s="3072" t="s">
        <v>3235</v>
      </c>
      <c r="G1449" s="3464" t="s">
        <v>3850</v>
      </c>
      <c r="H1449" s="3466"/>
      <c r="I1449" s="3465"/>
      <c r="J1449" s="3074">
        <v>6114</v>
      </c>
      <c r="K1449" s="3464" t="s">
        <v>3848</v>
      </c>
      <c r="L1449" s="3466"/>
      <c r="M1449" s="3465"/>
    </row>
    <row r="1450" spans="1:13" ht="23.25" thickBot="1">
      <c r="A1450" s="3073">
        <v>243</v>
      </c>
      <c r="B1450" s="3074">
        <v>15</v>
      </c>
      <c r="C1450" s="3074" t="s">
        <v>3517</v>
      </c>
      <c r="D1450" s="3082" t="s">
        <v>3864</v>
      </c>
      <c r="E1450" s="3083" t="s">
        <v>3109</v>
      </c>
      <c r="F1450" s="3083" t="s">
        <v>3235</v>
      </c>
      <c r="G1450" s="3464" t="s">
        <v>3850</v>
      </c>
      <c r="H1450" s="3466"/>
      <c r="I1450" s="3465"/>
      <c r="J1450" s="3074">
        <v>6114</v>
      </c>
      <c r="K1450" s="3464" t="s">
        <v>3848</v>
      </c>
      <c r="L1450" s="3466"/>
      <c r="M1450" s="3465"/>
    </row>
    <row r="1451" spans="1:13" ht="23.25" thickBot="1">
      <c r="A1451" s="3073">
        <v>244</v>
      </c>
      <c r="B1451" s="3074">
        <v>15</v>
      </c>
      <c r="C1451" s="3074" t="s">
        <v>3517</v>
      </c>
      <c r="D1451" s="3082" t="s">
        <v>3704</v>
      </c>
      <c r="E1451" s="3083" t="s">
        <v>3109</v>
      </c>
      <c r="F1451" s="3083" t="s">
        <v>3235</v>
      </c>
      <c r="G1451" s="3464" t="s">
        <v>3858</v>
      </c>
      <c r="H1451" s="3466"/>
      <c r="I1451" s="3465"/>
      <c r="J1451" s="3074">
        <v>6114</v>
      </c>
      <c r="K1451" s="3464" t="s">
        <v>3859</v>
      </c>
      <c r="L1451" s="3466"/>
      <c r="M1451" s="3465"/>
    </row>
    <row r="1452" spans="1:13" ht="26.25" thickBot="1">
      <c r="A1452" s="3073">
        <v>245</v>
      </c>
      <c r="B1452" s="3074">
        <v>15</v>
      </c>
      <c r="C1452" s="3074" t="s">
        <v>3517</v>
      </c>
      <c r="D1452" s="3074" t="s">
        <v>3520</v>
      </c>
      <c r="E1452" s="3072" t="s">
        <v>3109</v>
      </c>
      <c r="F1452" s="3072" t="s">
        <v>3235</v>
      </c>
      <c r="G1452" s="3464" t="s">
        <v>3852</v>
      </c>
      <c r="H1452" s="3466"/>
      <c r="I1452" s="3465"/>
      <c r="J1452" s="3074">
        <v>6114</v>
      </c>
      <c r="K1452" s="3464" t="s">
        <v>3842</v>
      </c>
      <c r="L1452" s="3466"/>
      <c r="M1452" s="3465"/>
    </row>
    <row r="1453" spans="1:13" ht="26.25" thickBot="1">
      <c r="A1453" s="3073">
        <v>246</v>
      </c>
      <c r="B1453" s="3074">
        <v>15</v>
      </c>
      <c r="C1453" s="3074" t="s">
        <v>3517</v>
      </c>
      <c r="D1453" s="3074" t="s">
        <v>3641</v>
      </c>
      <c r="E1453" s="3072" t="s">
        <v>3109</v>
      </c>
      <c r="F1453" s="3072" t="s">
        <v>3235</v>
      </c>
      <c r="G1453" s="3464" t="s">
        <v>3852</v>
      </c>
      <c r="H1453" s="3466"/>
      <c r="I1453" s="3465"/>
      <c r="J1453" s="3074">
        <v>6114</v>
      </c>
      <c r="K1453" s="3464" t="s">
        <v>3842</v>
      </c>
      <c r="L1453" s="3466"/>
      <c r="M1453" s="3465"/>
    </row>
    <row r="1454" spans="1:13" ht="26.25" thickBot="1">
      <c r="A1454" s="3073">
        <v>247</v>
      </c>
      <c r="B1454" s="3074">
        <v>15</v>
      </c>
      <c r="C1454" s="3074" t="s">
        <v>3517</v>
      </c>
      <c r="D1454" s="3074" t="s">
        <v>3522</v>
      </c>
      <c r="E1454" s="3072" t="s">
        <v>3109</v>
      </c>
      <c r="F1454" s="3072" t="s">
        <v>3235</v>
      </c>
      <c r="G1454" s="3464" t="s">
        <v>3858</v>
      </c>
      <c r="H1454" s="3466"/>
      <c r="I1454" s="3465"/>
      <c r="J1454" s="3074">
        <v>6114</v>
      </c>
      <c r="K1454" s="3464" t="s">
        <v>3859</v>
      </c>
      <c r="L1454" s="3466"/>
      <c r="M1454" s="3465"/>
    </row>
    <row r="1455" spans="1:13" ht="26.25" thickBot="1">
      <c r="A1455" s="3073">
        <v>248</v>
      </c>
      <c r="B1455" s="3074">
        <v>15</v>
      </c>
      <c r="C1455" s="3074" t="s">
        <v>3517</v>
      </c>
      <c r="D1455" s="3074" t="s">
        <v>3523</v>
      </c>
      <c r="E1455" s="3072" t="s">
        <v>3109</v>
      </c>
      <c r="F1455" s="3072" t="s">
        <v>3235</v>
      </c>
      <c r="G1455" s="3464" t="s">
        <v>3850</v>
      </c>
      <c r="H1455" s="3466"/>
      <c r="I1455" s="3465"/>
      <c r="J1455" s="3074">
        <v>6114</v>
      </c>
      <c r="K1455" s="3464" t="s">
        <v>3848</v>
      </c>
      <c r="L1455" s="3466"/>
      <c r="M1455" s="3465"/>
    </row>
    <row r="1456" spans="1:13" ht="26.25" thickBot="1">
      <c r="A1456" s="3073">
        <v>249</v>
      </c>
      <c r="B1456" s="3074">
        <v>15</v>
      </c>
      <c r="C1456" s="3074" t="s">
        <v>3524</v>
      </c>
      <c r="D1456" s="3074" t="s">
        <v>3525</v>
      </c>
      <c r="E1456" s="3072" t="s">
        <v>3109</v>
      </c>
      <c r="F1456" s="3072" t="s">
        <v>3235</v>
      </c>
      <c r="G1456" s="3464" t="s">
        <v>3850</v>
      </c>
      <c r="H1456" s="3466"/>
      <c r="I1456" s="3465"/>
      <c r="J1456" s="3074">
        <v>6114</v>
      </c>
      <c r="K1456" s="3464" t="s">
        <v>3848</v>
      </c>
      <c r="L1456" s="3466"/>
      <c r="M1456" s="3465"/>
    </row>
    <row r="1457" spans="1:13" ht="26.25" thickBot="1">
      <c r="A1457" s="3073">
        <v>250</v>
      </c>
      <c r="B1457" s="3074">
        <v>15</v>
      </c>
      <c r="C1457" s="3074" t="s">
        <v>3524</v>
      </c>
      <c r="D1457" s="3074" t="s">
        <v>3526</v>
      </c>
      <c r="E1457" s="3072" t="s">
        <v>3109</v>
      </c>
      <c r="F1457" s="3072" t="s">
        <v>3235</v>
      </c>
      <c r="G1457" s="3464" t="s">
        <v>3858</v>
      </c>
      <c r="H1457" s="3466"/>
      <c r="I1457" s="3465"/>
      <c r="J1457" s="3074">
        <v>6114</v>
      </c>
      <c r="K1457" s="3464" t="s">
        <v>3840</v>
      </c>
      <c r="L1457" s="3466"/>
      <c r="M1457" s="3465"/>
    </row>
    <row r="1458" spans="1:13" ht="26.25" thickBot="1">
      <c r="A1458" s="3073">
        <v>251</v>
      </c>
      <c r="B1458" s="3074">
        <v>15</v>
      </c>
      <c r="C1458" s="3074" t="s">
        <v>3524</v>
      </c>
      <c r="D1458" s="3074" t="s">
        <v>3527</v>
      </c>
      <c r="E1458" s="3072" t="s">
        <v>3109</v>
      </c>
      <c r="F1458" s="3072" t="s">
        <v>3235</v>
      </c>
      <c r="G1458" s="3075">
        <v>11</v>
      </c>
      <c r="H1458" s="3466" t="s">
        <v>3865</v>
      </c>
      <c r="I1458" s="3465"/>
      <c r="J1458" s="3074">
        <v>6114</v>
      </c>
      <c r="K1458" s="3081">
        <v>7</v>
      </c>
      <c r="L1458" s="3466" t="s">
        <v>3844</v>
      </c>
      <c r="M1458" s="3465"/>
    </row>
    <row r="1459" spans="1:13" ht="26.25" thickBot="1">
      <c r="A1459" s="3073">
        <v>252</v>
      </c>
      <c r="B1459" s="3074">
        <v>15</v>
      </c>
      <c r="C1459" s="3074" t="s">
        <v>3524</v>
      </c>
      <c r="D1459" s="3074" t="s">
        <v>3528</v>
      </c>
      <c r="E1459" s="3072" t="s">
        <v>3109</v>
      </c>
      <c r="F1459" s="3072" t="s">
        <v>3235</v>
      </c>
      <c r="G1459" s="3464" t="s">
        <v>3852</v>
      </c>
      <c r="H1459" s="3466"/>
      <c r="I1459" s="3465"/>
      <c r="J1459" s="3074">
        <v>6114</v>
      </c>
      <c r="K1459" s="3464" t="s">
        <v>3842</v>
      </c>
      <c r="L1459" s="3466"/>
      <c r="M1459" s="3465"/>
    </row>
    <row r="1460" spans="1:13" ht="26.25" thickBot="1">
      <c r="A1460" s="3073">
        <v>253</v>
      </c>
      <c r="B1460" s="3074">
        <v>15</v>
      </c>
      <c r="C1460" s="3074" t="s">
        <v>3524</v>
      </c>
      <c r="D1460" s="3074" t="s">
        <v>3529</v>
      </c>
      <c r="E1460" s="3072" t="s">
        <v>3109</v>
      </c>
      <c r="F1460" s="3072" t="s">
        <v>3235</v>
      </c>
      <c r="G1460" s="3464" t="s">
        <v>3858</v>
      </c>
      <c r="H1460" s="3466"/>
      <c r="I1460" s="3465"/>
      <c r="J1460" s="3074">
        <v>6114</v>
      </c>
      <c r="K1460" s="3464" t="s">
        <v>3840</v>
      </c>
      <c r="L1460" s="3466"/>
      <c r="M1460" s="3465"/>
    </row>
    <row r="1461" spans="1:13" ht="23.25" thickBot="1">
      <c r="A1461" s="3073">
        <v>254</v>
      </c>
      <c r="B1461" s="3074">
        <v>15</v>
      </c>
      <c r="C1461" s="3074" t="s">
        <v>3524</v>
      </c>
      <c r="D1461" s="3082" t="s">
        <v>3708</v>
      </c>
      <c r="E1461" s="3083" t="s">
        <v>3109</v>
      </c>
      <c r="F1461" s="3083" t="s">
        <v>3235</v>
      </c>
      <c r="G1461" s="3464" t="s">
        <v>3850</v>
      </c>
      <c r="H1461" s="3466"/>
      <c r="I1461" s="3465"/>
      <c r="J1461" s="3074">
        <v>6114</v>
      </c>
      <c r="K1461" s="3464" t="s">
        <v>3851</v>
      </c>
      <c r="L1461" s="3466"/>
      <c r="M1461" s="3465"/>
    </row>
    <row r="1462" spans="1:13" ht="26.25" thickBot="1">
      <c r="A1462" s="3073">
        <v>255</v>
      </c>
      <c r="B1462" s="3074">
        <v>15</v>
      </c>
      <c r="C1462" s="3074" t="s">
        <v>3531</v>
      </c>
      <c r="D1462" s="3074" t="s">
        <v>3532</v>
      </c>
      <c r="E1462" s="3072" t="s">
        <v>3109</v>
      </c>
      <c r="F1462" s="3072" t="s">
        <v>3235</v>
      </c>
      <c r="G1462" s="3464" t="s">
        <v>3850</v>
      </c>
      <c r="H1462" s="3466"/>
      <c r="I1462" s="3465"/>
      <c r="J1462" s="3074">
        <v>6114</v>
      </c>
      <c r="K1462" s="3464" t="s">
        <v>3848</v>
      </c>
      <c r="L1462" s="3466"/>
      <c r="M1462" s="3465"/>
    </row>
    <row r="1463" spans="1:13" ht="26.25" thickBot="1">
      <c r="A1463" s="3073">
        <v>256</v>
      </c>
      <c r="B1463" s="3074">
        <v>15</v>
      </c>
      <c r="C1463" s="3074" t="s">
        <v>3531</v>
      </c>
      <c r="D1463" s="3074" t="s">
        <v>3533</v>
      </c>
      <c r="E1463" s="3072" t="s">
        <v>3109</v>
      </c>
      <c r="F1463" s="3072" t="s">
        <v>3235</v>
      </c>
      <c r="G1463" s="3464" t="s">
        <v>3858</v>
      </c>
      <c r="H1463" s="3466"/>
      <c r="I1463" s="3465"/>
      <c r="J1463" s="3074">
        <v>6114</v>
      </c>
      <c r="K1463" s="3464" t="s">
        <v>3840</v>
      </c>
      <c r="L1463" s="3466"/>
      <c r="M1463" s="3465"/>
    </row>
    <row r="1464" spans="1:13" ht="26.25" thickBot="1">
      <c r="A1464" s="3073">
        <v>257</v>
      </c>
      <c r="B1464" s="3074">
        <v>15</v>
      </c>
      <c r="C1464" s="3074" t="s">
        <v>3531</v>
      </c>
      <c r="D1464" s="3074" t="s">
        <v>3534</v>
      </c>
      <c r="E1464" s="3072" t="s">
        <v>3109</v>
      </c>
      <c r="F1464" s="3072" t="s">
        <v>3235</v>
      </c>
      <c r="G1464" s="3464" t="s">
        <v>3852</v>
      </c>
      <c r="H1464" s="3466"/>
      <c r="I1464" s="3465"/>
      <c r="J1464" s="3074">
        <v>6114</v>
      </c>
      <c r="K1464" s="3464" t="s">
        <v>3853</v>
      </c>
      <c r="L1464" s="3466"/>
      <c r="M1464" s="3465"/>
    </row>
    <row r="1465" spans="1:13" ht="26.25" thickBot="1">
      <c r="A1465" s="3073">
        <v>258</v>
      </c>
      <c r="B1465" s="3074">
        <v>15</v>
      </c>
      <c r="C1465" s="3074" t="s">
        <v>3531</v>
      </c>
      <c r="D1465" s="3074" t="s">
        <v>3535</v>
      </c>
      <c r="E1465" s="3072" t="s">
        <v>3109</v>
      </c>
      <c r="F1465" s="3072" t="s">
        <v>3235</v>
      </c>
      <c r="G1465" s="3464" t="s">
        <v>3852</v>
      </c>
      <c r="H1465" s="3466"/>
      <c r="I1465" s="3465"/>
      <c r="J1465" s="3074">
        <v>6114</v>
      </c>
      <c r="K1465" s="3464" t="s">
        <v>3842</v>
      </c>
      <c r="L1465" s="3466"/>
      <c r="M1465" s="3465"/>
    </row>
    <row r="1466" spans="1:13" ht="26.25" thickBot="1">
      <c r="A1466" s="3073">
        <v>259</v>
      </c>
      <c r="B1466" s="3074">
        <v>15</v>
      </c>
      <c r="C1466" s="3074" t="s">
        <v>3531</v>
      </c>
      <c r="D1466" s="3074" t="s">
        <v>3536</v>
      </c>
      <c r="E1466" s="3072" t="s">
        <v>3109</v>
      </c>
      <c r="F1466" s="3072" t="s">
        <v>3235</v>
      </c>
      <c r="G1466" s="3464" t="s">
        <v>3858</v>
      </c>
      <c r="H1466" s="3466"/>
      <c r="I1466" s="3465"/>
      <c r="J1466" s="3074">
        <v>6114</v>
      </c>
      <c r="K1466" s="3464" t="s">
        <v>3840</v>
      </c>
      <c r="L1466" s="3466"/>
      <c r="M1466" s="3465"/>
    </row>
    <row r="1467" spans="1:13" ht="26.25" thickBot="1">
      <c r="A1467" s="3073">
        <v>260</v>
      </c>
      <c r="B1467" s="3074">
        <v>15</v>
      </c>
      <c r="C1467" s="3074" t="s">
        <v>3531</v>
      </c>
      <c r="D1467" s="3074" t="s">
        <v>3537</v>
      </c>
      <c r="E1467" s="3072" t="s">
        <v>3109</v>
      </c>
      <c r="F1467" s="3072" t="s">
        <v>3235</v>
      </c>
      <c r="G1467" s="3464" t="s">
        <v>3850</v>
      </c>
      <c r="H1467" s="3466"/>
      <c r="I1467" s="3465"/>
      <c r="J1467" s="3074">
        <v>6114</v>
      </c>
      <c r="K1467" s="3464" t="s">
        <v>3848</v>
      </c>
      <c r="L1467" s="3466"/>
      <c r="M1467" s="3465"/>
    </row>
    <row r="1468" spans="1:13" ht="26.25" thickBot="1">
      <c r="A1468" s="3073">
        <v>261</v>
      </c>
      <c r="B1468" s="3074">
        <v>15</v>
      </c>
      <c r="C1468" s="3074" t="s">
        <v>3538</v>
      </c>
      <c r="D1468" s="3074" t="s">
        <v>3539</v>
      </c>
      <c r="E1468" s="3072" t="s">
        <v>3109</v>
      </c>
      <c r="F1468" s="3072" t="s">
        <v>3235</v>
      </c>
      <c r="G1468" s="3464" t="s">
        <v>3850</v>
      </c>
      <c r="H1468" s="3466"/>
      <c r="I1468" s="3465"/>
      <c r="J1468" s="3074">
        <v>6114</v>
      </c>
      <c r="K1468" s="3464" t="s">
        <v>3851</v>
      </c>
      <c r="L1468" s="3466"/>
      <c r="M1468" s="3465"/>
    </row>
    <row r="1469" spans="1:13" ht="26.25" thickBot="1">
      <c r="A1469" s="3073">
        <v>262</v>
      </c>
      <c r="B1469" s="3074">
        <v>15</v>
      </c>
      <c r="C1469" s="3074" t="s">
        <v>3538</v>
      </c>
      <c r="D1469" s="3074" t="s">
        <v>3540</v>
      </c>
      <c r="E1469" s="3072" t="s">
        <v>3109</v>
      </c>
      <c r="F1469" s="3072" t="s">
        <v>3235</v>
      </c>
      <c r="G1469" s="3464" t="s">
        <v>3858</v>
      </c>
      <c r="H1469" s="3466"/>
      <c r="I1469" s="3465"/>
      <c r="J1469" s="3074">
        <v>6114</v>
      </c>
      <c r="K1469" s="3464" t="s">
        <v>3840</v>
      </c>
      <c r="L1469" s="3466"/>
      <c r="M1469" s="3465"/>
    </row>
    <row r="1470" spans="1:13" ht="26.25" thickBot="1">
      <c r="A1470" s="3073">
        <v>263</v>
      </c>
      <c r="B1470" s="3074">
        <v>15</v>
      </c>
      <c r="C1470" s="3074" t="s">
        <v>3538</v>
      </c>
      <c r="D1470" s="3074" t="s">
        <v>3541</v>
      </c>
      <c r="E1470" s="3072" t="s">
        <v>3109</v>
      </c>
      <c r="F1470" s="3072" t="s">
        <v>3235</v>
      </c>
      <c r="G1470" s="3464" t="s">
        <v>3852</v>
      </c>
      <c r="H1470" s="3466"/>
      <c r="I1470" s="3465"/>
      <c r="J1470" s="3074">
        <v>6114</v>
      </c>
      <c r="K1470" s="3464" t="s">
        <v>3842</v>
      </c>
      <c r="L1470" s="3466"/>
      <c r="M1470" s="3465"/>
    </row>
    <row r="1471" spans="1:13" ht="26.25" thickBot="1">
      <c r="A1471" s="3073">
        <v>264</v>
      </c>
      <c r="B1471" s="3074">
        <v>15</v>
      </c>
      <c r="C1471" s="3074" t="s">
        <v>3538</v>
      </c>
      <c r="D1471" s="3074" t="s">
        <v>3542</v>
      </c>
      <c r="E1471" s="3072" t="s">
        <v>3109</v>
      </c>
      <c r="F1471" s="3072" t="s">
        <v>3235</v>
      </c>
      <c r="G1471" s="3464" t="s">
        <v>3852</v>
      </c>
      <c r="H1471" s="3466"/>
      <c r="I1471" s="3465"/>
      <c r="J1471" s="3074">
        <v>6114</v>
      </c>
      <c r="K1471" s="3464" t="s">
        <v>3853</v>
      </c>
      <c r="L1471" s="3466"/>
      <c r="M1471" s="3465"/>
    </row>
    <row r="1472" spans="1:13" ht="26.25" thickBot="1">
      <c r="A1472" s="3073">
        <v>265</v>
      </c>
      <c r="B1472" s="3074">
        <v>15</v>
      </c>
      <c r="C1472" s="3074" t="s">
        <v>3538</v>
      </c>
      <c r="D1472" s="3074" t="s">
        <v>3543</v>
      </c>
      <c r="E1472" s="3072" t="s">
        <v>3109</v>
      </c>
      <c r="F1472" s="3072" t="s">
        <v>3235</v>
      </c>
      <c r="G1472" s="3464" t="s">
        <v>3858</v>
      </c>
      <c r="H1472" s="3466"/>
      <c r="I1472" s="3465"/>
      <c r="J1472" s="3074">
        <v>6114</v>
      </c>
      <c r="K1472" s="3464" t="s">
        <v>3840</v>
      </c>
      <c r="L1472" s="3466"/>
      <c r="M1472" s="3465"/>
    </row>
    <row r="1473" spans="1:13" ht="26.25" thickBot="1">
      <c r="A1473" s="3073">
        <v>266</v>
      </c>
      <c r="B1473" s="3074">
        <v>15</v>
      </c>
      <c r="C1473" s="3074" t="s">
        <v>3538</v>
      </c>
      <c r="D1473" s="3074" t="s">
        <v>3544</v>
      </c>
      <c r="E1473" s="3072" t="s">
        <v>3109</v>
      </c>
      <c r="F1473" s="3072" t="s">
        <v>3235</v>
      </c>
      <c r="G1473" s="3464" t="s">
        <v>3850</v>
      </c>
      <c r="H1473" s="3466"/>
      <c r="I1473" s="3465"/>
      <c r="J1473" s="3074">
        <v>6114</v>
      </c>
      <c r="K1473" s="3464" t="s">
        <v>3848</v>
      </c>
      <c r="L1473" s="3466"/>
      <c r="M1473" s="3465"/>
    </row>
    <row r="1474" spans="1:13" ht="26.25" thickBot="1">
      <c r="A1474" s="3073">
        <v>267</v>
      </c>
      <c r="B1474" s="3074">
        <v>15</v>
      </c>
      <c r="C1474" s="3074" t="s">
        <v>3545</v>
      </c>
      <c r="D1474" s="3074" t="s">
        <v>3546</v>
      </c>
      <c r="E1474" s="3072" t="s">
        <v>3109</v>
      </c>
      <c r="F1474" s="3072" t="s">
        <v>3235</v>
      </c>
      <c r="G1474" s="3464" t="s">
        <v>3850</v>
      </c>
      <c r="H1474" s="3466"/>
      <c r="I1474" s="3465"/>
      <c r="J1474" s="3074">
        <v>6114</v>
      </c>
      <c r="K1474" s="3464" t="s">
        <v>3848</v>
      </c>
      <c r="L1474" s="3466"/>
      <c r="M1474" s="3465"/>
    </row>
    <row r="1475" spans="1:13" ht="26.25" thickBot="1">
      <c r="A1475" s="3073">
        <v>268</v>
      </c>
      <c r="B1475" s="3074">
        <v>15</v>
      </c>
      <c r="C1475" s="3074" t="s">
        <v>3545</v>
      </c>
      <c r="D1475" s="3074" t="s">
        <v>3547</v>
      </c>
      <c r="E1475" s="3072" t="s">
        <v>3109</v>
      </c>
      <c r="F1475" s="3072" t="s">
        <v>3235</v>
      </c>
      <c r="G1475" s="3075">
        <v>11</v>
      </c>
      <c r="H1475" s="3466" t="s">
        <v>3863</v>
      </c>
      <c r="I1475" s="3465"/>
      <c r="J1475" s="3074">
        <v>6114</v>
      </c>
      <c r="K1475" s="3081">
        <v>7</v>
      </c>
      <c r="L1475" s="3466" t="s">
        <v>3861</v>
      </c>
      <c r="M1475" s="3465"/>
    </row>
    <row r="1476" spans="1:13" ht="26.25" thickBot="1">
      <c r="A1476" s="3073">
        <v>269</v>
      </c>
      <c r="B1476" s="3074">
        <v>15</v>
      </c>
      <c r="C1476" s="3074" t="s">
        <v>3545</v>
      </c>
      <c r="D1476" s="3074" t="s">
        <v>3548</v>
      </c>
      <c r="E1476" s="3072" t="s">
        <v>3109</v>
      </c>
      <c r="F1476" s="3072" t="s">
        <v>3235</v>
      </c>
      <c r="G1476" s="3464" t="s">
        <v>3852</v>
      </c>
      <c r="H1476" s="3466"/>
      <c r="I1476" s="3465"/>
      <c r="J1476" s="3074">
        <v>6114</v>
      </c>
      <c r="K1476" s="3464" t="s">
        <v>3842</v>
      </c>
      <c r="L1476" s="3466"/>
      <c r="M1476" s="3465"/>
    </row>
    <row r="1477" spans="1:13" ht="26.25" thickBot="1">
      <c r="A1477" s="3073">
        <v>270</v>
      </c>
      <c r="B1477" s="3074">
        <v>15</v>
      </c>
      <c r="C1477" s="3074" t="s">
        <v>3545</v>
      </c>
      <c r="D1477" s="3074" t="s">
        <v>3549</v>
      </c>
      <c r="E1477" s="3072" t="s">
        <v>3109</v>
      </c>
      <c r="F1477" s="3072" t="s">
        <v>3235</v>
      </c>
      <c r="G1477" s="3464" t="s">
        <v>3852</v>
      </c>
      <c r="H1477" s="3466"/>
      <c r="I1477" s="3465"/>
      <c r="J1477" s="3074">
        <v>6114</v>
      </c>
      <c r="K1477" s="3464" t="s">
        <v>3842</v>
      </c>
      <c r="L1477" s="3466"/>
      <c r="M1477" s="3465"/>
    </row>
    <row r="1478" spans="1:13" ht="26.25" thickBot="1">
      <c r="A1478" s="3073">
        <v>271</v>
      </c>
      <c r="B1478" s="3074">
        <v>15</v>
      </c>
      <c r="C1478" s="3074" t="s">
        <v>3545</v>
      </c>
      <c r="D1478" s="3074" t="s">
        <v>3550</v>
      </c>
      <c r="E1478" s="3072" t="s">
        <v>3109</v>
      </c>
      <c r="F1478" s="3072" t="s">
        <v>3235</v>
      </c>
      <c r="G1478" s="3464" t="s">
        <v>3858</v>
      </c>
      <c r="H1478" s="3466"/>
      <c r="I1478" s="3465"/>
      <c r="J1478" s="3074">
        <v>6114</v>
      </c>
      <c r="K1478" s="3464" t="s">
        <v>3859</v>
      </c>
      <c r="L1478" s="3466"/>
      <c r="M1478" s="3465"/>
    </row>
    <row r="1479" spans="1:13" ht="26.25" thickBot="1">
      <c r="A1479" s="3073">
        <v>272</v>
      </c>
      <c r="B1479" s="3074">
        <v>15</v>
      </c>
      <c r="C1479" s="3074" t="s">
        <v>3545</v>
      </c>
      <c r="D1479" s="3074" t="s">
        <v>3551</v>
      </c>
      <c r="E1479" s="3072" t="s">
        <v>3109</v>
      </c>
      <c r="F1479" s="3072" t="s">
        <v>3235</v>
      </c>
      <c r="G1479" s="3464" t="s">
        <v>3850</v>
      </c>
      <c r="H1479" s="3466"/>
      <c r="I1479" s="3465"/>
      <c r="J1479" s="3074">
        <v>6114</v>
      </c>
      <c r="K1479" s="3464" t="s">
        <v>3848</v>
      </c>
      <c r="L1479" s="3466"/>
      <c r="M1479" s="3465"/>
    </row>
    <row r="1480" spans="1:13" ht="26.25" thickBot="1">
      <c r="A1480" s="3073">
        <v>273</v>
      </c>
      <c r="B1480" s="3074">
        <v>15</v>
      </c>
      <c r="C1480" s="3074" t="s">
        <v>3552</v>
      </c>
      <c r="D1480" s="3074" t="s">
        <v>3553</v>
      </c>
      <c r="E1480" s="3072" t="s">
        <v>3109</v>
      </c>
      <c r="F1480" s="3072" t="s">
        <v>3235</v>
      </c>
      <c r="G1480" s="3464" t="s">
        <v>3850</v>
      </c>
      <c r="H1480" s="3466"/>
      <c r="I1480" s="3465"/>
      <c r="J1480" s="3074">
        <v>6114</v>
      </c>
      <c r="K1480" s="3464" t="s">
        <v>3848</v>
      </c>
      <c r="L1480" s="3466"/>
      <c r="M1480" s="3465"/>
    </row>
    <row r="1481" spans="1:13" ht="26.25" thickBot="1">
      <c r="A1481" s="3073">
        <v>274</v>
      </c>
      <c r="B1481" s="3074">
        <v>15</v>
      </c>
      <c r="C1481" s="3074" t="s">
        <v>3552</v>
      </c>
      <c r="D1481" s="3074" t="s">
        <v>3554</v>
      </c>
      <c r="E1481" s="3072" t="s">
        <v>3109</v>
      </c>
      <c r="F1481" s="3072" t="s">
        <v>3235</v>
      </c>
      <c r="G1481" s="3464" t="s">
        <v>3858</v>
      </c>
      <c r="H1481" s="3466"/>
      <c r="I1481" s="3465"/>
      <c r="J1481" s="3074">
        <v>6114</v>
      </c>
      <c r="K1481" s="3464" t="s">
        <v>3859</v>
      </c>
      <c r="L1481" s="3466"/>
      <c r="M1481" s="3465"/>
    </row>
    <row r="1482" spans="1:13" ht="26.25" thickBot="1">
      <c r="A1482" s="3073">
        <v>275</v>
      </c>
      <c r="B1482" s="3074">
        <v>15</v>
      </c>
      <c r="C1482" s="3074" t="s">
        <v>3552</v>
      </c>
      <c r="D1482" s="3074" t="s">
        <v>3555</v>
      </c>
      <c r="E1482" s="3072" t="s">
        <v>3109</v>
      </c>
      <c r="F1482" s="3072" t="s">
        <v>3235</v>
      </c>
      <c r="G1482" s="3464" t="s">
        <v>3852</v>
      </c>
      <c r="H1482" s="3466"/>
      <c r="I1482" s="3465"/>
      <c r="J1482" s="3074">
        <v>6114</v>
      </c>
      <c r="K1482" s="3464" t="s">
        <v>3842</v>
      </c>
      <c r="L1482" s="3466"/>
      <c r="M1482" s="3465"/>
    </row>
    <row r="1483" spans="1:13" ht="26.25" thickBot="1">
      <c r="A1483" s="3073">
        <v>276</v>
      </c>
      <c r="B1483" s="3074">
        <v>15</v>
      </c>
      <c r="C1483" s="3074" t="s">
        <v>3552</v>
      </c>
      <c r="D1483" s="3074" t="s">
        <v>3556</v>
      </c>
      <c r="E1483" s="3072" t="s">
        <v>3109</v>
      </c>
      <c r="F1483" s="3072" t="s">
        <v>3235</v>
      </c>
      <c r="G1483" s="3464" t="s">
        <v>3852</v>
      </c>
      <c r="H1483" s="3466"/>
      <c r="I1483" s="3465"/>
      <c r="J1483" s="3074">
        <v>6114</v>
      </c>
      <c r="K1483" s="3464" t="s">
        <v>3842</v>
      </c>
      <c r="L1483" s="3466"/>
      <c r="M1483" s="3465"/>
    </row>
    <row r="1484" spans="1:13" ht="26.25" thickBot="1">
      <c r="A1484" s="3073">
        <v>277</v>
      </c>
      <c r="B1484" s="3074">
        <v>15</v>
      </c>
      <c r="C1484" s="3074" t="s">
        <v>3552</v>
      </c>
      <c r="D1484" s="3074" t="s">
        <v>3557</v>
      </c>
      <c r="E1484" s="3072" t="s">
        <v>3109</v>
      </c>
      <c r="F1484" s="3072" t="s">
        <v>3235</v>
      </c>
      <c r="G1484" s="3464" t="s">
        <v>3858</v>
      </c>
      <c r="H1484" s="3466"/>
      <c r="I1484" s="3465"/>
      <c r="J1484" s="3074">
        <v>6114</v>
      </c>
      <c r="K1484" s="3464" t="s">
        <v>3840</v>
      </c>
      <c r="L1484" s="3466"/>
      <c r="M1484" s="3465"/>
    </row>
    <row r="1485" spans="1:13" ht="26.25" thickBot="1">
      <c r="A1485" s="3073">
        <v>278</v>
      </c>
      <c r="B1485" s="3074">
        <v>15</v>
      </c>
      <c r="C1485" s="3074" t="s">
        <v>3552</v>
      </c>
      <c r="D1485" s="3074" t="s">
        <v>3558</v>
      </c>
      <c r="E1485" s="3072" t="s">
        <v>3109</v>
      </c>
      <c r="F1485" s="3072" t="s">
        <v>3235</v>
      </c>
      <c r="G1485" s="3081">
        <v>13</v>
      </c>
      <c r="H1485" s="3466" t="s">
        <v>3866</v>
      </c>
      <c r="I1485" s="3465"/>
      <c r="J1485" s="3074">
        <v>6114</v>
      </c>
      <c r="K1485" s="3081">
        <v>8</v>
      </c>
      <c r="L1485" s="3466" t="s">
        <v>3856</v>
      </c>
      <c r="M1485" s="3465"/>
    </row>
    <row r="1486" spans="1:13" ht="26.25" thickBot="1">
      <c r="A1486" s="3073">
        <v>279</v>
      </c>
      <c r="B1486" s="3074">
        <v>15</v>
      </c>
      <c r="C1486" s="3074" t="s">
        <v>3559</v>
      </c>
      <c r="D1486" s="3074" t="s">
        <v>3560</v>
      </c>
      <c r="E1486" s="3072" t="s">
        <v>3109</v>
      </c>
      <c r="F1486" s="3072" t="s">
        <v>3235</v>
      </c>
      <c r="G1486" s="3464" t="s">
        <v>3850</v>
      </c>
      <c r="H1486" s="3466"/>
      <c r="I1486" s="3465"/>
      <c r="J1486" s="3074">
        <v>6114</v>
      </c>
      <c r="K1486" s="3464" t="s">
        <v>3848</v>
      </c>
      <c r="L1486" s="3466"/>
      <c r="M1486" s="3465"/>
    </row>
    <row r="1487" spans="1:13" ht="26.25" thickBot="1">
      <c r="A1487" s="3073">
        <v>280</v>
      </c>
      <c r="B1487" s="3074">
        <v>15</v>
      </c>
      <c r="C1487" s="3074" t="s">
        <v>3559</v>
      </c>
      <c r="D1487" s="3074" t="s">
        <v>3561</v>
      </c>
      <c r="E1487" s="3072" t="s">
        <v>3109</v>
      </c>
      <c r="F1487" s="3072" t="s">
        <v>3235</v>
      </c>
      <c r="G1487" s="3464" t="s">
        <v>3858</v>
      </c>
      <c r="H1487" s="3466"/>
      <c r="I1487" s="3465"/>
      <c r="J1487" s="3074">
        <v>6114</v>
      </c>
      <c r="K1487" s="3464" t="s">
        <v>3840</v>
      </c>
      <c r="L1487" s="3466"/>
      <c r="M1487" s="3465"/>
    </row>
    <row r="1488" spans="1:13" ht="26.25" thickBot="1">
      <c r="A1488" s="3073">
        <v>281</v>
      </c>
      <c r="B1488" s="3074">
        <v>15</v>
      </c>
      <c r="C1488" s="3074" t="s">
        <v>3559</v>
      </c>
      <c r="D1488" s="3074" t="s">
        <v>3562</v>
      </c>
      <c r="E1488" s="3072" t="s">
        <v>3109</v>
      </c>
      <c r="F1488" s="3072" t="s">
        <v>3235</v>
      </c>
      <c r="G1488" s="3464" t="s">
        <v>3852</v>
      </c>
      <c r="H1488" s="3466"/>
      <c r="I1488" s="3465"/>
      <c r="J1488" s="3074">
        <v>6114</v>
      </c>
      <c r="K1488" s="3464" t="s">
        <v>3853</v>
      </c>
      <c r="L1488" s="3466"/>
      <c r="M1488" s="3465"/>
    </row>
    <row r="1489" spans="1:13" ht="26.25" thickBot="1">
      <c r="A1489" s="3073">
        <v>282</v>
      </c>
      <c r="B1489" s="3074">
        <v>15</v>
      </c>
      <c r="C1489" s="3074" t="s">
        <v>3559</v>
      </c>
      <c r="D1489" s="3074" t="s">
        <v>3563</v>
      </c>
      <c r="E1489" s="3072" t="s">
        <v>3109</v>
      </c>
      <c r="F1489" s="3072" t="s">
        <v>3235</v>
      </c>
      <c r="G1489" s="3464" t="s">
        <v>3852</v>
      </c>
      <c r="H1489" s="3466"/>
      <c r="I1489" s="3465"/>
      <c r="J1489" s="3074">
        <v>6114</v>
      </c>
      <c r="K1489" s="3464" t="s">
        <v>3842</v>
      </c>
      <c r="L1489" s="3466"/>
      <c r="M1489" s="3465"/>
    </row>
    <row r="1490" spans="1:13" ht="26.25" thickBot="1">
      <c r="A1490" s="3073">
        <v>283</v>
      </c>
      <c r="B1490" s="3074">
        <v>15</v>
      </c>
      <c r="C1490" s="3074" t="s">
        <v>3559</v>
      </c>
      <c r="D1490" s="3074" t="s">
        <v>3564</v>
      </c>
      <c r="E1490" s="3072" t="s">
        <v>3109</v>
      </c>
      <c r="F1490" s="3072" t="s">
        <v>3235</v>
      </c>
      <c r="G1490" s="3464" t="s">
        <v>3858</v>
      </c>
      <c r="H1490" s="3466"/>
      <c r="I1490" s="3465"/>
      <c r="J1490" s="3074">
        <v>6114</v>
      </c>
      <c r="K1490" s="3464" t="s">
        <v>3840</v>
      </c>
      <c r="L1490" s="3466"/>
      <c r="M1490" s="3465"/>
    </row>
    <row r="1491" spans="1:13" ht="26.25" thickBot="1">
      <c r="A1491" s="3073">
        <v>284</v>
      </c>
      <c r="B1491" s="3074">
        <v>15</v>
      </c>
      <c r="C1491" s="3074" t="s">
        <v>3559</v>
      </c>
      <c r="D1491" s="3074" t="s">
        <v>3565</v>
      </c>
      <c r="E1491" s="3072" t="s">
        <v>3109</v>
      </c>
      <c r="F1491" s="3072" t="s">
        <v>3235</v>
      </c>
      <c r="G1491" s="3464" t="s">
        <v>3850</v>
      </c>
      <c r="H1491" s="3466"/>
      <c r="I1491" s="3465"/>
      <c r="J1491" s="3074">
        <v>6114</v>
      </c>
      <c r="K1491" s="3464" t="s">
        <v>3848</v>
      </c>
      <c r="L1491" s="3466"/>
      <c r="M1491" s="3465"/>
    </row>
    <row r="1492" spans="1:13" ht="14.25" thickBot="1">
      <c r="A1492" s="3084" t="s">
        <v>37</v>
      </c>
      <c r="B1492" s="3086"/>
      <c r="C1492" s="3086"/>
      <c r="D1492" s="3086"/>
      <c r="E1492" s="3086"/>
      <c r="F1492" s="3086"/>
      <c r="G1492" s="3469">
        <v>2216</v>
      </c>
      <c r="H1492" s="3470"/>
      <c r="I1492" s="3074" t="s">
        <v>3378</v>
      </c>
      <c r="J1492" s="3086"/>
      <c r="K1492" s="3471">
        <v>12967</v>
      </c>
      <c r="L1492" s="3472"/>
      <c r="M1492" s="3074">
        <v>56</v>
      </c>
    </row>
    <row r="1493" spans="1:13">
      <c r="A1493" s="3089"/>
      <c r="B1493" s="3089"/>
      <c r="C1493" s="3089"/>
      <c r="D1493" s="3089"/>
      <c r="E1493" s="3089"/>
      <c r="F1493" s="3089"/>
      <c r="G1493" s="3089"/>
      <c r="H1493" s="3089"/>
      <c r="I1493" s="3089"/>
      <c r="J1493" s="3089"/>
      <c r="K1493" s="3089"/>
      <c r="L1493" s="3089"/>
      <c r="M1493" s="3089"/>
    </row>
    <row r="1494" spans="1:13" ht="14.25">
      <c r="A1494" s="3069" t="s">
        <v>3867</v>
      </c>
    </row>
    <row r="1495" spans="1:13" ht="14.25" thickBot="1">
      <c r="A1495" s="3070"/>
    </row>
    <row r="1496" spans="1:13">
      <c r="A1496" s="3458" t="s">
        <v>3223</v>
      </c>
      <c r="B1496" s="3458" t="s">
        <v>3224</v>
      </c>
      <c r="C1496" s="3071" t="s">
        <v>3225</v>
      </c>
      <c r="D1496" s="3458" t="s">
        <v>3227</v>
      </c>
      <c r="E1496" s="3458" t="s">
        <v>1341</v>
      </c>
      <c r="F1496" s="3458" t="s">
        <v>3228</v>
      </c>
      <c r="G1496" s="3460" t="s">
        <v>3229</v>
      </c>
      <c r="H1496" s="3461"/>
      <c r="I1496" s="3458" t="s">
        <v>3231</v>
      </c>
      <c r="J1496" s="3458" t="s">
        <v>3232</v>
      </c>
    </row>
    <row r="1497" spans="1:13" ht="14.25" thickBot="1">
      <c r="A1497" s="3459"/>
      <c r="B1497" s="3459"/>
      <c r="C1497" s="3072" t="s">
        <v>3226</v>
      </c>
      <c r="D1497" s="3459"/>
      <c r="E1497" s="3459"/>
      <c r="F1497" s="3459"/>
      <c r="G1497" s="3462" t="s">
        <v>3230</v>
      </c>
      <c r="H1497" s="3463"/>
      <c r="I1497" s="3459"/>
      <c r="J1497" s="3459"/>
    </row>
    <row r="1498" spans="1:13" ht="24.75" thickBot="1">
      <c r="A1498" s="3073">
        <v>1</v>
      </c>
      <c r="B1498" s="3074">
        <v>16</v>
      </c>
      <c r="C1498" s="3074">
        <f>-2/28</f>
        <v>-7.1428571428571425E-2</v>
      </c>
      <c r="D1498" s="3072" t="s">
        <v>3233</v>
      </c>
      <c r="E1498" s="3072" t="s">
        <v>3234</v>
      </c>
      <c r="F1498" s="3072" t="s">
        <v>3235</v>
      </c>
      <c r="G1498" s="3464" t="s">
        <v>3868</v>
      </c>
      <c r="H1498" s="3465"/>
      <c r="I1498" s="3074">
        <v>2016</v>
      </c>
      <c r="J1498" s="3074">
        <v>3.33</v>
      </c>
    </row>
    <row r="1499" spans="1:13" ht="24.75" thickBot="1">
      <c r="A1499" s="3073">
        <v>2</v>
      </c>
      <c r="B1499" s="3074">
        <v>16</v>
      </c>
      <c r="C1499" s="3074">
        <f>-2/28</f>
        <v>-7.1428571428571425E-2</v>
      </c>
      <c r="D1499" s="3072" t="s">
        <v>3237</v>
      </c>
      <c r="E1499" s="3072" t="s">
        <v>3234</v>
      </c>
      <c r="F1499" s="3072" t="s">
        <v>3235</v>
      </c>
      <c r="G1499" s="3080">
        <v>14</v>
      </c>
      <c r="H1499" s="3074">
        <v>5</v>
      </c>
      <c r="I1499" s="3074">
        <v>2016</v>
      </c>
      <c r="J1499" s="3074">
        <v>2.83</v>
      </c>
    </row>
    <row r="1500" spans="1:13" ht="24.75" thickBot="1">
      <c r="A1500" s="3073">
        <v>3</v>
      </c>
      <c r="B1500" s="3074">
        <v>16</v>
      </c>
      <c r="C1500" s="3074">
        <f>-2/28</f>
        <v>-7.1428571428571425E-2</v>
      </c>
      <c r="D1500" s="3072" t="s">
        <v>3238</v>
      </c>
      <c r="E1500" s="3072" t="s">
        <v>3234</v>
      </c>
      <c r="F1500" s="3072" t="s">
        <v>3235</v>
      </c>
      <c r="G1500" s="3464">
        <v>9.85</v>
      </c>
      <c r="H1500" s="3465"/>
      <c r="I1500" s="3074">
        <v>2016</v>
      </c>
      <c r="J1500" s="3074">
        <v>1.99</v>
      </c>
    </row>
    <row r="1501" spans="1:13" ht="24.75" thickBot="1">
      <c r="A1501" s="3073">
        <v>4</v>
      </c>
      <c r="B1501" s="3074">
        <v>16</v>
      </c>
      <c r="C1501" s="3074">
        <f>-2/28</f>
        <v>-7.1428571428571425E-2</v>
      </c>
      <c r="D1501" s="3072" t="s">
        <v>3240</v>
      </c>
      <c r="E1501" s="3072" t="s">
        <v>3234</v>
      </c>
      <c r="F1501" s="3072" t="s">
        <v>3235</v>
      </c>
      <c r="G1501" s="3464" t="s">
        <v>3674</v>
      </c>
      <c r="H1501" s="3465"/>
      <c r="I1501" s="3074">
        <v>2016</v>
      </c>
      <c r="J1501" s="3074">
        <v>2.42</v>
      </c>
    </row>
    <row r="1502" spans="1:13" ht="24.75" thickBot="1">
      <c r="A1502" s="3073">
        <v>5</v>
      </c>
      <c r="B1502" s="3074">
        <v>16</v>
      </c>
      <c r="C1502" s="3074">
        <f>-2/28</f>
        <v>-7.1428571428571425E-2</v>
      </c>
      <c r="D1502" s="3072" t="s">
        <v>3242</v>
      </c>
      <c r="E1502" s="3072" t="s">
        <v>3234</v>
      </c>
      <c r="F1502" s="3072" t="s">
        <v>3235</v>
      </c>
      <c r="G1502" s="3464" t="s">
        <v>3869</v>
      </c>
      <c r="H1502" s="3465"/>
      <c r="I1502" s="3074">
        <v>2016</v>
      </c>
      <c r="J1502" s="3074">
        <v>2.56</v>
      </c>
    </row>
    <row r="1503" spans="1:13">
      <c r="A1503" s="3089"/>
      <c r="B1503" s="3089"/>
      <c r="C1503" s="3089"/>
      <c r="D1503" s="3089"/>
      <c r="E1503" s="3089"/>
      <c r="F1503" s="3089"/>
      <c r="G1503" s="3089"/>
      <c r="H1503" s="3089"/>
      <c r="I1503" s="3089"/>
      <c r="J1503" s="3089"/>
    </row>
    <row r="1504" spans="1:13">
      <c r="A1504" s="3070"/>
    </row>
    <row r="1506" spans="1:10" ht="14.25" thickBot="1">
      <c r="A1506" s="3078"/>
    </row>
    <row r="1507" spans="1:10">
      <c r="A1507" s="3458" t="s">
        <v>3223</v>
      </c>
      <c r="B1507" s="3458" t="s">
        <v>3224</v>
      </c>
      <c r="C1507" s="3071" t="s">
        <v>3225</v>
      </c>
      <c r="D1507" s="3458" t="s">
        <v>3227</v>
      </c>
      <c r="E1507" s="3458" t="s">
        <v>1341</v>
      </c>
      <c r="F1507" s="3458" t="s">
        <v>3228</v>
      </c>
      <c r="G1507" s="3460" t="s">
        <v>3229</v>
      </c>
      <c r="H1507" s="3461"/>
      <c r="I1507" s="3458" t="s">
        <v>3231</v>
      </c>
      <c r="J1507" s="3458" t="s">
        <v>3232</v>
      </c>
    </row>
    <row r="1508" spans="1:10" ht="14.25" thickBot="1">
      <c r="A1508" s="3459"/>
      <c r="B1508" s="3459"/>
      <c r="C1508" s="3072" t="s">
        <v>3226</v>
      </c>
      <c r="D1508" s="3459"/>
      <c r="E1508" s="3459"/>
      <c r="F1508" s="3459"/>
      <c r="G1508" s="3462" t="s">
        <v>3230</v>
      </c>
      <c r="H1508" s="3463"/>
      <c r="I1508" s="3459"/>
      <c r="J1508" s="3459"/>
    </row>
    <row r="1509" spans="1:10" ht="24.75" thickBot="1">
      <c r="A1509" s="3073">
        <v>6</v>
      </c>
      <c r="B1509" s="3074">
        <v>16</v>
      </c>
      <c r="C1509" s="3074">
        <f t="shared" ref="C1509:C1540" si="18">-2/28</f>
        <v>-7.1428571428571425E-2</v>
      </c>
      <c r="D1509" s="3072" t="s">
        <v>3244</v>
      </c>
      <c r="E1509" s="3072" t="s">
        <v>3234</v>
      </c>
      <c r="F1509" s="3072" t="s">
        <v>3235</v>
      </c>
      <c r="G1509" s="3464">
        <v>8.08</v>
      </c>
      <c r="H1509" s="3465"/>
      <c r="I1509" s="3074">
        <v>2016</v>
      </c>
      <c r="J1509" s="3074">
        <v>1.63</v>
      </c>
    </row>
    <row r="1510" spans="1:10" ht="24.75" thickBot="1">
      <c r="A1510" s="3073">
        <v>7</v>
      </c>
      <c r="B1510" s="3074">
        <v>16</v>
      </c>
      <c r="C1510" s="3074">
        <f t="shared" si="18"/>
        <v>-7.1428571428571425E-2</v>
      </c>
      <c r="D1510" s="3072" t="s">
        <v>3246</v>
      </c>
      <c r="E1510" s="3072" t="s">
        <v>3234</v>
      </c>
      <c r="F1510" s="3072" t="s">
        <v>3235</v>
      </c>
      <c r="G1510" s="3464">
        <v>9.66</v>
      </c>
      <c r="H1510" s="3465"/>
      <c r="I1510" s="3074">
        <v>2016</v>
      </c>
      <c r="J1510" s="3074">
        <v>1.95</v>
      </c>
    </row>
    <row r="1511" spans="1:10" ht="24.75" thickBot="1">
      <c r="A1511" s="3073">
        <v>8</v>
      </c>
      <c r="B1511" s="3074">
        <v>16</v>
      </c>
      <c r="C1511" s="3074">
        <f t="shared" si="18"/>
        <v>-7.1428571428571425E-2</v>
      </c>
      <c r="D1511" s="3072" t="s">
        <v>3248</v>
      </c>
      <c r="E1511" s="3072" t="s">
        <v>3234</v>
      </c>
      <c r="F1511" s="3072" t="s">
        <v>3235</v>
      </c>
      <c r="G1511" s="3464" t="s">
        <v>3870</v>
      </c>
      <c r="H1511" s="3465"/>
      <c r="I1511" s="3074">
        <v>2016</v>
      </c>
      <c r="J1511" s="3074">
        <v>2.39</v>
      </c>
    </row>
    <row r="1512" spans="1:10" ht="24.75" thickBot="1">
      <c r="A1512" s="3073">
        <v>9</v>
      </c>
      <c r="B1512" s="3074">
        <v>16</v>
      </c>
      <c r="C1512" s="3074">
        <f t="shared" si="18"/>
        <v>-7.1428571428571425E-2</v>
      </c>
      <c r="D1512" s="3072" t="s">
        <v>3249</v>
      </c>
      <c r="E1512" s="3072" t="s">
        <v>3234</v>
      </c>
      <c r="F1512" s="3072" t="s">
        <v>3235</v>
      </c>
      <c r="G1512" s="3464" t="s">
        <v>3871</v>
      </c>
      <c r="H1512" s="3465"/>
      <c r="I1512" s="3074">
        <v>2016</v>
      </c>
      <c r="J1512" s="3074">
        <v>3.4</v>
      </c>
    </row>
    <row r="1513" spans="1:10" ht="24.75" thickBot="1">
      <c r="A1513" s="3073">
        <v>10</v>
      </c>
      <c r="B1513" s="3074">
        <v>16</v>
      </c>
      <c r="C1513" s="3074">
        <f t="shared" si="18"/>
        <v>-7.1428571428571425E-2</v>
      </c>
      <c r="D1513" s="3072" t="s">
        <v>3251</v>
      </c>
      <c r="E1513" s="3072" t="s">
        <v>3234</v>
      </c>
      <c r="F1513" s="3072" t="s">
        <v>3235</v>
      </c>
      <c r="G1513" s="3464" t="s">
        <v>3872</v>
      </c>
      <c r="H1513" s="3465"/>
      <c r="I1513" s="3074">
        <v>2016</v>
      </c>
      <c r="J1513" s="3074">
        <v>2.1</v>
      </c>
    </row>
    <row r="1514" spans="1:10" ht="24.75" thickBot="1">
      <c r="A1514" s="3073">
        <v>11</v>
      </c>
      <c r="B1514" s="3074">
        <v>16</v>
      </c>
      <c r="C1514" s="3074">
        <f t="shared" si="18"/>
        <v>-7.1428571428571425E-2</v>
      </c>
      <c r="D1514" s="3072" t="s">
        <v>3252</v>
      </c>
      <c r="E1514" s="3072" t="s">
        <v>3234</v>
      </c>
      <c r="F1514" s="3072" t="s">
        <v>3235</v>
      </c>
      <c r="G1514" s="3464" t="s">
        <v>3873</v>
      </c>
      <c r="H1514" s="3465"/>
      <c r="I1514" s="3074">
        <v>2016</v>
      </c>
      <c r="J1514" s="3074">
        <v>2.16</v>
      </c>
    </row>
    <row r="1515" spans="1:10" ht="24.75" thickBot="1">
      <c r="A1515" s="3073">
        <v>12</v>
      </c>
      <c r="B1515" s="3074">
        <v>16</v>
      </c>
      <c r="C1515" s="3074">
        <f t="shared" si="18"/>
        <v>-7.1428571428571425E-2</v>
      </c>
      <c r="D1515" s="3072" t="s">
        <v>3254</v>
      </c>
      <c r="E1515" s="3072" t="s">
        <v>3234</v>
      </c>
      <c r="F1515" s="3072" t="s">
        <v>3235</v>
      </c>
      <c r="G1515" s="3464" t="s">
        <v>3873</v>
      </c>
      <c r="H1515" s="3465"/>
      <c r="I1515" s="3074">
        <v>2016</v>
      </c>
      <c r="J1515" s="3074">
        <v>2.16</v>
      </c>
    </row>
    <row r="1516" spans="1:10" ht="24.75" thickBot="1">
      <c r="A1516" s="3073">
        <v>13</v>
      </c>
      <c r="B1516" s="3074">
        <v>16</v>
      </c>
      <c r="C1516" s="3074">
        <f t="shared" si="18"/>
        <v>-7.1428571428571425E-2</v>
      </c>
      <c r="D1516" s="3072" t="s">
        <v>3255</v>
      </c>
      <c r="E1516" s="3072" t="s">
        <v>3234</v>
      </c>
      <c r="F1516" s="3072" t="s">
        <v>3235</v>
      </c>
      <c r="G1516" s="3464" t="s">
        <v>3873</v>
      </c>
      <c r="H1516" s="3465"/>
      <c r="I1516" s="3074">
        <v>2016</v>
      </c>
      <c r="J1516" s="3074">
        <v>2.16</v>
      </c>
    </row>
    <row r="1517" spans="1:10" ht="24.75" thickBot="1">
      <c r="A1517" s="3073">
        <v>14</v>
      </c>
      <c r="B1517" s="3074">
        <v>16</v>
      </c>
      <c r="C1517" s="3074">
        <f t="shared" si="18"/>
        <v>-7.1428571428571425E-2</v>
      </c>
      <c r="D1517" s="3072" t="s">
        <v>3257</v>
      </c>
      <c r="E1517" s="3072" t="s">
        <v>3234</v>
      </c>
      <c r="F1517" s="3072" t="s">
        <v>3235</v>
      </c>
      <c r="G1517" s="3464" t="s">
        <v>3874</v>
      </c>
      <c r="H1517" s="3465"/>
      <c r="I1517" s="3074">
        <v>2016</v>
      </c>
      <c r="J1517" s="3074">
        <v>3</v>
      </c>
    </row>
    <row r="1518" spans="1:10" ht="24.75" thickBot="1">
      <c r="A1518" s="3073">
        <v>15</v>
      </c>
      <c r="B1518" s="3074">
        <v>16</v>
      </c>
      <c r="C1518" s="3074">
        <f t="shared" si="18"/>
        <v>-7.1428571428571425E-2</v>
      </c>
      <c r="D1518" s="3072" t="s">
        <v>3259</v>
      </c>
      <c r="E1518" s="3072" t="s">
        <v>3234</v>
      </c>
      <c r="F1518" s="3072" t="s">
        <v>3235</v>
      </c>
      <c r="G1518" s="3464" t="s">
        <v>3875</v>
      </c>
      <c r="H1518" s="3465"/>
      <c r="I1518" s="3074">
        <v>2016</v>
      </c>
      <c r="J1518" s="3074">
        <v>2.4500000000000002</v>
      </c>
    </row>
    <row r="1519" spans="1:10" ht="24.75" thickBot="1">
      <c r="A1519" s="3073">
        <v>16</v>
      </c>
      <c r="B1519" s="3074">
        <v>16</v>
      </c>
      <c r="C1519" s="3074">
        <f t="shared" si="18"/>
        <v>-7.1428571428571425E-2</v>
      </c>
      <c r="D1519" s="3072" t="s">
        <v>3261</v>
      </c>
      <c r="E1519" s="3072" t="s">
        <v>3234</v>
      </c>
      <c r="F1519" s="3072" t="s">
        <v>3235</v>
      </c>
      <c r="G1519" s="3464" t="s">
        <v>3875</v>
      </c>
      <c r="H1519" s="3465"/>
      <c r="I1519" s="3074">
        <v>2016</v>
      </c>
      <c r="J1519" s="3074">
        <v>2.4500000000000002</v>
      </c>
    </row>
    <row r="1520" spans="1:10" ht="24.75" thickBot="1">
      <c r="A1520" s="3073">
        <v>17</v>
      </c>
      <c r="B1520" s="3074">
        <v>16</v>
      </c>
      <c r="C1520" s="3074">
        <f t="shared" si="18"/>
        <v>-7.1428571428571425E-2</v>
      </c>
      <c r="D1520" s="3072" t="s">
        <v>3263</v>
      </c>
      <c r="E1520" s="3072" t="s">
        <v>3234</v>
      </c>
      <c r="F1520" s="3072" t="s">
        <v>3235</v>
      </c>
      <c r="G1520" s="3087">
        <v>12</v>
      </c>
      <c r="H1520" s="3074">
        <v>13</v>
      </c>
      <c r="I1520" s="3074">
        <v>2016</v>
      </c>
      <c r="J1520" s="3074">
        <v>2.4500000000000002</v>
      </c>
    </row>
    <row r="1521" spans="1:10" ht="24.75" thickBot="1">
      <c r="A1521" s="3073">
        <v>18</v>
      </c>
      <c r="B1521" s="3074">
        <v>16</v>
      </c>
      <c r="C1521" s="3074">
        <f t="shared" si="18"/>
        <v>-7.1428571428571425E-2</v>
      </c>
      <c r="D1521" s="3072" t="s">
        <v>3265</v>
      </c>
      <c r="E1521" s="3072" t="s">
        <v>3234</v>
      </c>
      <c r="F1521" s="3072" t="s">
        <v>3235</v>
      </c>
      <c r="G1521" s="3464" t="s">
        <v>3875</v>
      </c>
      <c r="H1521" s="3465"/>
      <c r="I1521" s="3074">
        <v>2016</v>
      </c>
      <c r="J1521" s="3074">
        <v>2.4500000000000002</v>
      </c>
    </row>
    <row r="1522" spans="1:10" ht="24.75" thickBot="1">
      <c r="A1522" s="3073">
        <v>19</v>
      </c>
      <c r="B1522" s="3074">
        <v>16</v>
      </c>
      <c r="C1522" s="3074">
        <f t="shared" si="18"/>
        <v>-7.1428571428571425E-2</v>
      </c>
      <c r="D1522" s="3072" t="s">
        <v>3267</v>
      </c>
      <c r="E1522" s="3072" t="s">
        <v>3234</v>
      </c>
      <c r="F1522" s="3072" t="s">
        <v>3235</v>
      </c>
      <c r="G1522" s="3464" t="s">
        <v>3874</v>
      </c>
      <c r="H1522" s="3465"/>
      <c r="I1522" s="3074">
        <v>2016</v>
      </c>
      <c r="J1522" s="3074">
        <v>3</v>
      </c>
    </row>
    <row r="1523" spans="1:10" ht="24.75" thickBot="1">
      <c r="A1523" s="3073">
        <v>20</v>
      </c>
      <c r="B1523" s="3074">
        <v>16</v>
      </c>
      <c r="C1523" s="3074">
        <f t="shared" si="18"/>
        <v>-7.1428571428571425E-2</v>
      </c>
      <c r="D1523" s="3072" t="s">
        <v>3268</v>
      </c>
      <c r="E1523" s="3072" t="s">
        <v>3234</v>
      </c>
      <c r="F1523" s="3072" t="s">
        <v>3235</v>
      </c>
      <c r="G1523" s="3464" t="s">
        <v>3873</v>
      </c>
      <c r="H1523" s="3465"/>
      <c r="I1523" s="3074">
        <v>2016</v>
      </c>
      <c r="J1523" s="3074">
        <v>2.16</v>
      </c>
    </row>
    <row r="1524" spans="1:10" ht="24.75" thickBot="1">
      <c r="A1524" s="3073">
        <v>21</v>
      </c>
      <c r="B1524" s="3074">
        <v>16</v>
      </c>
      <c r="C1524" s="3074">
        <f t="shared" si="18"/>
        <v>-7.1428571428571425E-2</v>
      </c>
      <c r="D1524" s="3072" t="s">
        <v>3270</v>
      </c>
      <c r="E1524" s="3072" t="s">
        <v>3234</v>
      </c>
      <c r="F1524" s="3072" t="s">
        <v>3235</v>
      </c>
      <c r="G1524" s="3464" t="s">
        <v>3873</v>
      </c>
      <c r="H1524" s="3465"/>
      <c r="I1524" s="3074">
        <v>2016</v>
      </c>
      <c r="J1524" s="3074">
        <v>2.16</v>
      </c>
    </row>
    <row r="1525" spans="1:10" ht="24.75" thickBot="1">
      <c r="A1525" s="3073">
        <v>22</v>
      </c>
      <c r="B1525" s="3074">
        <v>16</v>
      </c>
      <c r="C1525" s="3074">
        <f t="shared" si="18"/>
        <v>-7.1428571428571425E-2</v>
      </c>
      <c r="D1525" s="3072" t="s">
        <v>3272</v>
      </c>
      <c r="E1525" s="3072" t="s">
        <v>3234</v>
      </c>
      <c r="F1525" s="3072" t="s">
        <v>3235</v>
      </c>
      <c r="G1525" s="3464" t="s">
        <v>3873</v>
      </c>
      <c r="H1525" s="3465"/>
      <c r="I1525" s="3074">
        <v>2016</v>
      </c>
      <c r="J1525" s="3074">
        <v>2.16</v>
      </c>
    </row>
    <row r="1526" spans="1:10" ht="24.75" thickBot="1">
      <c r="A1526" s="3073">
        <v>23</v>
      </c>
      <c r="B1526" s="3074">
        <v>16</v>
      </c>
      <c r="C1526" s="3074">
        <f t="shared" si="18"/>
        <v>-7.1428571428571425E-2</v>
      </c>
      <c r="D1526" s="3072" t="s">
        <v>3273</v>
      </c>
      <c r="E1526" s="3072" t="s">
        <v>3234</v>
      </c>
      <c r="F1526" s="3072" t="s">
        <v>3235</v>
      </c>
      <c r="G1526" s="3464" t="s">
        <v>3872</v>
      </c>
      <c r="H1526" s="3465"/>
      <c r="I1526" s="3074">
        <v>2016</v>
      </c>
      <c r="J1526" s="3074">
        <v>2.1</v>
      </c>
    </row>
    <row r="1527" spans="1:10" ht="24.75" thickBot="1">
      <c r="A1527" s="3073">
        <v>24</v>
      </c>
      <c r="B1527" s="3074">
        <v>16</v>
      </c>
      <c r="C1527" s="3074">
        <f t="shared" si="18"/>
        <v>-7.1428571428571425E-2</v>
      </c>
      <c r="D1527" s="3072" t="s">
        <v>3274</v>
      </c>
      <c r="E1527" s="3072" t="s">
        <v>3234</v>
      </c>
      <c r="F1527" s="3072" t="s">
        <v>3235</v>
      </c>
      <c r="G1527" s="3464" t="s">
        <v>3871</v>
      </c>
      <c r="H1527" s="3465"/>
      <c r="I1527" s="3074">
        <v>2016</v>
      </c>
      <c r="J1527" s="3074">
        <v>3.4</v>
      </c>
    </row>
    <row r="1528" spans="1:10" ht="24.75" thickBot="1">
      <c r="A1528" s="3073">
        <v>25</v>
      </c>
      <c r="B1528" s="3074">
        <v>16</v>
      </c>
      <c r="C1528" s="3074">
        <f t="shared" si="18"/>
        <v>-7.1428571428571425E-2</v>
      </c>
      <c r="D1528" s="3072" t="s">
        <v>3276</v>
      </c>
      <c r="E1528" s="3072" t="s">
        <v>3234</v>
      </c>
      <c r="F1528" s="3072" t="s">
        <v>3235</v>
      </c>
      <c r="G1528" s="3464" t="s">
        <v>3870</v>
      </c>
      <c r="H1528" s="3465"/>
      <c r="I1528" s="3074">
        <v>2016</v>
      </c>
      <c r="J1528" s="3074">
        <v>2.39</v>
      </c>
    </row>
    <row r="1529" spans="1:10" ht="24.75" thickBot="1">
      <c r="A1529" s="3073">
        <v>26</v>
      </c>
      <c r="B1529" s="3074">
        <v>16</v>
      </c>
      <c r="C1529" s="3074">
        <f t="shared" si="18"/>
        <v>-7.1428571428571425E-2</v>
      </c>
      <c r="D1529" s="3072" t="s">
        <v>3277</v>
      </c>
      <c r="E1529" s="3072" t="s">
        <v>3234</v>
      </c>
      <c r="F1529" s="3072" t="s">
        <v>3235</v>
      </c>
      <c r="G1529" s="3464">
        <v>9.66</v>
      </c>
      <c r="H1529" s="3465"/>
      <c r="I1529" s="3074">
        <v>2016</v>
      </c>
      <c r="J1529" s="3074">
        <v>1.95</v>
      </c>
    </row>
    <row r="1530" spans="1:10" ht="24.75" thickBot="1">
      <c r="A1530" s="3073">
        <v>27</v>
      </c>
      <c r="B1530" s="3074">
        <v>16</v>
      </c>
      <c r="C1530" s="3074">
        <f t="shared" si="18"/>
        <v>-7.1428571428571425E-2</v>
      </c>
      <c r="D1530" s="3072" t="s">
        <v>3278</v>
      </c>
      <c r="E1530" s="3072" t="s">
        <v>3234</v>
      </c>
      <c r="F1530" s="3072" t="s">
        <v>3235</v>
      </c>
      <c r="G1530" s="3464">
        <v>8.08</v>
      </c>
      <c r="H1530" s="3465"/>
      <c r="I1530" s="3074">
        <v>2016</v>
      </c>
      <c r="J1530" s="3074">
        <v>1.63</v>
      </c>
    </row>
    <row r="1531" spans="1:10" ht="24.75" thickBot="1">
      <c r="A1531" s="3073">
        <v>28</v>
      </c>
      <c r="B1531" s="3074">
        <v>16</v>
      </c>
      <c r="C1531" s="3074">
        <f t="shared" si="18"/>
        <v>-7.1428571428571425E-2</v>
      </c>
      <c r="D1531" s="3072" t="s">
        <v>3280</v>
      </c>
      <c r="E1531" s="3072" t="s">
        <v>3234</v>
      </c>
      <c r="F1531" s="3072" t="s">
        <v>3235</v>
      </c>
      <c r="G1531" s="3464" t="s">
        <v>3869</v>
      </c>
      <c r="H1531" s="3465"/>
      <c r="I1531" s="3074">
        <v>2016</v>
      </c>
      <c r="J1531" s="3074">
        <v>2.56</v>
      </c>
    </row>
    <row r="1532" spans="1:10" ht="24.75" thickBot="1">
      <c r="A1532" s="3073">
        <v>29</v>
      </c>
      <c r="B1532" s="3074">
        <v>16</v>
      </c>
      <c r="C1532" s="3074">
        <f t="shared" si="18"/>
        <v>-7.1428571428571425E-2</v>
      </c>
      <c r="D1532" s="3072" t="s">
        <v>3281</v>
      </c>
      <c r="E1532" s="3072" t="s">
        <v>3234</v>
      </c>
      <c r="F1532" s="3072" t="s">
        <v>3235</v>
      </c>
      <c r="G1532" s="3464" t="s">
        <v>3674</v>
      </c>
      <c r="H1532" s="3465"/>
      <c r="I1532" s="3074">
        <v>2016</v>
      </c>
      <c r="J1532" s="3074">
        <v>2.42</v>
      </c>
    </row>
    <row r="1533" spans="1:10" ht="24.75" thickBot="1">
      <c r="A1533" s="3073">
        <v>30</v>
      </c>
      <c r="B1533" s="3074">
        <v>16</v>
      </c>
      <c r="C1533" s="3074">
        <f t="shared" si="18"/>
        <v>-7.1428571428571425E-2</v>
      </c>
      <c r="D1533" s="3072" t="s">
        <v>3282</v>
      </c>
      <c r="E1533" s="3072" t="s">
        <v>3234</v>
      </c>
      <c r="F1533" s="3072" t="s">
        <v>3235</v>
      </c>
      <c r="G1533" s="3464" t="s">
        <v>3876</v>
      </c>
      <c r="H1533" s="3465"/>
      <c r="I1533" s="3074">
        <v>2016</v>
      </c>
      <c r="J1533" s="3074">
        <v>3.03</v>
      </c>
    </row>
    <row r="1534" spans="1:10" ht="24.75" thickBot="1">
      <c r="A1534" s="3073">
        <v>31</v>
      </c>
      <c r="B1534" s="3074">
        <v>16</v>
      </c>
      <c r="C1534" s="3074">
        <f t="shared" si="18"/>
        <v>-7.1428571428571425E-2</v>
      </c>
      <c r="D1534" s="3072" t="s">
        <v>3284</v>
      </c>
      <c r="E1534" s="3072" t="s">
        <v>3234</v>
      </c>
      <c r="F1534" s="3072" t="s">
        <v>3235</v>
      </c>
      <c r="G1534" s="3464" t="s">
        <v>3877</v>
      </c>
      <c r="H1534" s="3465"/>
      <c r="I1534" s="3074">
        <v>2016</v>
      </c>
      <c r="J1534" s="3074">
        <v>2.83</v>
      </c>
    </row>
    <row r="1535" spans="1:10" ht="24.75" thickBot="1">
      <c r="A1535" s="3073">
        <v>32</v>
      </c>
      <c r="B1535" s="3074">
        <v>16</v>
      </c>
      <c r="C1535" s="3074">
        <f t="shared" si="18"/>
        <v>-7.1428571428571425E-2</v>
      </c>
      <c r="D1535" s="3072" t="s">
        <v>3285</v>
      </c>
      <c r="E1535" s="3072" t="s">
        <v>3234</v>
      </c>
      <c r="F1535" s="3072" t="s">
        <v>3235</v>
      </c>
      <c r="G1535" s="3464" t="s">
        <v>3868</v>
      </c>
      <c r="H1535" s="3465"/>
      <c r="I1535" s="3074">
        <v>2016</v>
      </c>
      <c r="J1535" s="3074">
        <v>3.33</v>
      </c>
    </row>
    <row r="1536" spans="1:10" ht="24.75" thickBot="1">
      <c r="A1536" s="3073">
        <v>33</v>
      </c>
      <c r="B1536" s="3074">
        <v>16</v>
      </c>
      <c r="C1536" s="3074">
        <f t="shared" si="18"/>
        <v>-7.1428571428571425E-2</v>
      </c>
      <c r="D1536" s="3072" t="s">
        <v>3286</v>
      </c>
      <c r="E1536" s="3072" t="s">
        <v>3234</v>
      </c>
      <c r="F1536" s="3072" t="s">
        <v>3235</v>
      </c>
      <c r="G1536" s="3464" t="s">
        <v>3878</v>
      </c>
      <c r="H1536" s="3465"/>
      <c r="I1536" s="3074">
        <v>2016</v>
      </c>
      <c r="J1536" s="3074">
        <v>2.85</v>
      </c>
    </row>
    <row r="1537" spans="1:10" ht="24.75" thickBot="1">
      <c r="A1537" s="3073">
        <v>34</v>
      </c>
      <c r="B1537" s="3074">
        <v>16</v>
      </c>
      <c r="C1537" s="3074">
        <f t="shared" si="18"/>
        <v>-7.1428571428571425E-2</v>
      </c>
      <c r="D1537" s="3072" t="s">
        <v>3288</v>
      </c>
      <c r="E1537" s="3072" t="s">
        <v>3234</v>
      </c>
      <c r="F1537" s="3072" t="s">
        <v>3235</v>
      </c>
      <c r="G1537" s="3087">
        <v>13</v>
      </c>
      <c r="H1537" s="3074">
        <v>95</v>
      </c>
      <c r="I1537" s="3074">
        <v>2016</v>
      </c>
      <c r="J1537" s="3074">
        <v>2.81</v>
      </c>
    </row>
    <row r="1538" spans="1:10" ht="24.75" thickBot="1">
      <c r="A1538" s="3073">
        <v>35</v>
      </c>
      <c r="B1538" s="3074">
        <v>16</v>
      </c>
      <c r="C1538" s="3074">
        <f t="shared" si="18"/>
        <v>-7.1428571428571425E-2</v>
      </c>
      <c r="D1538" s="3072" t="s">
        <v>3289</v>
      </c>
      <c r="E1538" s="3072" t="s">
        <v>3234</v>
      </c>
      <c r="F1538" s="3072" t="s">
        <v>3235</v>
      </c>
      <c r="G1538" s="3464" t="s">
        <v>3879</v>
      </c>
      <c r="H1538" s="3465"/>
      <c r="I1538" s="3074">
        <v>2016</v>
      </c>
      <c r="J1538" s="3074">
        <v>2.04</v>
      </c>
    </row>
    <row r="1539" spans="1:10" ht="24.75" thickBot="1">
      <c r="A1539" s="3073">
        <v>36</v>
      </c>
      <c r="B1539" s="3074">
        <v>16</v>
      </c>
      <c r="C1539" s="3074">
        <f t="shared" si="18"/>
        <v>-7.1428571428571425E-2</v>
      </c>
      <c r="D1539" s="3072" t="s">
        <v>3290</v>
      </c>
      <c r="E1539" s="3072" t="s">
        <v>3234</v>
      </c>
      <c r="F1539" s="3072" t="s">
        <v>3235</v>
      </c>
      <c r="G1539" s="3464" t="s">
        <v>3880</v>
      </c>
      <c r="H1539" s="3465"/>
      <c r="I1539" s="3074">
        <v>2016</v>
      </c>
      <c r="J1539" s="3074">
        <v>2.04</v>
      </c>
    </row>
    <row r="1540" spans="1:10" ht="24.75" thickBot="1">
      <c r="A1540" s="3073">
        <v>37</v>
      </c>
      <c r="B1540" s="3074">
        <v>16</v>
      </c>
      <c r="C1540" s="3074">
        <f t="shared" si="18"/>
        <v>-7.1428571428571425E-2</v>
      </c>
      <c r="D1540" s="3072" t="s">
        <v>3291</v>
      </c>
      <c r="E1540" s="3072" t="s">
        <v>3234</v>
      </c>
      <c r="F1540" s="3072" t="s">
        <v>3235</v>
      </c>
      <c r="G1540" s="3464" t="s">
        <v>3881</v>
      </c>
      <c r="H1540" s="3465"/>
      <c r="I1540" s="3074">
        <v>2016</v>
      </c>
      <c r="J1540" s="3074">
        <v>2.97</v>
      </c>
    </row>
    <row r="1541" spans="1:10" ht="24.75" thickBot="1">
      <c r="A1541" s="3073">
        <v>38</v>
      </c>
      <c r="B1541" s="3074">
        <v>16</v>
      </c>
      <c r="C1541" s="3074">
        <f t="shared" ref="C1541:C1557" si="19">-2/28</f>
        <v>-7.1428571428571425E-2</v>
      </c>
      <c r="D1541" s="3072" t="s">
        <v>3292</v>
      </c>
      <c r="E1541" s="3072" t="s">
        <v>3234</v>
      </c>
      <c r="F1541" s="3072" t="s">
        <v>3235</v>
      </c>
      <c r="G1541" s="3464" t="s">
        <v>3881</v>
      </c>
      <c r="H1541" s="3465"/>
      <c r="I1541" s="3074">
        <v>2016</v>
      </c>
      <c r="J1541" s="3074">
        <v>2.97</v>
      </c>
    </row>
    <row r="1542" spans="1:10" ht="24.75" thickBot="1">
      <c r="A1542" s="3073">
        <v>39</v>
      </c>
      <c r="B1542" s="3074">
        <v>16</v>
      </c>
      <c r="C1542" s="3074">
        <f t="shared" si="19"/>
        <v>-7.1428571428571425E-2</v>
      </c>
      <c r="D1542" s="3072" t="s">
        <v>3293</v>
      </c>
      <c r="E1542" s="3072" t="s">
        <v>3234</v>
      </c>
      <c r="F1542" s="3072" t="s">
        <v>3235</v>
      </c>
      <c r="G1542" s="3464" t="s">
        <v>3881</v>
      </c>
      <c r="H1542" s="3465"/>
      <c r="I1542" s="3074">
        <v>2016</v>
      </c>
      <c r="J1542" s="3074">
        <v>2.97</v>
      </c>
    </row>
    <row r="1543" spans="1:10" ht="24.75" thickBot="1">
      <c r="A1543" s="3073">
        <v>40</v>
      </c>
      <c r="B1543" s="3074">
        <v>16</v>
      </c>
      <c r="C1543" s="3074">
        <f t="shared" si="19"/>
        <v>-7.1428571428571425E-2</v>
      </c>
      <c r="D1543" s="3072" t="s">
        <v>3295</v>
      </c>
      <c r="E1543" s="3072" t="s">
        <v>3234</v>
      </c>
      <c r="F1543" s="3072" t="s">
        <v>3235</v>
      </c>
      <c r="G1543" s="3464" t="s">
        <v>3882</v>
      </c>
      <c r="H1543" s="3465"/>
      <c r="I1543" s="3074">
        <v>2016</v>
      </c>
      <c r="J1543" s="3074">
        <v>2.87</v>
      </c>
    </row>
    <row r="1544" spans="1:10" ht="24.75" thickBot="1">
      <c r="A1544" s="3073">
        <v>41</v>
      </c>
      <c r="B1544" s="3074">
        <v>16</v>
      </c>
      <c r="C1544" s="3074">
        <f t="shared" si="19"/>
        <v>-7.1428571428571425E-2</v>
      </c>
      <c r="D1544" s="3072" t="s">
        <v>3296</v>
      </c>
      <c r="E1544" s="3072" t="s">
        <v>3234</v>
      </c>
      <c r="F1544" s="3072" t="s">
        <v>3235</v>
      </c>
      <c r="G1544" s="3464" t="s">
        <v>3883</v>
      </c>
      <c r="H1544" s="3465"/>
      <c r="I1544" s="3074">
        <v>2016</v>
      </c>
      <c r="J1544" s="3074">
        <v>2.86</v>
      </c>
    </row>
    <row r="1545" spans="1:10" ht="24.75" thickBot="1">
      <c r="A1545" s="3073">
        <v>42</v>
      </c>
      <c r="B1545" s="3074">
        <v>16</v>
      </c>
      <c r="C1545" s="3074">
        <f t="shared" si="19"/>
        <v>-7.1428571428571425E-2</v>
      </c>
      <c r="D1545" s="3072" t="s">
        <v>3297</v>
      </c>
      <c r="E1545" s="3072" t="s">
        <v>3234</v>
      </c>
      <c r="F1545" s="3072" t="s">
        <v>3235</v>
      </c>
      <c r="G1545" s="3464">
        <v>8.08</v>
      </c>
      <c r="H1545" s="3465"/>
      <c r="I1545" s="3074">
        <v>2016</v>
      </c>
      <c r="J1545" s="3074">
        <v>1.63</v>
      </c>
    </row>
    <row r="1546" spans="1:10" ht="24.75" thickBot="1">
      <c r="A1546" s="3073">
        <v>43</v>
      </c>
      <c r="B1546" s="3074">
        <v>16</v>
      </c>
      <c r="C1546" s="3074">
        <f t="shared" si="19"/>
        <v>-7.1428571428571425E-2</v>
      </c>
      <c r="D1546" s="3072" t="s">
        <v>3298</v>
      </c>
      <c r="E1546" s="3072" t="s">
        <v>3234</v>
      </c>
      <c r="F1546" s="3072" t="s">
        <v>3235</v>
      </c>
      <c r="G1546" s="3464" t="s">
        <v>3884</v>
      </c>
      <c r="H1546" s="3465"/>
      <c r="I1546" s="3074">
        <v>2016</v>
      </c>
      <c r="J1546" s="3074">
        <v>2.76</v>
      </c>
    </row>
    <row r="1547" spans="1:10" ht="24.75" thickBot="1">
      <c r="A1547" s="3073">
        <v>44</v>
      </c>
      <c r="B1547" s="3074">
        <v>16</v>
      </c>
      <c r="C1547" s="3074">
        <f t="shared" si="19"/>
        <v>-7.1428571428571425E-2</v>
      </c>
      <c r="D1547" s="3072" t="s">
        <v>3299</v>
      </c>
      <c r="E1547" s="3072" t="s">
        <v>3234</v>
      </c>
      <c r="F1547" s="3072" t="s">
        <v>3235</v>
      </c>
      <c r="G1547" s="3087">
        <v>13</v>
      </c>
      <c r="H1547" s="3074">
        <v>69</v>
      </c>
      <c r="I1547" s="3074">
        <v>2016</v>
      </c>
      <c r="J1547" s="3074">
        <v>2.76</v>
      </c>
    </row>
    <row r="1548" spans="1:10" ht="24.75" thickBot="1">
      <c r="A1548" s="3073">
        <v>45</v>
      </c>
      <c r="B1548" s="3074">
        <v>16</v>
      </c>
      <c r="C1548" s="3074">
        <f t="shared" si="19"/>
        <v>-7.1428571428571425E-2</v>
      </c>
      <c r="D1548" s="3072" t="s">
        <v>3300</v>
      </c>
      <c r="E1548" s="3072" t="s">
        <v>3234</v>
      </c>
      <c r="F1548" s="3072" t="s">
        <v>3235</v>
      </c>
      <c r="G1548" s="3464">
        <v>8.08</v>
      </c>
      <c r="H1548" s="3465"/>
      <c r="I1548" s="3074">
        <v>2016</v>
      </c>
      <c r="J1548" s="3074">
        <v>1.63</v>
      </c>
    </row>
    <row r="1549" spans="1:10" ht="24.75" thickBot="1">
      <c r="A1549" s="3073">
        <v>46</v>
      </c>
      <c r="B1549" s="3074">
        <v>16</v>
      </c>
      <c r="C1549" s="3074">
        <f t="shared" si="19"/>
        <v>-7.1428571428571425E-2</v>
      </c>
      <c r="D1549" s="3072" t="s">
        <v>3301</v>
      </c>
      <c r="E1549" s="3072" t="s">
        <v>3234</v>
      </c>
      <c r="F1549" s="3072" t="s">
        <v>3235</v>
      </c>
      <c r="G1549" s="3464" t="s">
        <v>3883</v>
      </c>
      <c r="H1549" s="3465"/>
      <c r="I1549" s="3074">
        <v>2016</v>
      </c>
      <c r="J1549" s="3074">
        <v>2.86</v>
      </c>
    </row>
    <row r="1550" spans="1:10" ht="24.75" thickBot="1">
      <c r="A1550" s="3073">
        <v>47</v>
      </c>
      <c r="B1550" s="3074">
        <v>16</v>
      </c>
      <c r="C1550" s="3074">
        <f t="shared" si="19"/>
        <v>-7.1428571428571425E-2</v>
      </c>
      <c r="D1550" s="3072" t="s">
        <v>3302</v>
      </c>
      <c r="E1550" s="3072" t="s">
        <v>3234</v>
      </c>
      <c r="F1550" s="3072" t="s">
        <v>3235</v>
      </c>
      <c r="G1550" s="3464" t="s">
        <v>3882</v>
      </c>
      <c r="H1550" s="3465"/>
      <c r="I1550" s="3074">
        <v>2016</v>
      </c>
      <c r="J1550" s="3074">
        <v>2.87</v>
      </c>
    </row>
    <row r="1551" spans="1:10" ht="24.75" thickBot="1">
      <c r="A1551" s="3073">
        <v>48</v>
      </c>
      <c r="B1551" s="3074">
        <v>16</v>
      </c>
      <c r="C1551" s="3074">
        <f t="shared" si="19"/>
        <v>-7.1428571428571425E-2</v>
      </c>
      <c r="D1551" s="3072" t="s">
        <v>3303</v>
      </c>
      <c r="E1551" s="3072" t="s">
        <v>3234</v>
      </c>
      <c r="F1551" s="3072" t="s">
        <v>3235</v>
      </c>
      <c r="G1551" s="3464" t="s">
        <v>3881</v>
      </c>
      <c r="H1551" s="3465"/>
      <c r="I1551" s="3074">
        <v>2016</v>
      </c>
      <c r="J1551" s="3074">
        <v>2.97</v>
      </c>
    </row>
    <row r="1552" spans="1:10" ht="24.75" thickBot="1">
      <c r="A1552" s="3073">
        <v>49</v>
      </c>
      <c r="B1552" s="3074">
        <v>16</v>
      </c>
      <c r="C1552" s="3074">
        <f t="shared" si="19"/>
        <v>-7.1428571428571425E-2</v>
      </c>
      <c r="D1552" s="3072" t="s">
        <v>3304</v>
      </c>
      <c r="E1552" s="3072" t="s">
        <v>3234</v>
      </c>
      <c r="F1552" s="3072" t="s">
        <v>3235</v>
      </c>
      <c r="G1552" s="3464" t="s">
        <v>3881</v>
      </c>
      <c r="H1552" s="3465"/>
      <c r="I1552" s="3074">
        <v>2016</v>
      </c>
      <c r="J1552" s="3074">
        <v>2.97</v>
      </c>
    </row>
    <row r="1553" spans="1:10" ht="24.75" thickBot="1">
      <c r="A1553" s="3073">
        <v>50</v>
      </c>
      <c r="B1553" s="3074">
        <v>16</v>
      </c>
      <c r="C1553" s="3074">
        <f t="shared" si="19"/>
        <v>-7.1428571428571425E-2</v>
      </c>
      <c r="D1553" s="3072" t="s">
        <v>3305</v>
      </c>
      <c r="E1553" s="3072" t="s">
        <v>3234</v>
      </c>
      <c r="F1553" s="3072" t="s">
        <v>3235</v>
      </c>
      <c r="G1553" s="3464" t="s">
        <v>3881</v>
      </c>
      <c r="H1553" s="3465"/>
      <c r="I1553" s="3074">
        <v>2016</v>
      </c>
      <c r="J1553" s="3074">
        <v>2.97</v>
      </c>
    </row>
    <row r="1554" spans="1:10" ht="24.75" thickBot="1">
      <c r="A1554" s="3073">
        <v>51</v>
      </c>
      <c r="B1554" s="3074">
        <v>16</v>
      </c>
      <c r="C1554" s="3074">
        <f t="shared" si="19"/>
        <v>-7.1428571428571425E-2</v>
      </c>
      <c r="D1554" s="3072" t="s">
        <v>3306</v>
      </c>
      <c r="E1554" s="3072" t="s">
        <v>3234</v>
      </c>
      <c r="F1554" s="3072" t="s">
        <v>3235</v>
      </c>
      <c r="G1554" s="3087">
        <v>10</v>
      </c>
      <c r="H1554" s="3074">
        <v>14</v>
      </c>
      <c r="I1554" s="3074">
        <v>2016</v>
      </c>
      <c r="J1554" s="3074">
        <v>2.04</v>
      </c>
    </row>
    <row r="1555" spans="1:10" ht="24.75" thickBot="1">
      <c r="A1555" s="3073">
        <v>52</v>
      </c>
      <c r="B1555" s="3074">
        <v>16</v>
      </c>
      <c r="C1555" s="3074">
        <f t="shared" si="19"/>
        <v>-7.1428571428571425E-2</v>
      </c>
      <c r="D1555" s="3072" t="s">
        <v>3307</v>
      </c>
      <c r="E1555" s="3072" t="s">
        <v>3234</v>
      </c>
      <c r="F1555" s="3072" t="s">
        <v>3235</v>
      </c>
      <c r="G1555" s="3464" t="s">
        <v>3879</v>
      </c>
      <c r="H1555" s="3465"/>
      <c r="I1555" s="3074">
        <v>2016</v>
      </c>
      <c r="J1555" s="3074">
        <v>2.04</v>
      </c>
    </row>
    <row r="1556" spans="1:10" ht="24.75" thickBot="1">
      <c r="A1556" s="3073">
        <v>53</v>
      </c>
      <c r="B1556" s="3074">
        <v>16</v>
      </c>
      <c r="C1556" s="3074">
        <f t="shared" si="19"/>
        <v>-7.1428571428571425E-2</v>
      </c>
      <c r="D1556" s="3072" t="s">
        <v>3308</v>
      </c>
      <c r="E1556" s="3072" t="s">
        <v>3234</v>
      </c>
      <c r="F1556" s="3072" t="s">
        <v>3235</v>
      </c>
      <c r="G1556" s="3464" t="s">
        <v>3885</v>
      </c>
      <c r="H1556" s="3465"/>
      <c r="I1556" s="3074">
        <v>2016</v>
      </c>
      <c r="J1556" s="3074">
        <v>2.81</v>
      </c>
    </row>
    <row r="1557" spans="1:10" ht="24.75" thickBot="1">
      <c r="A1557" s="3073">
        <v>54</v>
      </c>
      <c r="B1557" s="3074">
        <v>16</v>
      </c>
      <c r="C1557" s="3074">
        <f t="shared" si="19"/>
        <v>-7.1428571428571425E-2</v>
      </c>
      <c r="D1557" s="3072" t="s">
        <v>3309</v>
      </c>
      <c r="E1557" s="3072" t="s">
        <v>3234</v>
      </c>
      <c r="F1557" s="3072" t="s">
        <v>3235</v>
      </c>
      <c r="G1557" s="3464" t="s">
        <v>3878</v>
      </c>
      <c r="H1557" s="3465"/>
      <c r="I1557" s="3074">
        <v>2016</v>
      </c>
      <c r="J1557" s="3074">
        <v>2.85</v>
      </c>
    </row>
    <row r="1558" spans="1:10" ht="24.75" thickBot="1">
      <c r="A1558" s="3073">
        <v>55</v>
      </c>
      <c r="B1558" s="3074">
        <v>16</v>
      </c>
      <c r="C1558" s="3074">
        <f t="shared" ref="C1558:C1563" si="20">-1/28</f>
        <v>-3.5714285714285712E-2</v>
      </c>
      <c r="D1558" s="3072" t="s">
        <v>3314</v>
      </c>
      <c r="E1558" s="3072" t="s">
        <v>3234</v>
      </c>
      <c r="F1558" s="3072" t="s">
        <v>3235</v>
      </c>
      <c r="G1558" s="3464" t="s">
        <v>3868</v>
      </c>
      <c r="H1558" s="3465"/>
      <c r="I1558" s="3074">
        <v>2016</v>
      </c>
      <c r="J1558" s="3074">
        <v>3.33</v>
      </c>
    </row>
    <row r="1559" spans="1:10" ht="24.75" thickBot="1">
      <c r="A1559" s="3073">
        <v>56</v>
      </c>
      <c r="B1559" s="3074">
        <v>16</v>
      </c>
      <c r="C1559" s="3074">
        <f t="shared" si="20"/>
        <v>-3.5714285714285712E-2</v>
      </c>
      <c r="D1559" s="3072" t="s">
        <v>3315</v>
      </c>
      <c r="E1559" s="3072" t="s">
        <v>3234</v>
      </c>
      <c r="F1559" s="3072" t="s">
        <v>3235</v>
      </c>
      <c r="G1559" s="3464" t="s">
        <v>3877</v>
      </c>
      <c r="H1559" s="3465"/>
      <c r="I1559" s="3074">
        <v>2016</v>
      </c>
      <c r="J1559" s="3074">
        <v>2.83</v>
      </c>
    </row>
    <row r="1560" spans="1:10" ht="24.75" thickBot="1">
      <c r="A1560" s="3073">
        <v>57</v>
      </c>
      <c r="B1560" s="3074">
        <v>16</v>
      </c>
      <c r="C1560" s="3074">
        <f t="shared" si="20"/>
        <v>-3.5714285714285712E-2</v>
      </c>
      <c r="D1560" s="3072" t="s">
        <v>3316</v>
      </c>
      <c r="E1560" s="3072" t="s">
        <v>3234</v>
      </c>
      <c r="F1560" s="3072" t="s">
        <v>3235</v>
      </c>
      <c r="G1560" s="3464" t="s">
        <v>3876</v>
      </c>
      <c r="H1560" s="3465"/>
      <c r="I1560" s="3074">
        <v>2016</v>
      </c>
      <c r="J1560" s="3074">
        <v>3.03</v>
      </c>
    </row>
    <row r="1561" spans="1:10" ht="24.75" thickBot="1">
      <c r="A1561" s="3073">
        <v>58</v>
      </c>
      <c r="B1561" s="3074">
        <v>16</v>
      </c>
      <c r="C1561" s="3074">
        <f t="shared" si="20"/>
        <v>-3.5714285714285712E-2</v>
      </c>
      <c r="D1561" s="3072" t="s">
        <v>3317</v>
      </c>
      <c r="E1561" s="3072" t="s">
        <v>3234</v>
      </c>
      <c r="F1561" s="3072" t="s">
        <v>3235</v>
      </c>
      <c r="G1561" s="3464" t="s">
        <v>3674</v>
      </c>
      <c r="H1561" s="3465"/>
      <c r="I1561" s="3074">
        <v>2016</v>
      </c>
      <c r="J1561" s="3074">
        <v>2.42</v>
      </c>
    </row>
    <row r="1562" spans="1:10" ht="24.75" thickBot="1">
      <c r="A1562" s="3073">
        <v>59</v>
      </c>
      <c r="B1562" s="3074">
        <v>16</v>
      </c>
      <c r="C1562" s="3074">
        <f t="shared" si="20"/>
        <v>-3.5714285714285712E-2</v>
      </c>
      <c r="D1562" s="3072" t="s">
        <v>3318</v>
      </c>
      <c r="E1562" s="3072" t="s">
        <v>3234</v>
      </c>
      <c r="F1562" s="3072" t="s">
        <v>3235</v>
      </c>
      <c r="G1562" s="3464" t="s">
        <v>3869</v>
      </c>
      <c r="H1562" s="3465"/>
      <c r="I1562" s="3074">
        <v>2016</v>
      </c>
      <c r="J1562" s="3074">
        <v>2.56</v>
      </c>
    </row>
    <row r="1563" spans="1:10" ht="24.75" thickBot="1">
      <c r="A1563" s="3073">
        <v>60</v>
      </c>
      <c r="B1563" s="3074">
        <v>16</v>
      </c>
      <c r="C1563" s="3074">
        <f t="shared" si="20"/>
        <v>-3.5714285714285712E-2</v>
      </c>
      <c r="D1563" s="3072" t="s">
        <v>3319</v>
      </c>
      <c r="E1563" s="3072" t="s">
        <v>3234</v>
      </c>
      <c r="F1563" s="3072" t="s">
        <v>3235</v>
      </c>
      <c r="G1563" s="3464">
        <v>8.08</v>
      </c>
      <c r="H1563" s="3465"/>
      <c r="I1563" s="3074">
        <v>2016</v>
      </c>
      <c r="J1563" s="3074">
        <v>1.63</v>
      </c>
    </row>
    <row r="1564" spans="1:10">
      <c r="A1564" s="3070"/>
    </row>
    <row r="1566" spans="1:10" ht="14.25" thickBot="1">
      <c r="A1566" s="3078"/>
    </row>
    <row r="1567" spans="1:10">
      <c r="A1567" s="3458" t="s">
        <v>3223</v>
      </c>
      <c r="B1567" s="3458" t="s">
        <v>3224</v>
      </c>
      <c r="C1567" s="3071" t="s">
        <v>3225</v>
      </c>
      <c r="D1567" s="3458" t="s">
        <v>3227</v>
      </c>
      <c r="E1567" s="3458" t="s">
        <v>1341</v>
      </c>
      <c r="F1567" s="3458" t="s">
        <v>3228</v>
      </c>
      <c r="G1567" s="3460" t="s">
        <v>3229</v>
      </c>
      <c r="H1567" s="3461"/>
      <c r="I1567" s="3458" t="s">
        <v>3231</v>
      </c>
      <c r="J1567" s="3458" t="s">
        <v>3232</v>
      </c>
    </row>
    <row r="1568" spans="1:10" ht="14.25" thickBot="1">
      <c r="A1568" s="3459"/>
      <c r="B1568" s="3459"/>
      <c r="C1568" s="3072" t="s">
        <v>3226</v>
      </c>
      <c r="D1568" s="3459"/>
      <c r="E1568" s="3459"/>
      <c r="F1568" s="3459"/>
      <c r="G1568" s="3462" t="s">
        <v>3230</v>
      </c>
      <c r="H1568" s="3463"/>
      <c r="I1568" s="3459"/>
      <c r="J1568" s="3459"/>
    </row>
    <row r="1569" spans="1:10" ht="24.75" thickBot="1">
      <c r="A1569" s="3073">
        <v>61</v>
      </c>
      <c r="B1569" s="3074">
        <v>16</v>
      </c>
      <c r="C1569" s="3074">
        <f t="shared" ref="C1569:C1614" si="21">-1/28</f>
        <v>-3.5714285714285712E-2</v>
      </c>
      <c r="D1569" s="3072" t="s">
        <v>3320</v>
      </c>
      <c r="E1569" s="3072" t="s">
        <v>3234</v>
      </c>
      <c r="F1569" s="3072" t="s">
        <v>3235</v>
      </c>
      <c r="G1569" s="3464" t="s">
        <v>3871</v>
      </c>
      <c r="H1569" s="3465"/>
      <c r="I1569" s="3074">
        <v>2016</v>
      </c>
      <c r="J1569" s="3074">
        <v>3.4</v>
      </c>
    </row>
    <row r="1570" spans="1:10" ht="24.75" thickBot="1">
      <c r="A1570" s="3073">
        <v>62</v>
      </c>
      <c r="B1570" s="3074">
        <v>16</v>
      </c>
      <c r="C1570" s="3074">
        <f t="shared" si="21"/>
        <v>-3.5714285714285712E-2</v>
      </c>
      <c r="D1570" s="3072" t="s">
        <v>3321</v>
      </c>
      <c r="E1570" s="3072" t="s">
        <v>3234</v>
      </c>
      <c r="F1570" s="3072" t="s">
        <v>3235</v>
      </c>
      <c r="G1570" s="3087">
        <v>10</v>
      </c>
      <c r="H1570" s="3074">
        <v>44</v>
      </c>
      <c r="I1570" s="3074">
        <v>2016</v>
      </c>
      <c r="J1570" s="3074">
        <v>2.1</v>
      </c>
    </row>
    <row r="1571" spans="1:10" ht="24.75" thickBot="1">
      <c r="A1571" s="3073">
        <v>63</v>
      </c>
      <c r="B1571" s="3074">
        <v>16</v>
      </c>
      <c r="C1571" s="3074">
        <f t="shared" si="21"/>
        <v>-3.5714285714285712E-2</v>
      </c>
      <c r="D1571" s="3072" t="s">
        <v>3322</v>
      </c>
      <c r="E1571" s="3072" t="s">
        <v>3234</v>
      </c>
      <c r="F1571" s="3072" t="s">
        <v>3235</v>
      </c>
      <c r="G1571" s="3464" t="s">
        <v>3873</v>
      </c>
      <c r="H1571" s="3465"/>
      <c r="I1571" s="3074">
        <v>2016</v>
      </c>
      <c r="J1571" s="3074">
        <v>2.16</v>
      </c>
    </row>
    <row r="1572" spans="1:10" ht="24.75" thickBot="1">
      <c r="A1572" s="3073">
        <v>64</v>
      </c>
      <c r="B1572" s="3074">
        <v>16</v>
      </c>
      <c r="C1572" s="3074">
        <f t="shared" si="21"/>
        <v>-3.5714285714285712E-2</v>
      </c>
      <c r="D1572" s="3072" t="s">
        <v>3323</v>
      </c>
      <c r="E1572" s="3072" t="s">
        <v>3234</v>
      </c>
      <c r="F1572" s="3072" t="s">
        <v>3235</v>
      </c>
      <c r="G1572" s="3464" t="s">
        <v>3873</v>
      </c>
      <c r="H1572" s="3465"/>
      <c r="I1572" s="3074">
        <v>2016</v>
      </c>
      <c r="J1572" s="3074">
        <v>2.16</v>
      </c>
    </row>
    <row r="1573" spans="1:10" ht="24.75" thickBot="1">
      <c r="A1573" s="3073">
        <v>65</v>
      </c>
      <c r="B1573" s="3074">
        <v>16</v>
      </c>
      <c r="C1573" s="3074">
        <f t="shared" si="21"/>
        <v>-3.5714285714285712E-2</v>
      </c>
      <c r="D1573" s="3072" t="s">
        <v>3325</v>
      </c>
      <c r="E1573" s="3072" t="s">
        <v>3234</v>
      </c>
      <c r="F1573" s="3072" t="s">
        <v>3235</v>
      </c>
      <c r="G1573" s="3464" t="s">
        <v>3873</v>
      </c>
      <c r="H1573" s="3465"/>
      <c r="I1573" s="3074">
        <v>2016</v>
      </c>
      <c r="J1573" s="3074">
        <v>2.16</v>
      </c>
    </row>
    <row r="1574" spans="1:10" ht="24.75" thickBot="1">
      <c r="A1574" s="3073">
        <v>66</v>
      </c>
      <c r="B1574" s="3074">
        <v>16</v>
      </c>
      <c r="C1574" s="3074">
        <f t="shared" si="21"/>
        <v>-3.5714285714285712E-2</v>
      </c>
      <c r="D1574" s="3072" t="s">
        <v>3326</v>
      </c>
      <c r="E1574" s="3072" t="s">
        <v>3234</v>
      </c>
      <c r="F1574" s="3072" t="s">
        <v>3235</v>
      </c>
      <c r="G1574" s="3464" t="s">
        <v>3874</v>
      </c>
      <c r="H1574" s="3465"/>
      <c r="I1574" s="3074">
        <v>2016</v>
      </c>
      <c r="J1574" s="3074">
        <v>3</v>
      </c>
    </row>
    <row r="1575" spans="1:10" ht="24.75" thickBot="1">
      <c r="A1575" s="3073">
        <v>67</v>
      </c>
      <c r="B1575" s="3074">
        <v>16</v>
      </c>
      <c r="C1575" s="3074">
        <f t="shared" si="21"/>
        <v>-3.5714285714285712E-2</v>
      </c>
      <c r="D1575" s="3072" t="s">
        <v>3327</v>
      </c>
      <c r="E1575" s="3072" t="s">
        <v>3234</v>
      </c>
      <c r="F1575" s="3072" t="s">
        <v>3235</v>
      </c>
      <c r="G1575" s="3464" t="s">
        <v>3875</v>
      </c>
      <c r="H1575" s="3465"/>
      <c r="I1575" s="3074">
        <v>2016</v>
      </c>
      <c r="J1575" s="3074">
        <v>2.4500000000000002</v>
      </c>
    </row>
    <row r="1576" spans="1:10" ht="24.75" thickBot="1">
      <c r="A1576" s="3073">
        <v>68</v>
      </c>
      <c r="B1576" s="3074">
        <v>16</v>
      </c>
      <c r="C1576" s="3074">
        <f t="shared" si="21"/>
        <v>-3.5714285714285712E-2</v>
      </c>
      <c r="D1576" s="3072" t="s">
        <v>3328</v>
      </c>
      <c r="E1576" s="3072" t="s">
        <v>3234</v>
      </c>
      <c r="F1576" s="3072" t="s">
        <v>3235</v>
      </c>
      <c r="G1576" s="3464" t="s">
        <v>3875</v>
      </c>
      <c r="H1576" s="3465"/>
      <c r="I1576" s="3074">
        <v>2016</v>
      </c>
      <c r="J1576" s="3074">
        <v>2.4500000000000002</v>
      </c>
    </row>
    <row r="1577" spans="1:10" ht="24.75" thickBot="1">
      <c r="A1577" s="3073">
        <v>69</v>
      </c>
      <c r="B1577" s="3074">
        <v>16</v>
      </c>
      <c r="C1577" s="3074">
        <f t="shared" si="21"/>
        <v>-3.5714285714285712E-2</v>
      </c>
      <c r="D1577" s="3072" t="s">
        <v>3329</v>
      </c>
      <c r="E1577" s="3072" t="s">
        <v>3234</v>
      </c>
      <c r="F1577" s="3072" t="s">
        <v>3235</v>
      </c>
      <c r="G1577" s="3464" t="s">
        <v>3875</v>
      </c>
      <c r="H1577" s="3465"/>
      <c r="I1577" s="3074">
        <v>2016</v>
      </c>
      <c r="J1577" s="3074">
        <v>2.4500000000000002</v>
      </c>
    </row>
    <row r="1578" spans="1:10" ht="24.75" thickBot="1">
      <c r="A1578" s="3073">
        <v>70</v>
      </c>
      <c r="B1578" s="3074">
        <v>16</v>
      </c>
      <c r="C1578" s="3074">
        <f t="shared" si="21"/>
        <v>-3.5714285714285712E-2</v>
      </c>
      <c r="D1578" s="3072" t="s">
        <v>3330</v>
      </c>
      <c r="E1578" s="3072" t="s">
        <v>3234</v>
      </c>
      <c r="F1578" s="3072" t="s">
        <v>3235</v>
      </c>
      <c r="G1578" s="3464" t="s">
        <v>3875</v>
      </c>
      <c r="H1578" s="3465"/>
      <c r="I1578" s="3074">
        <v>2016</v>
      </c>
      <c r="J1578" s="3074">
        <v>2.4500000000000002</v>
      </c>
    </row>
    <row r="1579" spans="1:10" ht="24.75" thickBot="1">
      <c r="A1579" s="3073">
        <v>71</v>
      </c>
      <c r="B1579" s="3074">
        <v>16</v>
      </c>
      <c r="C1579" s="3074">
        <f t="shared" si="21"/>
        <v>-3.5714285714285712E-2</v>
      </c>
      <c r="D1579" s="3072" t="s">
        <v>3331</v>
      </c>
      <c r="E1579" s="3072" t="s">
        <v>3234</v>
      </c>
      <c r="F1579" s="3072" t="s">
        <v>3235</v>
      </c>
      <c r="G1579" s="3464" t="s">
        <v>3874</v>
      </c>
      <c r="H1579" s="3465"/>
      <c r="I1579" s="3074">
        <v>2016</v>
      </c>
      <c r="J1579" s="3074">
        <v>3</v>
      </c>
    </row>
    <row r="1580" spans="1:10" ht="24.75" thickBot="1">
      <c r="A1580" s="3073">
        <v>72</v>
      </c>
      <c r="B1580" s="3074">
        <v>16</v>
      </c>
      <c r="C1580" s="3074">
        <f t="shared" si="21"/>
        <v>-3.5714285714285712E-2</v>
      </c>
      <c r="D1580" s="3072" t="s">
        <v>3332</v>
      </c>
      <c r="E1580" s="3072" t="s">
        <v>3234</v>
      </c>
      <c r="F1580" s="3072" t="s">
        <v>3235</v>
      </c>
      <c r="G1580" s="3087">
        <v>10</v>
      </c>
      <c r="H1580" s="3074">
        <v>70</v>
      </c>
      <c r="I1580" s="3074">
        <v>2016</v>
      </c>
      <c r="J1580" s="3074">
        <v>2.16</v>
      </c>
    </row>
    <row r="1581" spans="1:10" ht="24.75" thickBot="1">
      <c r="A1581" s="3073">
        <v>73</v>
      </c>
      <c r="B1581" s="3074">
        <v>16</v>
      </c>
      <c r="C1581" s="3074">
        <f t="shared" si="21"/>
        <v>-3.5714285714285712E-2</v>
      </c>
      <c r="D1581" s="3072" t="s">
        <v>3334</v>
      </c>
      <c r="E1581" s="3072" t="s">
        <v>3234</v>
      </c>
      <c r="F1581" s="3072" t="s">
        <v>3235</v>
      </c>
      <c r="G1581" s="3464" t="s">
        <v>3873</v>
      </c>
      <c r="H1581" s="3465"/>
      <c r="I1581" s="3074">
        <v>2016</v>
      </c>
      <c r="J1581" s="3074">
        <v>2.16</v>
      </c>
    </row>
    <row r="1582" spans="1:10" ht="24.75" thickBot="1">
      <c r="A1582" s="3073">
        <v>74</v>
      </c>
      <c r="B1582" s="3074">
        <v>16</v>
      </c>
      <c r="C1582" s="3074">
        <f t="shared" si="21"/>
        <v>-3.5714285714285712E-2</v>
      </c>
      <c r="D1582" s="3072" t="s">
        <v>3335</v>
      </c>
      <c r="E1582" s="3072" t="s">
        <v>3234</v>
      </c>
      <c r="F1582" s="3072" t="s">
        <v>3235</v>
      </c>
      <c r="G1582" s="3464" t="s">
        <v>3873</v>
      </c>
      <c r="H1582" s="3465"/>
      <c r="I1582" s="3074">
        <v>2016</v>
      </c>
      <c r="J1582" s="3074">
        <v>2.16</v>
      </c>
    </row>
    <row r="1583" spans="1:10" ht="24.75" thickBot="1">
      <c r="A1583" s="3073">
        <v>75</v>
      </c>
      <c r="B1583" s="3074">
        <v>16</v>
      </c>
      <c r="C1583" s="3074">
        <f t="shared" si="21"/>
        <v>-3.5714285714285712E-2</v>
      </c>
      <c r="D1583" s="3072" t="s">
        <v>3336</v>
      </c>
      <c r="E1583" s="3072" t="s">
        <v>3234</v>
      </c>
      <c r="F1583" s="3072" t="s">
        <v>3235</v>
      </c>
      <c r="G1583" s="3464" t="s">
        <v>3872</v>
      </c>
      <c r="H1583" s="3465"/>
      <c r="I1583" s="3074">
        <v>2016</v>
      </c>
      <c r="J1583" s="3074">
        <v>2.1</v>
      </c>
    </row>
    <row r="1584" spans="1:10" ht="24.75" thickBot="1">
      <c r="A1584" s="3073">
        <v>76</v>
      </c>
      <c r="B1584" s="3074">
        <v>16</v>
      </c>
      <c r="C1584" s="3074">
        <f t="shared" si="21"/>
        <v>-3.5714285714285712E-2</v>
      </c>
      <c r="D1584" s="3072" t="s">
        <v>3337</v>
      </c>
      <c r="E1584" s="3072" t="s">
        <v>3234</v>
      </c>
      <c r="F1584" s="3072" t="s">
        <v>3235</v>
      </c>
      <c r="G1584" s="3464" t="s">
        <v>3871</v>
      </c>
      <c r="H1584" s="3465"/>
      <c r="I1584" s="3074">
        <v>2016</v>
      </c>
      <c r="J1584" s="3074">
        <v>3.4</v>
      </c>
    </row>
    <row r="1585" spans="1:10" ht="24.75" thickBot="1">
      <c r="A1585" s="3073">
        <v>77</v>
      </c>
      <c r="B1585" s="3074">
        <v>16</v>
      </c>
      <c r="C1585" s="3074">
        <f t="shared" si="21"/>
        <v>-3.5714285714285712E-2</v>
      </c>
      <c r="D1585" s="3072" t="s">
        <v>3339</v>
      </c>
      <c r="E1585" s="3072" t="s">
        <v>3234</v>
      </c>
      <c r="F1585" s="3072" t="s">
        <v>3235</v>
      </c>
      <c r="G1585" s="3464">
        <v>8.08</v>
      </c>
      <c r="H1585" s="3465"/>
      <c r="I1585" s="3074">
        <v>2016</v>
      </c>
      <c r="J1585" s="3074">
        <v>1.63</v>
      </c>
    </row>
    <row r="1586" spans="1:10" ht="24.75" thickBot="1">
      <c r="A1586" s="3073">
        <v>78</v>
      </c>
      <c r="B1586" s="3074">
        <v>16</v>
      </c>
      <c r="C1586" s="3074">
        <f t="shared" si="21"/>
        <v>-3.5714285714285712E-2</v>
      </c>
      <c r="D1586" s="3072" t="s">
        <v>3340</v>
      </c>
      <c r="E1586" s="3072" t="s">
        <v>3234</v>
      </c>
      <c r="F1586" s="3072" t="s">
        <v>3235</v>
      </c>
      <c r="G1586" s="3464" t="s">
        <v>3876</v>
      </c>
      <c r="H1586" s="3465"/>
      <c r="I1586" s="3074">
        <v>2016</v>
      </c>
      <c r="J1586" s="3074">
        <v>3.03</v>
      </c>
    </row>
    <row r="1587" spans="1:10" ht="24.75" thickBot="1">
      <c r="A1587" s="3073">
        <v>79</v>
      </c>
      <c r="B1587" s="3074">
        <v>16</v>
      </c>
      <c r="C1587" s="3074">
        <f t="shared" si="21"/>
        <v>-3.5714285714285712E-2</v>
      </c>
      <c r="D1587" s="3072" t="s">
        <v>3341</v>
      </c>
      <c r="E1587" s="3072" t="s">
        <v>3234</v>
      </c>
      <c r="F1587" s="3072" t="s">
        <v>3235</v>
      </c>
      <c r="G1587" s="3464" t="s">
        <v>3674</v>
      </c>
      <c r="H1587" s="3465"/>
      <c r="I1587" s="3074">
        <v>2016</v>
      </c>
      <c r="J1587" s="3074">
        <v>2.42</v>
      </c>
    </row>
    <row r="1588" spans="1:10" ht="24.75" thickBot="1">
      <c r="A1588" s="3073">
        <v>80</v>
      </c>
      <c r="B1588" s="3074">
        <v>16</v>
      </c>
      <c r="C1588" s="3074">
        <f t="shared" si="21"/>
        <v>-3.5714285714285712E-2</v>
      </c>
      <c r="D1588" s="3072" t="s">
        <v>3342</v>
      </c>
      <c r="E1588" s="3072" t="s">
        <v>3234</v>
      </c>
      <c r="F1588" s="3072" t="s">
        <v>3235</v>
      </c>
      <c r="G1588" s="3464" t="s">
        <v>3869</v>
      </c>
      <c r="H1588" s="3465"/>
      <c r="I1588" s="3074">
        <v>2016</v>
      </c>
      <c r="J1588" s="3074">
        <v>2.56</v>
      </c>
    </row>
    <row r="1589" spans="1:10" ht="24.75" thickBot="1">
      <c r="A1589" s="3073">
        <v>81</v>
      </c>
      <c r="B1589" s="3074">
        <v>16</v>
      </c>
      <c r="C1589" s="3074">
        <f t="shared" si="21"/>
        <v>-3.5714285714285712E-2</v>
      </c>
      <c r="D1589" s="3072" t="s">
        <v>3343</v>
      </c>
      <c r="E1589" s="3072" t="s">
        <v>3234</v>
      </c>
      <c r="F1589" s="3072" t="s">
        <v>3235</v>
      </c>
      <c r="G1589" s="3464" t="s">
        <v>3877</v>
      </c>
      <c r="H1589" s="3465"/>
      <c r="I1589" s="3074">
        <v>2016</v>
      </c>
      <c r="J1589" s="3074">
        <v>2.83</v>
      </c>
    </row>
    <row r="1590" spans="1:10" ht="24.75" thickBot="1">
      <c r="A1590" s="3073">
        <v>82</v>
      </c>
      <c r="B1590" s="3074">
        <v>16</v>
      </c>
      <c r="C1590" s="3074">
        <f t="shared" si="21"/>
        <v>-3.5714285714285712E-2</v>
      </c>
      <c r="D1590" s="3072" t="s">
        <v>3344</v>
      </c>
      <c r="E1590" s="3072" t="s">
        <v>3234</v>
      </c>
      <c r="F1590" s="3072" t="s">
        <v>3235</v>
      </c>
      <c r="G1590" s="3464" t="s">
        <v>3868</v>
      </c>
      <c r="H1590" s="3465"/>
      <c r="I1590" s="3074">
        <v>2016</v>
      </c>
      <c r="J1590" s="3074">
        <v>3.33</v>
      </c>
    </row>
    <row r="1591" spans="1:10" ht="24.75" thickBot="1">
      <c r="A1591" s="3073">
        <v>83</v>
      </c>
      <c r="B1591" s="3074">
        <v>16</v>
      </c>
      <c r="C1591" s="3074">
        <f t="shared" si="21"/>
        <v>-3.5714285714285712E-2</v>
      </c>
      <c r="D1591" s="3072" t="s">
        <v>3345</v>
      </c>
      <c r="E1591" s="3072" t="s">
        <v>3234</v>
      </c>
      <c r="F1591" s="3072" t="s">
        <v>3235</v>
      </c>
      <c r="G1591" s="3464" t="s">
        <v>3878</v>
      </c>
      <c r="H1591" s="3465"/>
      <c r="I1591" s="3074">
        <v>2016</v>
      </c>
      <c r="J1591" s="3074">
        <v>2.85</v>
      </c>
    </row>
    <row r="1592" spans="1:10" ht="24.75" thickBot="1">
      <c r="A1592" s="3073">
        <v>84</v>
      </c>
      <c r="B1592" s="3074">
        <v>16</v>
      </c>
      <c r="C1592" s="3074">
        <f t="shared" si="21"/>
        <v>-3.5714285714285712E-2</v>
      </c>
      <c r="D1592" s="3072" t="s">
        <v>3346</v>
      </c>
      <c r="E1592" s="3072" t="s">
        <v>3234</v>
      </c>
      <c r="F1592" s="3072" t="s">
        <v>3235</v>
      </c>
      <c r="G1592" s="3464" t="s">
        <v>3885</v>
      </c>
      <c r="H1592" s="3465"/>
      <c r="I1592" s="3074">
        <v>2016</v>
      </c>
      <c r="J1592" s="3074">
        <v>2.81</v>
      </c>
    </row>
    <row r="1593" spans="1:10" ht="24.75" thickBot="1">
      <c r="A1593" s="3073">
        <v>85</v>
      </c>
      <c r="B1593" s="3074">
        <v>16</v>
      </c>
      <c r="C1593" s="3074">
        <f t="shared" si="21"/>
        <v>-3.5714285714285712E-2</v>
      </c>
      <c r="D1593" s="3072" t="s">
        <v>3347</v>
      </c>
      <c r="E1593" s="3072" t="s">
        <v>3234</v>
      </c>
      <c r="F1593" s="3072" t="s">
        <v>3235</v>
      </c>
      <c r="G1593" s="3464" t="s">
        <v>3879</v>
      </c>
      <c r="H1593" s="3465"/>
      <c r="I1593" s="3074">
        <v>2016</v>
      </c>
      <c r="J1593" s="3074">
        <v>2.04</v>
      </c>
    </row>
    <row r="1594" spans="1:10" ht="24.75" thickBot="1">
      <c r="A1594" s="3073">
        <v>86</v>
      </c>
      <c r="B1594" s="3074">
        <v>16</v>
      </c>
      <c r="C1594" s="3074">
        <f t="shared" si="21"/>
        <v>-3.5714285714285712E-2</v>
      </c>
      <c r="D1594" s="3072" t="s">
        <v>3348</v>
      </c>
      <c r="E1594" s="3072" t="s">
        <v>3234</v>
      </c>
      <c r="F1594" s="3072" t="s">
        <v>3235</v>
      </c>
      <c r="G1594" s="3464" t="s">
        <v>3880</v>
      </c>
      <c r="H1594" s="3465"/>
      <c r="I1594" s="3074">
        <v>2016</v>
      </c>
      <c r="J1594" s="3074">
        <v>2.04</v>
      </c>
    </row>
    <row r="1595" spans="1:10" ht="24.75" thickBot="1">
      <c r="A1595" s="3073">
        <v>87</v>
      </c>
      <c r="B1595" s="3074">
        <v>16</v>
      </c>
      <c r="C1595" s="3074">
        <f t="shared" si="21"/>
        <v>-3.5714285714285712E-2</v>
      </c>
      <c r="D1595" s="3072" t="s">
        <v>3349</v>
      </c>
      <c r="E1595" s="3072" t="s">
        <v>3234</v>
      </c>
      <c r="F1595" s="3072" t="s">
        <v>3235</v>
      </c>
      <c r="G1595" s="3464" t="s">
        <v>3881</v>
      </c>
      <c r="H1595" s="3465"/>
      <c r="I1595" s="3074">
        <v>2016</v>
      </c>
      <c r="J1595" s="3074">
        <v>2.97</v>
      </c>
    </row>
    <row r="1596" spans="1:10" ht="24.75" thickBot="1">
      <c r="A1596" s="3073">
        <v>88</v>
      </c>
      <c r="B1596" s="3074">
        <v>16</v>
      </c>
      <c r="C1596" s="3074">
        <f t="shared" si="21"/>
        <v>-3.5714285714285712E-2</v>
      </c>
      <c r="D1596" s="3072" t="s">
        <v>3350</v>
      </c>
      <c r="E1596" s="3072" t="s">
        <v>3234</v>
      </c>
      <c r="F1596" s="3072" t="s">
        <v>3235</v>
      </c>
      <c r="G1596" s="3464" t="s">
        <v>3881</v>
      </c>
      <c r="H1596" s="3465"/>
      <c r="I1596" s="3074">
        <v>2016</v>
      </c>
      <c r="J1596" s="3074">
        <v>2.97</v>
      </c>
    </row>
    <row r="1597" spans="1:10" ht="24.75" thickBot="1">
      <c r="A1597" s="3073">
        <v>89</v>
      </c>
      <c r="B1597" s="3074">
        <v>16</v>
      </c>
      <c r="C1597" s="3074">
        <f t="shared" si="21"/>
        <v>-3.5714285714285712E-2</v>
      </c>
      <c r="D1597" s="3072" t="s">
        <v>3351</v>
      </c>
      <c r="E1597" s="3072" t="s">
        <v>3234</v>
      </c>
      <c r="F1597" s="3072" t="s">
        <v>3235</v>
      </c>
      <c r="G1597" s="3080">
        <v>14</v>
      </c>
      <c r="H1597" s="3074">
        <v>75</v>
      </c>
      <c r="I1597" s="3074">
        <v>2016</v>
      </c>
      <c r="J1597" s="3074">
        <v>2.97</v>
      </c>
    </row>
    <row r="1598" spans="1:10" ht="24.75" thickBot="1">
      <c r="A1598" s="3073">
        <v>90</v>
      </c>
      <c r="B1598" s="3074">
        <v>16</v>
      </c>
      <c r="C1598" s="3074">
        <f t="shared" si="21"/>
        <v>-3.5714285714285712E-2</v>
      </c>
      <c r="D1598" s="3072" t="s">
        <v>3352</v>
      </c>
      <c r="E1598" s="3072" t="s">
        <v>3234</v>
      </c>
      <c r="F1598" s="3072" t="s">
        <v>3235</v>
      </c>
      <c r="G1598" s="3464" t="s">
        <v>3886</v>
      </c>
      <c r="H1598" s="3465"/>
      <c r="I1598" s="3074">
        <v>2016</v>
      </c>
      <c r="J1598" s="3074">
        <v>5.32</v>
      </c>
    </row>
    <row r="1599" spans="1:10" ht="24.75" thickBot="1">
      <c r="A1599" s="3073">
        <v>91</v>
      </c>
      <c r="B1599" s="3074">
        <v>16</v>
      </c>
      <c r="C1599" s="3074">
        <f t="shared" si="21"/>
        <v>-3.5714285714285712E-2</v>
      </c>
      <c r="D1599" s="3072" t="s">
        <v>3353</v>
      </c>
      <c r="E1599" s="3072" t="s">
        <v>3234</v>
      </c>
      <c r="F1599" s="3072" t="s">
        <v>3235</v>
      </c>
      <c r="G1599" s="3464" t="s">
        <v>3882</v>
      </c>
      <c r="H1599" s="3465"/>
      <c r="I1599" s="3074">
        <v>2016</v>
      </c>
      <c r="J1599" s="3074">
        <v>2.87</v>
      </c>
    </row>
    <row r="1600" spans="1:10" ht="24.75" thickBot="1">
      <c r="A1600" s="3073">
        <v>92</v>
      </c>
      <c r="B1600" s="3074">
        <v>16</v>
      </c>
      <c r="C1600" s="3074">
        <f t="shared" si="21"/>
        <v>-3.5714285714285712E-2</v>
      </c>
      <c r="D1600" s="3072" t="s">
        <v>3354</v>
      </c>
      <c r="E1600" s="3072" t="s">
        <v>3234</v>
      </c>
      <c r="F1600" s="3072" t="s">
        <v>3235</v>
      </c>
      <c r="G1600" s="3464" t="s">
        <v>3883</v>
      </c>
      <c r="H1600" s="3465"/>
      <c r="I1600" s="3074">
        <v>2016</v>
      </c>
      <c r="J1600" s="3074">
        <v>2.86</v>
      </c>
    </row>
    <row r="1601" spans="1:10" ht="24.75" thickBot="1">
      <c r="A1601" s="3073">
        <v>93</v>
      </c>
      <c r="B1601" s="3074">
        <v>16</v>
      </c>
      <c r="C1601" s="3074">
        <f t="shared" si="21"/>
        <v>-3.5714285714285712E-2</v>
      </c>
      <c r="D1601" s="3072" t="s">
        <v>3355</v>
      </c>
      <c r="E1601" s="3072" t="s">
        <v>3234</v>
      </c>
      <c r="F1601" s="3072" t="s">
        <v>3235</v>
      </c>
      <c r="G1601" s="3464">
        <v>8.08</v>
      </c>
      <c r="H1601" s="3465"/>
      <c r="I1601" s="3074">
        <v>2016</v>
      </c>
      <c r="J1601" s="3074">
        <v>1.63</v>
      </c>
    </row>
    <row r="1602" spans="1:10" ht="24.75" thickBot="1">
      <c r="A1602" s="3073">
        <v>94</v>
      </c>
      <c r="B1602" s="3074">
        <v>16</v>
      </c>
      <c r="C1602" s="3074">
        <f t="shared" si="21"/>
        <v>-3.5714285714285712E-2</v>
      </c>
      <c r="D1602" s="3072" t="s">
        <v>3356</v>
      </c>
      <c r="E1602" s="3072" t="s">
        <v>3234</v>
      </c>
      <c r="F1602" s="3072" t="s">
        <v>3235</v>
      </c>
      <c r="G1602" s="3464" t="s">
        <v>3884</v>
      </c>
      <c r="H1602" s="3465"/>
      <c r="I1602" s="3074">
        <v>2016</v>
      </c>
      <c r="J1602" s="3074">
        <v>2.76</v>
      </c>
    </row>
    <row r="1603" spans="1:10" ht="24.75" thickBot="1">
      <c r="A1603" s="3073">
        <v>95</v>
      </c>
      <c r="B1603" s="3074">
        <v>16</v>
      </c>
      <c r="C1603" s="3074">
        <f t="shared" si="21"/>
        <v>-3.5714285714285712E-2</v>
      </c>
      <c r="D1603" s="3072" t="s">
        <v>3357</v>
      </c>
      <c r="E1603" s="3072" t="s">
        <v>3234</v>
      </c>
      <c r="F1603" s="3072" t="s">
        <v>3235</v>
      </c>
      <c r="G1603" s="3464" t="s">
        <v>3884</v>
      </c>
      <c r="H1603" s="3465"/>
      <c r="I1603" s="3074">
        <v>2016</v>
      </c>
      <c r="J1603" s="3074">
        <v>2.76</v>
      </c>
    </row>
    <row r="1604" spans="1:10" ht="24.75" thickBot="1">
      <c r="A1604" s="3073">
        <v>96</v>
      </c>
      <c r="B1604" s="3074">
        <v>16</v>
      </c>
      <c r="C1604" s="3074">
        <f t="shared" si="21"/>
        <v>-3.5714285714285712E-2</v>
      </c>
      <c r="D1604" s="3072" t="s">
        <v>3359</v>
      </c>
      <c r="E1604" s="3072" t="s">
        <v>3234</v>
      </c>
      <c r="F1604" s="3072" t="s">
        <v>3235</v>
      </c>
      <c r="G1604" s="3464">
        <v>8.08</v>
      </c>
      <c r="H1604" s="3465"/>
      <c r="I1604" s="3074">
        <v>2016</v>
      </c>
      <c r="J1604" s="3074">
        <v>1.63</v>
      </c>
    </row>
    <row r="1605" spans="1:10" ht="24.75" thickBot="1">
      <c r="A1605" s="3073">
        <v>97</v>
      </c>
      <c r="B1605" s="3074">
        <v>16</v>
      </c>
      <c r="C1605" s="3074">
        <f t="shared" si="21"/>
        <v>-3.5714285714285712E-2</v>
      </c>
      <c r="D1605" s="3072" t="s">
        <v>3360</v>
      </c>
      <c r="E1605" s="3072" t="s">
        <v>3234</v>
      </c>
      <c r="F1605" s="3072" t="s">
        <v>3235</v>
      </c>
      <c r="G1605" s="3464" t="s">
        <v>3883</v>
      </c>
      <c r="H1605" s="3465"/>
      <c r="I1605" s="3074">
        <v>2016</v>
      </c>
      <c r="J1605" s="3074">
        <v>2.86</v>
      </c>
    </row>
    <row r="1606" spans="1:10" ht="24.75" thickBot="1">
      <c r="A1606" s="3073">
        <v>98</v>
      </c>
      <c r="B1606" s="3074">
        <v>16</v>
      </c>
      <c r="C1606" s="3074">
        <f t="shared" si="21"/>
        <v>-3.5714285714285712E-2</v>
      </c>
      <c r="D1606" s="3072" t="s">
        <v>3361</v>
      </c>
      <c r="E1606" s="3072" t="s">
        <v>3234</v>
      </c>
      <c r="F1606" s="3072" t="s">
        <v>3235</v>
      </c>
      <c r="G1606" s="3464" t="s">
        <v>3882</v>
      </c>
      <c r="H1606" s="3465"/>
      <c r="I1606" s="3074">
        <v>2016</v>
      </c>
      <c r="J1606" s="3074">
        <v>2.87</v>
      </c>
    </row>
    <row r="1607" spans="1:10" ht="24.75" thickBot="1">
      <c r="A1607" s="3073">
        <v>99</v>
      </c>
      <c r="B1607" s="3074">
        <v>16</v>
      </c>
      <c r="C1607" s="3074">
        <f t="shared" si="21"/>
        <v>-3.5714285714285712E-2</v>
      </c>
      <c r="D1607" s="3072" t="s">
        <v>3609</v>
      </c>
      <c r="E1607" s="3072" t="s">
        <v>3234</v>
      </c>
      <c r="F1607" s="3072" t="s">
        <v>3235</v>
      </c>
      <c r="G1607" s="3080">
        <v>26</v>
      </c>
      <c r="H1607" s="3074">
        <v>40</v>
      </c>
      <c r="I1607" s="3074">
        <v>2016</v>
      </c>
      <c r="J1607" s="3074">
        <v>5.32</v>
      </c>
    </row>
    <row r="1608" spans="1:10" ht="24.75" thickBot="1">
      <c r="A1608" s="3073">
        <v>100</v>
      </c>
      <c r="B1608" s="3074">
        <v>16</v>
      </c>
      <c r="C1608" s="3074">
        <f t="shared" si="21"/>
        <v>-3.5714285714285712E-2</v>
      </c>
      <c r="D1608" s="3072" t="s">
        <v>3610</v>
      </c>
      <c r="E1608" s="3072" t="s">
        <v>3234</v>
      </c>
      <c r="F1608" s="3072" t="s">
        <v>3235</v>
      </c>
      <c r="G1608" s="3464" t="s">
        <v>3881</v>
      </c>
      <c r="H1608" s="3465"/>
      <c r="I1608" s="3074">
        <v>2016</v>
      </c>
      <c r="J1608" s="3074">
        <v>2.97</v>
      </c>
    </row>
    <row r="1609" spans="1:10" ht="24.75" thickBot="1">
      <c r="A1609" s="3073">
        <v>101</v>
      </c>
      <c r="B1609" s="3074">
        <v>16</v>
      </c>
      <c r="C1609" s="3074">
        <f t="shared" si="21"/>
        <v>-3.5714285714285712E-2</v>
      </c>
      <c r="D1609" s="3072" t="s">
        <v>3827</v>
      </c>
      <c r="E1609" s="3072" t="s">
        <v>3234</v>
      </c>
      <c r="F1609" s="3072" t="s">
        <v>3235</v>
      </c>
      <c r="G1609" s="3464" t="s">
        <v>3881</v>
      </c>
      <c r="H1609" s="3465"/>
      <c r="I1609" s="3074">
        <v>2016</v>
      </c>
      <c r="J1609" s="3074">
        <v>2.97</v>
      </c>
    </row>
    <row r="1610" spans="1:10" ht="24.75" thickBot="1">
      <c r="A1610" s="3073">
        <v>102</v>
      </c>
      <c r="B1610" s="3074">
        <v>16</v>
      </c>
      <c r="C1610" s="3074">
        <f t="shared" si="21"/>
        <v>-3.5714285714285712E-2</v>
      </c>
      <c r="D1610" s="3072" t="s">
        <v>3828</v>
      </c>
      <c r="E1610" s="3072" t="s">
        <v>3234</v>
      </c>
      <c r="F1610" s="3072" t="s">
        <v>3235</v>
      </c>
      <c r="G1610" s="3464" t="s">
        <v>3881</v>
      </c>
      <c r="H1610" s="3465"/>
      <c r="I1610" s="3074">
        <v>2016</v>
      </c>
      <c r="J1610" s="3074">
        <v>2.97</v>
      </c>
    </row>
    <row r="1611" spans="1:10" ht="24.75" thickBot="1">
      <c r="A1611" s="3073">
        <v>103</v>
      </c>
      <c r="B1611" s="3074">
        <v>16</v>
      </c>
      <c r="C1611" s="3074">
        <f t="shared" si="21"/>
        <v>-3.5714285714285712E-2</v>
      </c>
      <c r="D1611" s="3072" t="s">
        <v>3887</v>
      </c>
      <c r="E1611" s="3072" t="s">
        <v>3234</v>
      </c>
      <c r="F1611" s="3072" t="s">
        <v>3235</v>
      </c>
      <c r="G1611" s="3464" t="s">
        <v>3880</v>
      </c>
      <c r="H1611" s="3465"/>
      <c r="I1611" s="3074">
        <v>2016</v>
      </c>
      <c r="J1611" s="3074">
        <v>2.04</v>
      </c>
    </row>
    <row r="1612" spans="1:10" ht="24.75" thickBot="1">
      <c r="A1612" s="3073">
        <v>104</v>
      </c>
      <c r="B1612" s="3074">
        <v>16</v>
      </c>
      <c r="C1612" s="3074">
        <f t="shared" si="21"/>
        <v>-3.5714285714285712E-2</v>
      </c>
      <c r="D1612" s="3072" t="s">
        <v>3830</v>
      </c>
      <c r="E1612" s="3072" t="s">
        <v>3234</v>
      </c>
      <c r="F1612" s="3072" t="s">
        <v>3235</v>
      </c>
      <c r="G1612" s="3464" t="s">
        <v>3879</v>
      </c>
      <c r="H1612" s="3465"/>
      <c r="I1612" s="3074">
        <v>2016</v>
      </c>
      <c r="J1612" s="3074">
        <v>2.04</v>
      </c>
    </row>
    <row r="1613" spans="1:10" ht="24.75" thickBot="1">
      <c r="A1613" s="3073">
        <v>105</v>
      </c>
      <c r="B1613" s="3074">
        <v>16</v>
      </c>
      <c r="C1613" s="3074">
        <f t="shared" si="21"/>
        <v>-3.5714285714285712E-2</v>
      </c>
      <c r="D1613" s="3072" t="s">
        <v>3831</v>
      </c>
      <c r="E1613" s="3072" t="s">
        <v>3234</v>
      </c>
      <c r="F1613" s="3072" t="s">
        <v>3235</v>
      </c>
      <c r="G1613" s="3464" t="s">
        <v>3885</v>
      </c>
      <c r="H1613" s="3465"/>
      <c r="I1613" s="3074">
        <v>2016</v>
      </c>
      <c r="J1613" s="3074">
        <v>2.81</v>
      </c>
    </row>
    <row r="1614" spans="1:10" ht="24.75" thickBot="1">
      <c r="A1614" s="3073">
        <v>106</v>
      </c>
      <c r="B1614" s="3074">
        <v>16</v>
      </c>
      <c r="C1614" s="3074">
        <f t="shared" si="21"/>
        <v>-3.5714285714285712E-2</v>
      </c>
      <c r="D1614" s="3072" t="s">
        <v>3832</v>
      </c>
      <c r="E1614" s="3072" t="s">
        <v>3234</v>
      </c>
      <c r="F1614" s="3072" t="s">
        <v>3235</v>
      </c>
      <c r="G1614" s="3080">
        <v>14</v>
      </c>
      <c r="H1614" s="3074">
        <v>12</v>
      </c>
      <c r="I1614" s="3074">
        <v>2016</v>
      </c>
      <c r="J1614" s="3074">
        <v>2.85</v>
      </c>
    </row>
    <row r="1615" spans="1:10" ht="26.25" thickBot="1">
      <c r="A1615" s="3073">
        <v>107</v>
      </c>
      <c r="B1615" s="3074">
        <v>16</v>
      </c>
      <c r="C1615" s="3079">
        <v>44224</v>
      </c>
      <c r="D1615" s="3074" t="s">
        <v>3362</v>
      </c>
      <c r="E1615" s="3072" t="s">
        <v>3109</v>
      </c>
      <c r="F1615" s="3072" t="s">
        <v>3235</v>
      </c>
      <c r="G1615" s="3464" t="s">
        <v>3888</v>
      </c>
      <c r="H1615" s="3465"/>
      <c r="I1615" s="3074">
        <v>6074</v>
      </c>
      <c r="J1615" s="3074" t="s">
        <v>3889</v>
      </c>
    </row>
    <row r="1616" spans="1:10" ht="26.25" thickBot="1">
      <c r="A1616" s="3073">
        <v>108</v>
      </c>
      <c r="B1616" s="3074">
        <v>16</v>
      </c>
      <c r="C1616" s="3079">
        <v>44224</v>
      </c>
      <c r="D1616" s="3074" t="s">
        <v>3365</v>
      </c>
      <c r="E1616" s="3072" t="s">
        <v>3109</v>
      </c>
      <c r="F1616" s="3072" t="s">
        <v>3235</v>
      </c>
      <c r="G1616" s="3464" t="s">
        <v>3890</v>
      </c>
      <c r="H1616" s="3465"/>
      <c r="I1616" s="3074">
        <v>6074</v>
      </c>
      <c r="J1616" s="3074" t="s">
        <v>3891</v>
      </c>
    </row>
    <row r="1617" spans="1:11" ht="26.25" thickBot="1">
      <c r="A1617" s="3073">
        <v>109</v>
      </c>
      <c r="B1617" s="3074">
        <v>16</v>
      </c>
      <c r="C1617" s="3079">
        <v>44224</v>
      </c>
      <c r="D1617" s="3074" t="s">
        <v>3368</v>
      </c>
      <c r="E1617" s="3072" t="s">
        <v>3109</v>
      </c>
      <c r="F1617" s="3072" t="s">
        <v>3235</v>
      </c>
      <c r="G1617" s="3464" t="s">
        <v>3892</v>
      </c>
      <c r="H1617" s="3465"/>
      <c r="I1617" s="3074">
        <v>6074</v>
      </c>
      <c r="J1617" s="3074" t="s">
        <v>3893</v>
      </c>
    </row>
    <row r="1618" spans="1:11" ht="26.25" thickBot="1">
      <c r="A1618" s="3073">
        <v>110</v>
      </c>
      <c r="B1618" s="3074">
        <v>16</v>
      </c>
      <c r="C1618" s="3079">
        <v>44224</v>
      </c>
      <c r="D1618" s="3074" t="s">
        <v>3371</v>
      </c>
      <c r="E1618" s="3072" t="s">
        <v>3109</v>
      </c>
      <c r="F1618" s="3072" t="s">
        <v>3235</v>
      </c>
      <c r="G1618" s="3464" t="s">
        <v>3894</v>
      </c>
      <c r="H1618" s="3465"/>
      <c r="I1618" s="3074">
        <v>6074</v>
      </c>
      <c r="J1618" s="3074">
        <v>72.06</v>
      </c>
    </row>
    <row r="1619" spans="1:11" ht="26.25" thickBot="1">
      <c r="A1619" s="3073">
        <v>111</v>
      </c>
      <c r="B1619" s="3074">
        <v>16</v>
      </c>
      <c r="C1619" s="3079">
        <v>44224</v>
      </c>
      <c r="D1619" s="3074" t="s">
        <v>3372</v>
      </c>
      <c r="E1619" s="3072" t="s">
        <v>3109</v>
      </c>
      <c r="F1619" s="3072" t="s">
        <v>3235</v>
      </c>
      <c r="G1619" s="3464" t="s">
        <v>3890</v>
      </c>
      <c r="H1619" s="3465"/>
      <c r="I1619" s="3074">
        <v>6074</v>
      </c>
      <c r="J1619" s="3074" t="s">
        <v>3891</v>
      </c>
    </row>
    <row r="1620" spans="1:11" ht="26.25" thickBot="1">
      <c r="A1620" s="3073">
        <v>112</v>
      </c>
      <c r="B1620" s="3074">
        <v>16</v>
      </c>
      <c r="C1620" s="3079">
        <v>44224</v>
      </c>
      <c r="D1620" s="3074" t="s">
        <v>3375</v>
      </c>
      <c r="E1620" s="3072" t="s">
        <v>3109</v>
      </c>
      <c r="F1620" s="3072" t="s">
        <v>3235</v>
      </c>
      <c r="G1620" s="3464" t="s">
        <v>3895</v>
      </c>
      <c r="H1620" s="3465"/>
      <c r="I1620" s="3074">
        <v>6074</v>
      </c>
      <c r="J1620" s="3074" t="s">
        <v>3896</v>
      </c>
    </row>
    <row r="1621" spans="1:11" ht="26.25" thickBot="1">
      <c r="A1621" s="3073">
        <v>113</v>
      </c>
      <c r="B1621" s="3074">
        <v>16</v>
      </c>
      <c r="C1621" s="3079">
        <v>44255</v>
      </c>
      <c r="D1621" s="3074" t="s">
        <v>3377</v>
      </c>
      <c r="E1621" s="3072" t="s">
        <v>3109</v>
      </c>
      <c r="F1621" s="3072" t="s">
        <v>3235</v>
      </c>
      <c r="G1621" s="3464" t="s">
        <v>3888</v>
      </c>
      <c r="H1621" s="3465"/>
      <c r="I1621" s="3074">
        <v>6074</v>
      </c>
      <c r="J1621" s="3074" t="s">
        <v>3889</v>
      </c>
    </row>
    <row r="1622" spans="1:11" ht="26.25" thickBot="1">
      <c r="A1622" s="3073">
        <v>114</v>
      </c>
      <c r="B1622" s="3074">
        <v>16</v>
      </c>
      <c r="C1622" s="3079">
        <v>44255</v>
      </c>
      <c r="D1622" s="3074" t="s">
        <v>3379</v>
      </c>
      <c r="E1622" s="3072" t="s">
        <v>3109</v>
      </c>
      <c r="F1622" s="3072" t="s">
        <v>3235</v>
      </c>
      <c r="G1622" s="3464" t="s">
        <v>3890</v>
      </c>
      <c r="H1622" s="3465"/>
      <c r="I1622" s="3074">
        <v>6074</v>
      </c>
      <c r="J1622" s="3074" t="s">
        <v>3891</v>
      </c>
    </row>
    <row r="1623" spans="1:11" ht="26.25" thickBot="1">
      <c r="A1623" s="3073">
        <v>115</v>
      </c>
      <c r="B1623" s="3074">
        <v>16</v>
      </c>
      <c r="C1623" s="3079">
        <v>44255</v>
      </c>
      <c r="D1623" s="3074" t="s">
        <v>3779</v>
      </c>
      <c r="E1623" s="3072" t="s">
        <v>3109</v>
      </c>
      <c r="F1623" s="3072" t="s">
        <v>3235</v>
      </c>
      <c r="G1623" s="3464" t="s">
        <v>3894</v>
      </c>
      <c r="H1623" s="3465"/>
      <c r="I1623" s="3074">
        <v>6074</v>
      </c>
      <c r="J1623" s="3074">
        <v>72.06</v>
      </c>
    </row>
    <row r="1624" spans="1:11">
      <c r="A1624" s="3070"/>
    </row>
    <row r="1626" spans="1:11" ht="14.25" thickBot="1">
      <c r="A1626" s="3078"/>
    </row>
    <row r="1627" spans="1:11">
      <c r="A1627" s="3458" t="s">
        <v>3223</v>
      </c>
      <c r="B1627" s="3458" t="s">
        <v>3224</v>
      </c>
      <c r="C1627" s="3071" t="s">
        <v>3225</v>
      </c>
      <c r="D1627" s="3458" t="s">
        <v>3227</v>
      </c>
      <c r="E1627" s="3458" t="s">
        <v>1341</v>
      </c>
      <c r="F1627" s="3458" t="s">
        <v>3228</v>
      </c>
      <c r="G1627" s="3460" t="s">
        <v>3229</v>
      </c>
      <c r="H1627" s="3461"/>
      <c r="I1627" s="3458" t="s">
        <v>3231</v>
      </c>
      <c r="J1627" s="3460" t="s">
        <v>3232</v>
      </c>
      <c r="K1627" s="3461"/>
    </row>
    <row r="1628" spans="1:11" ht="14.25" thickBot="1">
      <c r="A1628" s="3459"/>
      <c r="B1628" s="3459"/>
      <c r="C1628" s="3072" t="s">
        <v>3226</v>
      </c>
      <c r="D1628" s="3459"/>
      <c r="E1628" s="3459"/>
      <c r="F1628" s="3459"/>
      <c r="G1628" s="3462" t="s">
        <v>3230</v>
      </c>
      <c r="H1628" s="3463"/>
      <c r="I1628" s="3459"/>
      <c r="J1628" s="3462"/>
      <c r="K1628" s="3463"/>
    </row>
    <row r="1629" spans="1:11" ht="26.25" thickBot="1">
      <c r="A1629" s="3073">
        <v>116</v>
      </c>
      <c r="B1629" s="3074">
        <v>16</v>
      </c>
      <c r="C1629" s="3079">
        <v>44255</v>
      </c>
      <c r="D1629" s="3074" t="s">
        <v>3627</v>
      </c>
      <c r="E1629" s="3072" t="s">
        <v>3109</v>
      </c>
      <c r="F1629" s="3072" t="s">
        <v>3235</v>
      </c>
      <c r="G1629" s="3464" t="s">
        <v>3894</v>
      </c>
      <c r="H1629" s="3465"/>
      <c r="I1629" s="3074">
        <v>6074</v>
      </c>
      <c r="J1629" s="3464">
        <v>72.06</v>
      </c>
      <c r="K1629" s="3465"/>
    </row>
    <row r="1630" spans="1:11" ht="26.25" thickBot="1">
      <c r="A1630" s="3073">
        <v>117</v>
      </c>
      <c r="B1630" s="3074">
        <v>16</v>
      </c>
      <c r="C1630" s="3079">
        <v>44255</v>
      </c>
      <c r="D1630" s="3074" t="s">
        <v>3386</v>
      </c>
      <c r="E1630" s="3072" t="s">
        <v>3109</v>
      </c>
      <c r="F1630" s="3072" t="s">
        <v>3235</v>
      </c>
      <c r="G1630" s="3080">
        <v>94</v>
      </c>
      <c r="H1630" s="3074">
        <v>82</v>
      </c>
      <c r="I1630" s="3074">
        <v>6074</v>
      </c>
      <c r="J1630" s="3076"/>
      <c r="K1630" s="3074" t="s">
        <v>3897</v>
      </c>
    </row>
    <row r="1631" spans="1:11" ht="26.25" thickBot="1">
      <c r="A1631" s="3073">
        <v>118</v>
      </c>
      <c r="B1631" s="3074">
        <v>16</v>
      </c>
      <c r="C1631" s="3079">
        <v>44255</v>
      </c>
      <c r="D1631" s="3074" t="s">
        <v>3387</v>
      </c>
      <c r="E1631" s="3072" t="s">
        <v>3109</v>
      </c>
      <c r="F1631" s="3072" t="s">
        <v>3235</v>
      </c>
      <c r="G1631" s="3464" t="s">
        <v>3888</v>
      </c>
      <c r="H1631" s="3465"/>
      <c r="I1631" s="3074">
        <v>6074</v>
      </c>
      <c r="J1631" s="3464" t="s">
        <v>3889</v>
      </c>
      <c r="K1631" s="3465"/>
    </row>
    <row r="1632" spans="1:11" ht="23.25" thickBot="1">
      <c r="A1632" s="3073">
        <v>119</v>
      </c>
      <c r="B1632" s="3074">
        <v>16</v>
      </c>
      <c r="C1632" s="3079">
        <v>44283</v>
      </c>
      <c r="D1632" s="3082" t="s">
        <v>3898</v>
      </c>
      <c r="E1632" s="3083" t="s">
        <v>3109</v>
      </c>
      <c r="F1632" s="3083" t="s">
        <v>3235</v>
      </c>
      <c r="G1632" s="3464" t="s">
        <v>3888</v>
      </c>
      <c r="H1632" s="3465"/>
      <c r="I1632" s="3074">
        <v>6074</v>
      </c>
      <c r="J1632" s="3464" t="s">
        <v>3889</v>
      </c>
      <c r="K1632" s="3465"/>
    </row>
    <row r="1633" spans="1:11" ht="23.25" thickBot="1">
      <c r="A1633" s="3073">
        <v>120</v>
      </c>
      <c r="B1633" s="3074">
        <v>16</v>
      </c>
      <c r="C1633" s="3079">
        <v>44283</v>
      </c>
      <c r="D1633" s="3082" t="s">
        <v>3899</v>
      </c>
      <c r="E1633" s="3083" t="s">
        <v>3109</v>
      </c>
      <c r="F1633" s="3083" t="s">
        <v>3235</v>
      </c>
      <c r="G1633" s="3464" t="s">
        <v>3890</v>
      </c>
      <c r="H1633" s="3465"/>
      <c r="I1633" s="3074">
        <v>6074</v>
      </c>
      <c r="J1633" s="3464" t="s">
        <v>3900</v>
      </c>
      <c r="K1633" s="3465"/>
    </row>
    <row r="1634" spans="1:11" ht="26.25" thickBot="1">
      <c r="A1634" s="3073">
        <v>121</v>
      </c>
      <c r="B1634" s="3074">
        <v>16</v>
      </c>
      <c r="C1634" s="3079">
        <v>44283</v>
      </c>
      <c r="D1634" s="3074" t="s">
        <v>3393</v>
      </c>
      <c r="E1634" s="3072" t="s">
        <v>3109</v>
      </c>
      <c r="F1634" s="3072" t="s">
        <v>3235</v>
      </c>
      <c r="G1634" s="3464" t="s">
        <v>3894</v>
      </c>
      <c r="H1634" s="3465"/>
      <c r="I1634" s="3074">
        <v>6074</v>
      </c>
      <c r="J1634" s="3464">
        <v>72.06</v>
      </c>
      <c r="K1634" s="3465"/>
    </row>
    <row r="1635" spans="1:11" ht="26.25" thickBot="1">
      <c r="A1635" s="3073">
        <v>122</v>
      </c>
      <c r="B1635" s="3074">
        <v>16</v>
      </c>
      <c r="C1635" s="3079">
        <v>44283</v>
      </c>
      <c r="D1635" s="3074" t="s">
        <v>3394</v>
      </c>
      <c r="E1635" s="3072" t="s">
        <v>3109</v>
      </c>
      <c r="F1635" s="3072" t="s">
        <v>3235</v>
      </c>
      <c r="G1635" s="3464" t="s">
        <v>3894</v>
      </c>
      <c r="H1635" s="3465"/>
      <c r="I1635" s="3074">
        <v>6074</v>
      </c>
      <c r="J1635" s="3464">
        <v>72.06</v>
      </c>
      <c r="K1635" s="3465"/>
    </row>
    <row r="1636" spans="1:11" ht="26.25" thickBot="1">
      <c r="A1636" s="3073">
        <v>123</v>
      </c>
      <c r="B1636" s="3074">
        <v>16</v>
      </c>
      <c r="C1636" s="3079">
        <v>44283</v>
      </c>
      <c r="D1636" s="3074" t="s">
        <v>3395</v>
      </c>
      <c r="E1636" s="3072" t="s">
        <v>3109</v>
      </c>
      <c r="F1636" s="3072" t="s">
        <v>3235</v>
      </c>
      <c r="G1636" s="3464" t="s">
        <v>3890</v>
      </c>
      <c r="H1636" s="3465"/>
      <c r="I1636" s="3074">
        <v>6074</v>
      </c>
      <c r="J1636" s="3464" t="s">
        <v>3900</v>
      </c>
      <c r="K1636" s="3465"/>
    </row>
    <row r="1637" spans="1:11" ht="26.25" thickBot="1">
      <c r="A1637" s="3073">
        <v>124</v>
      </c>
      <c r="B1637" s="3074">
        <v>16</v>
      </c>
      <c r="C1637" s="3079">
        <v>44283</v>
      </c>
      <c r="D1637" s="3074" t="s">
        <v>3397</v>
      </c>
      <c r="E1637" s="3072" t="s">
        <v>3109</v>
      </c>
      <c r="F1637" s="3072" t="s">
        <v>3235</v>
      </c>
      <c r="G1637" s="3464" t="s">
        <v>3888</v>
      </c>
      <c r="H1637" s="3465"/>
      <c r="I1637" s="3074">
        <v>6074</v>
      </c>
      <c r="J1637" s="3464" t="s">
        <v>3889</v>
      </c>
      <c r="K1637" s="3465"/>
    </row>
    <row r="1638" spans="1:11" ht="26.25" thickBot="1">
      <c r="A1638" s="3073">
        <v>125</v>
      </c>
      <c r="B1638" s="3074">
        <v>16</v>
      </c>
      <c r="C1638" s="3079">
        <v>44314</v>
      </c>
      <c r="D1638" s="3074" t="s">
        <v>3398</v>
      </c>
      <c r="E1638" s="3072" t="s">
        <v>3109</v>
      </c>
      <c r="F1638" s="3072" t="s">
        <v>3235</v>
      </c>
      <c r="G1638" s="3464" t="s">
        <v>3888</v>
      </c>
      <c r="H1638" s="3465"/>
      <c r="I1638" s="3074">
        <v>6074</v>
      </c>
      <c r="J1638" s="3464" t="s">
        <v>3889</v>
      </c>
      <c r="K1638" s="3465"/>
    </row>
    <row r="1639" spans="1:11" ht="26.25" thickBot="1">
      <c r="A1639" s="3073">
        <v>126</v>
      </c>
      <c r="B1639" s="3074">
        <v>16</v>
      </c>
      <c r="C1639" s="3079">
        <v>44314</v>
      </c>
      <c r="D1639" s="3074" t="s">
        <v>3631</v>
      </c>
      <c r="E1639" s="3072" t="s">
        <v>3109</v>
      </c>
      <c r="F1639" s="3072" t="s">
        <v>3235</v>
      </c>
      <c r="G1639" s="3464" t="s">
        <v>3890</v>
      </c>
      <c r="H1639" s="3465"/>
      <c r="I1639" s="3074">
        <v>6074</v>
      </c>
      <c r="J1639" s="3464" t="s">
        <v>3891</v>
      </c>
      <c r="K1639" s="3465"/>
    </row>
    <row r="1640" spans="1:11" ht="26.25" thickBot="1">
      <c r="A1640" s="3073">
        <v>127</v>
      </c>
      <c r="B1640" s="3074">
        <v>16</v>
      </c>
      <c r="C1640" s="3079">
        <v>44314</v>
      </c>
      <c r="D1640" s="3074" t="s">
        <v>3401</v>
      </c>
      <c r="E1640" s="3072" t="s">
        <v>3109</v>
      </c>
      <c r="F1640" s="3072" t="s">
        <v>3235</v>
      </c>
      <c r="G1640" s="3076"/>
      <c r="H1640" s="3074" t="s">
        <v>3901</v>
      </c>
      <c r="I1640" s="3074">
        <v>6074</v>
      </c>
      <c r="J1640" s="3076"/>
      <c r="K1640" s="3074">
        <v>0.06</v>
      </c>
    </row>
    <row r="1641" spans="1:11" ht="26.25" thickBot="1">
      <c r="A1641" s="3073">
        <v>128</v>
      </c>
      <c r="B1641" s="3074">
        <v>16</v>
      </c>
      <c r="C1641" s="3079">
        <v>44314</v>
      </c>
      <c r="D1641" s="3074" t="s">
        <v>3402</v>
      </c>
      <c r="E1641" s="3072" t="s">
        <v>3109</v>
      </c>
      <c r="F1641" s="3072" t="s">
        <v>3235</v>
      </c>
      <c r="G1641" s="3464" t="s">
        <v>3894</v>
      </c>
      <c r="H1641" s="3465"/>
      <c r="I1641" s="3074">
        <v>6074</v>
      </c>
      <c r="J1641" s="3464">
        <v>72.06</v>
      </c>
      <c r="K1641" s="3465"/>
    </row>
    <row r="1642" spans="1:11" ht="26.25" thickBot="1">
      <c r="A1642" s="3073">
        <v>129</v>
      </c>
      <c r="B1642" s="3074">
        <v>16</v>
      </c>
      <c r="C1642" s="3079">
        <v>44314</v>
      </c>
      <c r="D1642" s="3074" t="s">
        <v>3403</v>
      </c>
      <c r="E1642" s="3072" t="s">
        <v>3109</v>
      </c>
      <c r="F1642" s="3072" t="s">
        <v>3235</v>
      </c>
      <c r="G1642" s="3464" t="s">
        <v>3890</v>
      </c>
      <c r="H1642" s="3465"/>
      <c r="I1642" s="3074">
        <v>6074</v>
      </c>
      <c r="J1642" s="3464" t="s">
        <v>3891</v>
      </c>
      <c r="K1642" s="3465"/>
    </row>
    <row r="1643" spans="1:11" ht="23.25" thickBot="1">
      <c r="A1643" s="3073">
        <v>130</v>
      </c>
      <c r="B1643" s="3074">
        <v>16</v>
      </c>
      <c r="C1643" s="3079">
        <v>44314</v>
      </c>
      <c r="D1643" s="3082" t="s">
        <v>3902</v>
      </c>
      <c r="E1643" s="3083" t="s">
        <v>3109</v>
      </c>
      <c r="F1643" s="3083" t="s">
        <v>3235</v>
      </c>
      <c r="G1643" s="3464" t="s">
        <v>3895</v>
      </c>
      <c r="H1643" s="3465"/>
      <c r="I1643" s="3074">
        <v>6074</v>
      </c>
      <c r="J1643" s="3464" t="s">
        <v>3896</v>
      </c>
      <c r="K1643" s="3465"/>
    </row>
    <row r="1644" spans="1:11" ht="26.25" thickBot="1">
      <c r="A1644" s="3073">
        <v>131</v>
      </c>
      <c r="B1644" s="3074">
        <v>16</v>
      </c>
      <c r="C1644" s="3079">
        <v>44344</v>
      </c>
      <c r="D1644" s="3074" t="s">
        <v>3405</v>
      </c>
      <c r="E1644" s="3072" t="s">
        <v>3109</v>
      </c>
      <c r="F1644" s="3072" t="s">
        <v>3235</v>
      </c>
      <c r="G1644" s="3464" t="s">
        <v>3888</v>
      </c>
      <c r="H1644" s="3465"/>
      <c r="I1644" s="3074">
        <v>6074</v>
      </c>
      <c r="J1644" s="3464" t="s">
        <v>3889</v>
      </c>
      <c r="K1644" s="3465"/>
    </row>
    <row r="1645" spans="1:11" ht="26.25" thickBot="1">
      <c r="A1645" s="3073">
        <v>132</v>
      </c>
      <c r="B1645" s="3074">
        <v>16</v>
      </c>
      <c r="C1645" s="3079">
        <v>44344</v>
      </c>
      <c r="D1645" s="3074" t="s">
        <v>3406</v>
      </c>
      <c r="E1645" s="3072" t="s">
        <v>3109</v>
      </c>
      <c r="F1645" s="3072" t="s">
        <v>3235</v>
      </c>
      <c r="G1645" s="3464" t="s">
        <v>3890</v>
      </c>
      <c r="H1645" s="3465"/>
      <c r="I1645" s="3074">
        <v>6074</v>
      </c>
      <c r="J1645" s="3464" t="s">
        <v>3891</v>
      </c>
      <c r="K1645" s="3465"/>
    </row>
    <row r="1646" spans="1:11" ht="26.25" thickBot="1">
      <c r="A1646" s="3073">
        <v>133</v>
      </c>
      <c r="B1646" s="3074">
        <v>16</v>
      </c>
      <c r="C1646" s="3079">
        <v>44344</v>
      </c>
      <c r="D1646" s="3074" t="s">
        <v>3407</v>
      </c>
      <c r="E1646" s="3072" t="s">
        <v>3109</v>
      </c>
      <c r="F1646" s="3072" t="s">
        <v>3235</v>
      </c>
      <c r="G1646" s="3464" t="s">
        <v>3892</v>
      </c>
      <c r="H1646" s="3465"/>
      <c r="I1646" s="3074">
        <v>6074</v>
      </c>
      <c r="J1646" s="3464" t="s">
        <v>3893</v>
      </c>
      <c r="K1646" s="3465"/>
    </row>
    <row r="1647" spans="1:11" ht="26.25" thickBot="1">
      <c r="A1647" s="3073">
        <v>134</v>
      </c>
      <c r="B1647" s="3074">
        <v>16</v>
      </c>
      <c r="C1647" s="3079">
        <v>44344</v>
      </c>
      <c r="D1647" s="3074" t="s">
        <v>3408</v>
      </c>
      <c r="E1647" s="3072" t="s">
        <v>3109</v>
      </c>
      <c r="F1647" s="3072" t="s">
        <v>3235</v>
      </c>
      <c r="G1647" s="3464" t="s">
        <v>3894</v>
      </c>
      <c r="H1647" s="3465"/>
      <c r="I1647" s="3074">
        <v>6074</v>
      </c>
      <c r="J1647" s="3464">
        <v>72.06</v>
      </c>
      <c r="K1647" s="3465"/>
    </row>
    <row r="1648" spans="1:11" ht="26.25" thickBot="1">
      <c r="A1648" s="3073">
        <v>135</v>
      </c>
      <c r="B1648" s="3074">
        <v>16</v>
      </c>
      <c r="C1648" s="3079">
        <v>44344</v>
      </c>
      <c r="D1648" s="3074" t="s">
        <v>3409</v>
      </c>
      <c r="E1648" s="3072" t="s">
        <v>3109</v>
      </c>
      <c r="F1648" s="3072" t="s">
        <v>3235</v>
      </c>
      <c r="G1648" s="3464" t="s">
        <v>3890</v>
      </c>
      <c r="H1648" s="3465"/>
      <c r="I1648" s="3074">
        <v>6074</v>
      </c>
      <c r="J1648" s="3464" t="s">
        <v>3891</v>
      </c>
      <c r="K1648" s="3465"/>
    </row>
    <row r="1649" spans="1:11" ht="26.25" thickBot="1">
      <c r="A1649" s="3073">
        <v>136</v>
      </c>
      <c r="B1649" s="3074">
        <v>16</v>
      </c>
      <c r="C1649" s="3079">
        <v>44344</v>
      </c>
      <c r="D1649" s="3074" t="s">
        <v>3410</v>
      </c>
      <c r="E1649" s="3072" t="s">
        <v>3109</v>
      </c>
      <c r="F1649" s="3072" t="s">
        <v>3235</v>
      </c>
      <c r="G1649" s="3464" t="s">
        <v>3888</v>
      </c>
      <c r="H1649" s="3465"/>
      <c r="I1649" s="3074">
        <v>6074</v>
      </c>
      <c r="J1649" s="3464" t="s">
        <v>3889</v>
      </c>
      <c r="K1649" s="3465"/>
    </row>
    <row r="1650" spans="1:11" ht="26.25" thickBot="1">
      <c r="A1650" s="3073">
        <v>137</v>
      </c>
      <c r="B1650" s="3074">
        <v>16</v>
      </c>
      <c r="C1650" s="3079">
        <v>44375</v>
      </c>
      <c r="D1650" s="3074" t="s">
        <v>3411</v>
      </c>
      <c r="E1650" s="3072" t="s">
        <v>3109</v>
      </c>
      <c r="F1650" s="3072" t="s">
        <v>3235</v>
      </c>
      <c r="G1650" s="3464" t="s">
        <v>3895</v>
      </c>
      <c r="H1650" s="3465"/>
      <c r="I1650" s="3074">
        <v>6074</v>
      </c>
      <c r="J1650" s="3464" t="s">
        <v>3896</v>
      </c>
      <c r="K1650" s="3465"/>
    </row>
    <row r="1651" spans="1:11" ht="26.25" thickBot="1">
      <c r="A1651" s="3073">
        <v>138</v>
      </c>
      <c r="B1651" s="3074">
        <v>16</v>
      </c>
      <c r="C1651" s="3079">
        <v>44375</v>
      </c>
      <c r="D1651" s="3074" t="s">
        <v>3412</v>
      </c>
      <c r="E1651" s="3072" t="s">
        <v>3109</v>
      </c>
      <c r="F1651" s="3072" t="s">
        <v>3235</v>
      </c>
      <c r="G1651" s="3464" t="s">
        <v>3890</v>
      </c>
      <c r="H1651" s="3465"/>
      <c r="I1651" s="3074">
        <v>6074</v>
      </c>
      <c r="J1651" s="3464" t="s">
        <v>3891</v>
      </c>
      <c r="K1651" s="3465"/>
    </row>
    <row r="1652" spans="1:11" ht="26.25" thickBot="1">
      <c r="A1652" s="3073">
        <v>139</v>
      </c>
      <c r="B1652" s="3074">
        <v>16</v>
      </c>
      <c r="C1652" s="3079">
        <v>44375</v>
      </c>
      <c r="D1652" s="3074" t="s">
        <v>3413</v>
      </c>
      <c r="E1652" s="3072" t="s">
        <v>3109</v>
      </c>
      <c r="F1652" s="3072" t="s">
        <v>3235</v>
      </c>
      <c r="G1652" s="3464" t="s">
        <v>3894</v>
      </c>
      <c r="H1652" s="3465"/>
      <c r="I1652" s="3074">
        <v>6074</v>
      </c>
      <c r="J1652" s="3464">
        <v>72.06</v>
      </c>
      <c r="K1652" s="3465"/>
    </row>
    <row r="1653" spans="1:11" ht="26.25" thickBot="1">
      <c r="A1653" s="3073">
        <v>140</v>
      </c>
      <c r="B1653" s="3074">
        <v>16</v>
      </c>
      <c r="C1653" s="3079">
        <v>44375</v>
      </c>
      <c r="D1653" s="3074" t="s">
        <v>3414</v>
      </c>
      <c r="E1653" s="3072" t="s">
        <v>3109</v>
      </c>
      <c r="F1653" s="3072" t="s">
        <v>3235</v>
      </c>
      <c r="G1653" s="3464" t="s">
        <v>3892</v>
      </c>
      <c r="H1653" s="3465"/>
      <c r="I1653" s="3074">
        <v>6074</v>
      </c>
      <c r="J1653" s="3464" t="s">
        <v>3893</v>
      </c>
      <c r="K1653" s="3465"/>
    </row>
    <row r="1654" spans="1:11" ht="26.25" thickBot="1">
      <c r="A1654" s="3073">
        <v>141</v>
      </c>
      <c r="B1654" s="3074">
        <v>16</v>
      </c>
      <c r="C1654" s="3079">
        <v>44375</v>
      </c>
      <c r="D1654" s="3074" t="s">
        <v>3416</v>
      </c>
      <c r="E1654" s="3072" t="s">
        <v>3109</v>
      </c>
      <c r="F1654" s="3072" t="s">
        <v>3235</v>
      </c>
      <c r="G1654" s="3464" t="s">
        <v>3890</v>
      </c>
      <c r="H1654" s="3465"/>
      <c r="I1654" s="3074">
        <v>6074</v>
      </c>
      <c r="J1654" s="3464" t="s">
        <v>3891</v>
      </c>
      <c r="K1654" s="3465"/>
    </row>
    <row r="1655" spans="1:11" ht="26.25" thickBot="1">
      <c r="A1655" s="3073">
        <v>142</v>
      </c>
      <c r="B1655" s="3074">
        <v>16</v>
      </c>
      <c r="C1655" s="3079">
        <v>44375</v>
      </c>
      <c r="D1655" s="3074" t="s">
        <v>3417</v>
      </c>
      <c r="E1655" s="3072" t="s">
        <v>3109</v>
      </c>
      <c r="F1655" s="3072" t="s">
        <v>3235</v>
      </c>
      <c r="G1655" s="3464" t="s">
        <v>3888</v>
      </c>
      <c r="H1655" s="3465"/>
      <c r="I1655" s="3074">
        <v>6074</v>
      </c>
      <c r="J1655" s="3464" t="s">
        <v>3889</v>
      </c>
      <c r="K1655" s="3465"/>
    </row>
    <row r="1656" spans="1:11" ht="26.25" thickBot="1">
      <c r="A1656" s="3073">
        <v>143</v>
      </c>
      <c r="B1656" s="3074">
        <v>16</v>
      </c>
      <c r="C1656" s="3079">
        <v>44405</v>
      </c>
      <c r="D1656" s="3074" t="s">
        <v>3418</v>
      </c>
      <c r="E1656" s="3072" t="s">
        <v>3109</v>
      </c>
      <c r="F1656" s="3072" t="s">
        <v>3235</v>
      </c>
      <c r="G1656" s="3464" t="s">
        <v>3888</v>
      </c>
      <c r="H1656" s="3465"/>
      <c r="I1656" s="3074">
        <v>6074</v>
      </c>
      <c r="J1656" s="3464" t="s">
        <v>3889</v>
      </c>
      <c r="K1656" s="3465"/>
    </row>
    <row r="1657" spans="1:11" ht="26.25" thickBot="1">
      <c r="A1657" s="3073">
        <v>144</v>
      </c>
      <c r="B1657" s="3074">
        <v>16</v>
      </c>
      <c r="C1657" s="3079">
        <v>44405</v>
      </c>
      <c r="D1657" s="3074" t="s">
        <v>3419</v>
      </c>
      <c r="E1657" s="3072" t="s">
        <v>3109</v>
      </c>
      <c r="F1657" s="3072" t="s">
        <v>3235</v>
      </c>
      <c r="G1657" s="3080">
        <v>94</v>
      </c>
      <c r="H1657" s="3074">
        <v>82</v>
      </c>
      <c r="I1657" s="3074">
        <v>6074</v>
      </c>
      <c r="J1657" s="3076"/>
      <c r="K1657" s="3074" t="s">
        <v>3897</v>
      </c>
    </row>
    <row r="1658" spans="1:11" ht="26.25" thickBot="1">
      <c r="A1658" s="3073">
        <v>145</v>
      </c>
      <c r="B1658" s="3074">
        <v>16</v>
      </c>
      <c r="C1658" s="3079">
        <v>44405</v>
      </c>
      <c r="D1658" s="3074" t="s">
        <v>3420</v>
      </c>
      <c r="E1658" s="3072" t="s">
        <v>3109</v>
      </c>
      <c r="F1658" s="3072" t="s">
        <v>3235</v>
      </c>
      <c r="G1658" s="3464" t="s">
        <v>3894</v>
      </c>
      <c r="H1658" s="3465"/>
      <c r="I1658" s="3074">
        <v>6074</v>
      </c>
      <c r="J1658" s="3464">
        <v>72.06</v>
      </c>
      <c r="K1658" s="3465"/>
    </row>
    <row r="1659" spans="1:11" ht="26.25" thickBot="1">
      <c r="A1659" s="3073">
        <v>146</v>
      </c>
      <c r="B1659" s="3074">
        <v>16</v>
      </c>
      <c r="C1659" s="3079">
        <v>44405</v>
      </c>
      <c r="D1659" s="3074" t="s">
        <v>3421</v>
      </c>
      <c r="E1659" s="3072" t="s">
        <v>3109</v>
      </c>
      <c r="F1659" s="3072" t="s">
        <v>3235</v>
      </c>
      <c r="G1659" s="3464" t="s">
        <v>3894</v>
      </c>
      <c r="H1659" s="3465"/>
      <c r="I1659" s="3074">
        <v>6074</v>
      </c>
      <c r="J1659" s="3464">
        <v>72.06</v>
      </c>
      <c r="K1659" s="3465"/>
    </row>
    <row r="1660" spans="1:11" ht="26.25" thickBot="1">
      <c r="A1660" s="3073">
        <v>147</v>
      </c>
      <c r="B1660" s="3074">
        <v>16</v>
      </c>
      <c r="C1660" s="3079">
        <v>44405</v>
      </c>
      <c r="D1660" s="3074" t="s">
        <v>3422</v>
      </c>
      <c r="E1660" s="3072" t="s">
        <v>3109</v>
      </c>
      <c r="F1660" s="3072" t="s">
        <v>3235</v>
      </c>
      <c r="G1660" s="3464" t="s">
        <v>3890</v>
      </c>
      <c r="H1660" s="3465"/>
      <c r="I1660" s="3074">
        <v>6074</v>
      </c>
      <c r="J1660" s="3464" t="s">
        <v>3900</v>
      </c>
      <c r="K1660" s="3465"/>
    </row>
    <row r="1661" spans="1:11" ht="26.25" thickBot="1">
      <c r="A1661" s="3073">
        <v>148</v>
      </c>
      <c r="B1661" s="3074">
        <v>16</v>
      </c>
      <c r="C1661" s="3079">
        <v>44405</v>
      </c>
      <c r="D1661" s="3074" t="s">
        <v>3423</v>
      </c>
      <c r="E1661" s="3072" t="s">
        <v>3109</v>
      </c>
      <c r="F1661" s="3072" t="s">
        <v>3235</v>
      </c>
      <c r="G1661" s="3464" t="s">
        <v>3888</v>
      </c>
      <c r="H1661" s="3465"/>
      <c r="I1661" s="3074">
        <v>6074</v>
      </c>
      <c r="J1661" s="3464" t="s">
        <v>3889</v>
      </c>
      <c r="K1661" s="3465"/>
    </row>
    <row r="1662" spans="1:11" ht="26.25" thickBot="1">
      <c r="A1662" s="3073">
        <v>149</v>
      </c>
      <c r="B1662" s="3074">
        <v>16</v>
      </c>
      <c r="C1662" s="3079">
        <v>44436</v>
      </c>
      <c r="D1662" s="3074" t="s">
        <v>3424</v>
      </c>
      <c r="E1662" s="3072" t="s">
        <v>3109</v>
      </c>
      <c r="F1662" s="3072" t="s">
        <v>3235</v>
      </c>
      <c r="G1662" s="3464" t="s">
        <v>3888</v>
      </c>
      <c r="H1662" s="3465"/>
      <c r="I1662" s="3074">
        <v>6074</v>
      </c>
      <c r="J1662" s="3464" t="s">
        <v>3889</v>
      </c>
      <c r="K1662" s="3465"/>
    </row>
    <row r="1663" spans="1:11" ht="26.25" thickBot="1">
      <c r="A1663" s="3073">
        <v>150</v>
      </c>
      <c r="B1663" s="3074">
        <v>16</v>
      </c>
      <c r="C1663" s="3079">
        <v>44436</v>
      </c>
      <c r="D1663" s="3074" t="s">
        <v>3425</v>
      </c>
      <c r="E1663" s="3072" t="s">
        <v>3109</v>
      </c>
      <c r="F1663" s="3072" t="s">
        <v>3235</v>
      </c>
      <c r="G1663" s="3464" t="s">
        <v>3890</v>
      </c>
      <c r="H1663" s="3465"/>
      <c r="I1663" s="3074">
        <v>6074</v>
      </c>
      <c r="J1663" s="3464" t="s">
        <v>3900</v>
      </c>
      <c r="K1663" s="3465"/>
    </row>
    <row r="1664" spans="1:11" ht="26.25" thickBot="1">
      <c r="A1664" s="3073">
        <v>151</v>
      </c>
      <c r="B1664" s="3074">
        <v>16</v>
      </c>
      <c r="C1664" s="3079">
        <v>44436</v>
      </c>
      <c r="D1664" s="3074" t="s">
        <v>3426</v>
      </c>
      <c r="E1664" s="3072" t="s">
        <v>3109</v>
      </c>
      <c r="F1664" s="3072" t="s">
        <v>3235</v>
      </c>
      <c r="G1664" s="3464" t="s">
        <v>3894</v>
      </c>
      <c r="H1664" s="3465"/>
      <c r="I1664" s="3074">
        <v>6074</v>
      </c>
      <c r="J1664" s="3464">
        <v>72.06</v>
      </c>
      <c r="K1664" s="3465"/>
    </row>
    <row r="1665" spans="1:11" ht="26.25" thickBot="1">
      <c r="A1665" s="3073">
        <v>152</v>
      </c>
      <c r="B1665" s="3074">
        <v>16</v>
      </c>
      <c r="C1665" s="3079">
        <v>44436</v>
      </c>
      <c r="D1665" s="3074" t="s">
        <v>3427</v>
      </c>
      <c r="E1665" s="3072" t="s">
        <v>3109</v>
      </c>
      <c r="F1665" s="3072" t="s">
        <v>3235</v>
      </c>
      <c r="G1665" s="3464" t="s">
        <v>3894</v>
      </c>
      <c r="H1665" s="3465"/>
      <c r="I1665" s="3074">
        <v>6074</v>
      </c>
      <c r="J1665" s="3464">
        <v>72.06</v>
      </c>
      <c r="K1665" s="3465"/>
    </row>
    <row r="1666" spans="1:11" ht="26.25" thickBot="1">
      <c r="A1666" s="3073">
        <v>153</v>
      </c>
      <c r="B1666" s="3074">
        <v>16</v>
      </c>
      <c r="C1666" s="3079">
        <v>44436</v>
      </c>
      <c r="D1666" s="3074" t="s">
        <v>3428</v>
      </c>
      <c r="E1666" s="3072" t="s">
        <v>3109</v>
      </c>
      <c r="F1666" s="3072" t="s">
        <v>3235</v>
      </c>
      <c r="G1666" s="3464" t="s">
        <v>3890</v>
      </c>
      <c r="H1666" s="3465"/>
      <c r="I1666" s="3074">
        <v>6074</v>
      </c>
      <c r="J1666" s="3464" t="s">
        <v>3891</v>
      </c>
      <c r="K1666" s="3465"/>
    </row>
    <row r="1667" spans="1:11" ht="26.25" thickBot="1">
      <c r="A1667" s="3073">
        <v>154</v>
      </c>
      <c r="B1667" s="3074">
        <v>16</v>
      </c>
      <c r="C1667" s="3079">
        <v>44436</v>
      </c>
      <c r="D1667" s="3074" t="s">
        <v>3429</v>
      </c>
      <c r="E1667" s="3072" t="s">
        <v>3109</v>
      </c>
      <c r="F1667" s="3072" t="s">
        <v>3235</v>
      </c>
      <c r="G1667" s="3076"/>
      <c r="H1667" s="3074" t="s">
        <v>3903</v>
      </c>
      <c r="I1667" s="3074">
        <v>6074</v>
      </c>
      <c r="J1667" s="3076"/>
      <c r="K1667" s="3074" t="s">
        <v>3904</v>
      </c>
    </row>
    <row r="1668" spans="1:11" ht="26.25" thickBot="1">
      <c r="A1668" s="3073">
        <v>155</v>
      </c>
      <c r="B1668" s="3074">
        <v>16</v>
      </c>
      <c r="C1668" s="3079">
        <v>44467</v>
      </c>
      <c r="D1668" s="3074" t="s">
        <v>3430</v>
      </c>
      <c r="E1668" s="3072" t="s">
        <v>3109</v>
      </c>
      <c r="F1668" s="3072" t="s">
        <v>3235</v>
      </c>
      <c r="G1668" s="3464" t="s">
        <v>3888</v>
      </c>
      <c r="H1668" s="3465"/>
      <c r="I1668" s="3074">
        <v>6074</v>
      </c>
      <c r="J1668" s="3464" t="s">
        <v>3889</v>
      </c>
      <c r="K1668" s="3465"/>
    </row>
    <row r="1669" spans="1:11" ht="26.25" thickBot="1">
      <c r="A1669" s="3073">
        <v>156</v>
      </c>
      <c r="B1669" s="3074">
        <v>16</v>
      </c>
      <c r="C1669" s="3079">
        <v>44467</v>
      </c>
      <c r="D1669" s="3074" t="s">
        <v>3431</v>
      </c>
      <c r="E1669" s="3072" t="s">
        <v>3109</v>
      </c>
      <c r="F1669" s="3072" t="s">
        <v>3235</v>
      </c>
      <c r="G1669" s="3464" t="s">
        <v>3890</v>
      </c>
      <c r="H1669" s="3465"/>
      <c r="I1669" s="3074">
        <v>6074</v>
      </c>
      <c r="J1669" s="3464" t="s">
        <v>3891</v>
      </c>
      <c r="K1669" s="3465"/>
    </row>
    <row r="1670" spans="1:11" ht="26.25" thickBot="1">
      <c r="A1670" s="3073">
        <v>157</v>
      </c>
      <c r="B1670" s="3074">
        <v>16</v>
      </c>
      <c r="C1670" s="3079">
        <v>44467</v>
      </c>
      <c r="D1670" s="3074" t="s">
        <v>3432</v>
      </c>
      <c r="E1670" s="3072" t="s">
        <v>3109</v>
      </c>
      <c r="F1670" s="3072" t="s">
        <v>3235</v>
      </c>
      <c r="G1670" s="3464" t="s">
        <v>3892</v>
      </c>
      <c r="H1670" s="3465"/>
      <c r="I1670" s="3074">
        <v>6074</v>
      </c>
      <c r="J1670" s="3464" t="s">
        <v>3893</v>
      </c>
      <c r="K1670" s="3465"/>
    </row>
    <row r="1671" spans="1:11" ht="26.25" thickBot="1">
      <c r="A1671" s="3073">
        <v>158</v>
      </c>
      <c r="B1671" s="3074">
        <v>16</v>
      </c>
      <c r="C1671" s="3079">
        <v>44467</v>
      </c>
      <c r="D1671" s="3074" t="s">
        <v>3433</v>
      </c>
      <c r="E1671" s="3072" t="s">
        <v>3109</v>
      </c>
      <c r="F1671" s="3072" t="s">
        <v>3235</v>
      </c>
      <c r="G1671" s="3464" t="s">
        <v>3894</v>
      </c>
      <c r="H1671" s="3465"/>
      <c r="I1671" s="3074">
        <v>6074</v>
      </c>
      <c r="J1671" s="3464">
        <v>72.06</v>
      </c>
      <c r="K1671" s="3465"/>
    </row>
    <row r="1672" spans="1:11" ht="26.25" thickBot="1">
      <c r="A1672" s="3073">
        <v>159</v>
      </c>
      <c r="B1672" s="3074">
        <v>16</v>
      </c>
      <c r="C1672" s="3079">
        <v>44467</v>
      </c>
      <c r="D1672" s="3074" t="s">
        <v>3434</v>
      </c>
      <c r="E1672" s="3072" t="s">
        <v>3109</v>
      </c>
      <c r="F1672" s="3072" t="s">
        <v>3235</v>
      </c>
      <c r="G1672" s="3464" t="s">
        <v>3890</v>
      </c>
      <c r="H1672" s="3465"/>
      <c r="I1672" s="3074">
        <v>6074</v>
      </c>
      <c r="J1672" s="3464" t="s">
        <v>3891</v>
      </c>
      <c r="K1672" s="3465"/>
    </row>
    <row r="1673" spans="1:11" ht="26.25" thickBot="1">
      <c r="A1673" s="3073">
        <v>160</v>
      </c>
      <c r="B1673" s="3074">
        <v>16</v>
      </c>
      <c r="C1673" s="3079">
        <v>44467</v>
      </c>
      <c r="D1673" s="3074" t="s">
        <v>3435</v>
      </c>
      <c r="E1673" s="3072" t="s">
        <v>3109</v>
      </c>
      <c r="F1673" s="3072" t="s">
        <v>3235</v>
      </c>
      <c r="G1673" s="3464" t="s">
        <v>3888</v>
      </c>
      <c r="H1673" s="3465"/>
      <c r="I1673" s="3074">
        <v>6074</v>
      </c>
      <c r="J1673" s="3464" t="s">
        <v>3889</v>
      </c>
      <c r="K1673" s="3465"/>
    </row>
    <row r="1674" spans="1:11" ht="26.25" thickBot="1">
      <c r="A1674" s="3073">
        <v>161</v>
      </c>
      <c r="B1674" s="3074">
        <v>16</v>
      </c>
      <c r="C1674" s="3079">
        <v>44497</v>
      </c>
      <c r="D1674" s="3074" t="s">
        <v>3436</v>
      </c>
      <c r="E1674" s="3072" t="s">
        <v>3109</v>
      </c>
      <c r="F1674" s="3072" t="s">
        <v>3235</v>
      </c>
      <c r="G1674" s="3076"/>
      <c r="H1674" s="3074" t="s">
        <v>3903</v>
      </c>
      <c r="I1674" s="3074">
        <v>6074</v>
      </c>
      <c r="J1674" s="3076"/>
      <c r="K1674" s="3074" t="s">
        <v>3904</v>
      </c>
    </row>
    <row r="1675" spans="1:11" ht="26.25" thickBot="1">
      <c r="A1675" s="3073">
        <v>162</v>
      </c>
      <c r="B1675" s="3074">
        <v>16</v>
      </c>
      <c r="C1675" s="3079">
        <v>44497</v>
      </c>
      <c r="D1675" s="3074" t="s">
        <v>3437</v>
      </c>
      <c r="E1675" s="3072" t="s">
        <v>3109</v>
      </c>
      <c r="F1675" s="3072" t="s">
        <v>3235</v>
      </c>
      <c r="G1675" s="3464" t="s">
        <v>3890</v>
      </c>
      <c r="H1675" s="3465"/>
      <c r="I1675" s="3074">
        <v>6074</v>
      </c>
      <c r="J1675" s="3464" t="s">
        <v>3891</v>
      </c>
      <c r="K1675" s="3465"/>
    </row>
    <row r="1676" spans="1:11" ht="26.25" thickBot="1">
      <c r="A1676" s="3073">
        <v>163</v>
      </c>
      <c r="B1676" s="3074">
        <v>16</v>
      </c>
      <c r="C1676" s="3079">
        <v>44497</v>
      </c>
      <c r="D1676" s="3074" t="s">
        <v>3438</v>
      </c>
      <c r="E1676" s="3072" t="s">
        <v>3109</v>
      </c>
      <c r="F1676" s="3072" t="s">
        <v>3235</v>
      </c>
      <c r="G1676" s="3464" t="s">
        <v>3894</v>
      </c>
      <c r="H1676" s="3465"/>
      <c r="I1676" s="3074">
        <v>6074</v>
      </c>
      <c r="J1676" s="3464">
        <v>72.06</v>
      </c>
      <c r="K1676" s="3465"/>
    </row>
    <row r="1677" spans="1:11" ht="26.25" thickBot="1">
      <c r="A1677" s="3073">
        <v>164</v>
      </c>
      <c r="B1677" s="3074">
        <v>16</v>
      </c>
      <c r="C1677" s="3079">
        <v>44497</v>
      </c>
      <c r="D1677" s="3074" t="s">
        <v>3439</v>
      </c>
      <c r="E1677" s="3072" t="s">
        <v>3109</v>
      </c>
      <c r="F1677" s="3072" t="s">
        <v>3235</v>
      </c>
      <c r="G1677" s="3464" t="s">
        <v>3892</v>
      </c>
      <c r="H1677" s="3465"/>
      <c r="I1677" s="3074">
        <v>6074</v>
      </c>
      <c r="J1677" s="3464" t="s">
        <v>3893</v>
      </c>
      <c r="K1677" s="3465"/>
    </row>
    <row r="1678" spans="1:11" ht="26.25" thickBot="1">
      <c r="A1678" s="3073">
        <v>165</v>
      </c>
      <c r="B1678" s="3074">
        <v>16</v>
      </c>
      <c r="C1678" s="3079">
        <v>44497</v>
      </c>
      <c r="D1678" s="3074" t="s">
        <v>3440</v>
      </c>
      <c r="E1678" s="3072" t="s">
        <v>3109</v>
      </c>
      <c r="F1678" s="3072" t="s">
        <v>3235</v>
      </c>
      <c r="G1678" s="3464" t="s">
        <v>3890</v>
      </c>
      <c r="H1678" s="3465"/>
      <c r="I1678" s="3074">
        <v>6074</v>
      </c>
      <c r="J1678" s="3464" t="s">
        <v>3891</v>
      </c>
      <c r="K1678" s="3465"/>
    </row>
    <row r="1679" spans="1:11" ht="26.25" thickBot="1">
      <c r="A1679" s="3073">
        <v>166</v>
      </c>
      <c r="B1679" s="3074">
        <v>16</v>
      </c>
      <c r="C1679" s="3079">
        <v>44497</v>
      </c>
      <c r="D1679" s="3074" t="s">
        <v>3441</v>
      </c>
      <c r="E1679" s="3072" t="s">
        <v>3109</v>
      </c>
      <c r="F1679" s="3072" t="s">
        <v>3235</v>
      </c>
      <c r="G1679" s="3464" t="s">
        <v>3888</v>
      </c>
      <c r="H1679" s="3465"/>
      <c r="I1679" s="3074">
        <v>6074</v>
      </c>
      <c r="J1679" s="3464" t="s">
        <v>3889</v>
      </c>
      <c r="K1679" s="3465"/>
    </row>
    <row r="1680" spans="1:11" ht="26.25" thickBot="1">
      <c r="A1680" s="3073">
        <v>167</v>
      </c>
      <c r="B1680" s="3074">
        <v>16</v>
      </c>
      <c r="C1680" s="3079">
        <v>44528</v>
      </c>
      <c r="D1680" s="3074" t="s">
        <v>3442</v>
      </c>
      <c r="E1680" s="3072" t="s">
        <v>3109</v>
      </c>
      <c r="F1680" s="3072" t="s">
        <v>3235</v>
      </c>
      <c r="G1680" s="3464" t="s">
        <v>3895</v>
      </c>
      <c r="H1680" s="3465"/>
      <c r="I1680" s="3074">
        <v>6074</v>
      </c>
      <c r="J1680" s="3464" t="s">
        <v>3896</v>
      </c>
      <c r="K1680" s="3465"/>
    </row>
    <row r="1681" spans="1:11" ht="26.25" thickBot="1">
      <c r="A1681" s="3073">
        <v>168</v>
      </c>
      <c r="B1681" s="3074">
        <v>16</v>
      </c>
      <c r="C1681" s="3079">
        <v>44528</v>
      </c>
      <c r="D1681" s="3074" t="s">
        <v>3443</v>
      </c>
      <c r="E1681" s="3072" t="s">
        <v>3109</v>
      </c>
      <c r="F1681" s="3072" t="s">
        <v>3235</v>
      </c>
      <c r="G1681" s="3464" t="s">
        <v>3890</v>
      </c>
      <c r="H1681" s="3465"/>
      <c r="I1681" s="3074">
        <v>6074</v>
      </c>
      <c r="J1681" s="3464" t="s">
        <v>3891</v>
      </c>
      <c r="K1681" s="3465"/>
    </row>
    <row r="1682" spans="1:11" ht="26.25" thickBot="1">
      <c r="A1682" s="3073">
        <v>169</v>
      </c>
      <c r="B1682" s="3074">
        <v>16</v>
      </c>
      <c r="C1682" s="3079">
        <v>44528</v>
      </c>
      <c r="D1682" s="3074" t="s">
        <v>3444</v>
      </c>
      <c r="E1682" s="3072" t="s">
        <v>3109</v>
      </c>
      <c r="F1682" s="3072" t="s">
        <v>3235</v>
      </c>
      <c r="G1682" s="3464" t="s">
        <v>3894</v>
      </c>
      <c r="H1682" s="3465"/>
      <c r="I1682" s="3074">
        <v>6074</v>
      </c>
      <c r="J1682" s="3464">
        <v>72.06</v>
      </c>
      <c r="K1682" s="3465"/>
    </row>
    <row r="1683" spans="1:11" ht="26.25" thickBot="1">
      <c r="A1683" s="3073">
        <v>170</v>
      </c>
      <c r="B1683" s="3074">
        <v>16</v>
      </c>
      <c r="C1683" s="3079">
        <v>44528</v>
      </c>
      <c r="D1683" s="3074" t="s">
        <v>3697</v>
      </c>
      <c r="E1683" s="3072" t="s">
        <v>3109</v>
      </c>
      <c r="F1683" s="3072" t="s">
        <v>3235</v>
      </c>
      <c r="G1683" s="3464" t="s">
        <v>3894</v>
      </c>
      <c r="H1683" s="3465"/>
      <c r="I1683" s="3074">
        <v>6074</v>
      </c>
      <c r="J1683" s="3464">
        <v>72.06</v>
      </c>
      <c r="K1683" s="3465"/>
    </row>
    <row r="1684" spans="1:11">
      <c r="A1684" s="3070"/>
    </row>
    <row r="1686" spans="1:11" ht="14.25" thickBot="1">
      <c r="A1686" s="3078"/>
    </row>
    <row r="1687" spans="1:11">
      <c r="A1687" s="3458" t="s">
        <v>3223</v>
      </c>
      <c r="B1687" s="3458" t="s">
        <v>3224</v>
      </c>
      <c r="C1687" s="3071" t="s">
        <v>3225</v>
      </c>
      <c r="D1687" s="3458" t="s">
        <v>3227</v>
      </c>
      <c r="E1687" s="3458" t="s">
        <v>1341</v>
      </c>
      <c r="F1687" s="3458" t="s">
        <v>3228</v>
      </c>
      <c r="G1687" s="3460" t="s">
        <v>3229</v>
      </c>
      <c r="H1687" s="3461"/>
      <c r="I1687" s="3458" t="s">
        <v>3231</v>
      </c>
      <c r="J1687" s="3460" t="s">
        <v>3232</v>
      </c>
      <c r="K1687" s="3461"/>
    </row>
    <row r="1688" spans="1:11" ht="14.25" thickBot="1">
      <c r="A1688" s="3459"/>
      <c r="B1688" s="3459"/>
      <c r="C1688" s="3072" t="s">
        <v>3226</v>
      </c>
      <c r="D1688" s="3459"/>
      <c r="E1688" s="3459"/>
      <c r="F1688" s="3459"/>
      <c r="G1688" s="3462" t="s">
        <v>3230</v>
      </c>
      <c r="H1688" s="3463"/>
      <c r="I1688" s="3459"/>
      <c r="J1688" s="3462"/>
      <c r="K1688" s="3463"/>
    </row>
    <row r="1689" spans="1:11" ht="26.25" thickBot="1">
      <c r="A1689" s="3073">
        <v>171</v>
      </c>
      <c r="B1689" s="3074">
        <v>16</v>
      </c>
      <c r="C1689" s="3079">
        <v>44528</v>
      </c>
      <c r="D1689" s="3074" t="s">
        <v>3635</v>
      </c>
      <c r="E1689" s="3072" t="s">
        <v>3109</v>
      </c>
      <c r="F1689" s="3072" t="s">
        <v>3235</v>
      </c>
      <c r="G1689" s="3464" t="s">
        <v>3890</v>
      </c>
      <c r="H1689" s="3465"/>
      <c r="I1689" s="3074">
        <v>6074</v>
      </c>
      <c r="J1689" s="3464" t="s">
        <v>3891</v>
      </c>
      <c r="K1689" s="3465"/>
    </row>
    <row r="1690" spans="1:11" ht="26.25" thickBot="1">
      <c r="A1690" s="3073">
        <v>172</v>
      </c>
      <c r="B1690" s="3074">
        <v>16</v>
      </c>
      <c r="C1690" s="3079">
        <v>44528</v>
      </c>
      <c r="D1690" s="3074" t="s">
        <v>3447</v>
      </c>
      <c r="E1690" s="3072" t="s">
        <v>3109</v>
      </c>
      <c r="F1690" s="3072" t="s">
        <v>3235</v>
      </c>
      <c r="G1690" s="3076"/>
      <c r="H1690" s="3074" t="s">
        <v>3903</v>
      </c>
      <c r="I1690" s="3074">
        <v>6074</v>
      </c>
      <c r="J1690" s="3076"/>
      <c r="K1690" s="3074" t="s">
        <v>3904</v>
      </c>
    </row>
    <row r="1691" spans="1:11" ht="26.25" thickBot="1">
      <c r="A1691" s="3073">
        <v>173</v>
      </c>
      <c r="B1691" s="3074">
        <v>16</v>
      </c>
      <c r="C1691" s="3079">
        <v>44558</v>
      </c>
      <c r="D1691" s="3074" t="s">
        <v>3448</v>
      </c>
      <c r="E1691" s="3072" t="s">
        <v>3109</v>
      </c>
      <c r="F1691" s="3072" t="s">
        <v>3235</v>
      </c>
      <c r="G1691" s="3464" t="s">
        <v>3888</v>
      </c>
      <c r="H1691" s="3465"/>
      <c r="I1691" s="3074">
        <v>6074</v>
      </c>
      <c r="J1691" s="3464" t="s">
        <v>3889</v>
      </c>
      <c r="K1691" s="3465"/>
    </row>
    <row r="1692" spans="1:11" ht="26.25" thickBot="1">
      <c r="A1692" s="3073">
        <v>174</v>
      </c>
      <c r="B1692" s="3074">
        <v>16</v>
      </c>
      <c r="C1692" s="3079">
        <v>44558</v>
      </c>
      <c r="D1692" s="3074" t="s">
        <v>3449</v>
      </c>
      <c r="E1692" s="3072" t="s">
        <v>3109</v>
      </c>
      <c r="F1692" s="3072" t="s">
        <v>3235</v>
      </c>
      <c r="G1692" s="3464" t="s">
        <v>3890</v>
      </c>
      <c r="H1692" s="3465"/>
      <c r="I1692" s="3074">
        <v>6074</v>
      </c>
      <c r="J1692" s="3464" t="s">
        <v>3891</v>
      </c>
      <c r="K1692" s="3465"/>
    </row>
    <row r="1693" spans="1:11" ht="23.25" thickBot="1">
      <c r="A1693" s="3073">
        <v>175</v>
      </c>
      <c r="B1693" s="3074">
        <v>16</v>
      </c>
      <c r="C1693" s="3079">
        <v>44558</v>
      </c>
      <c r="D1693" s="3082" t="s">
        <v>3905</v>
      </c>
      <c r="E1693" s="3083" t="s">
        <v>3109</v>
      </c>
      <c r="F1693" s="3083" t="s">
        <v>3235</v>
      </c>
      <c r="G1693" s="3464" t="s">
        <v>3892</v>
      </c>
      <c r="H1693" s="3465"/>
      <c r="I1693" s="3074">
        <v>6074</v>
      </c>
      <c r="J1693" s="3464" t="s">
        <v>3893</v>
      </c>
      <c r="K1693" s="3465"/>
    </row>
    <row r="1694" spans="1:11" ht="26.25" thickBot="1">
      <c r="A1694" s="3073">
        <v>176</v>
      </c>
      <c r="B1694" s="3074">
        <v>16</v>
      </c>
      <c r="C1694" s="3079">
        <v>44558</v>
      </c>
      <c r="D1694" s="3074" t="s">
        <v>3451</v>
      </c>
      <c r="E1694" s="3072" t="s">
        <v>3109</v>
      </c>
      <c r="F1694" s="3072" t="s">
        <v>3235</v>
      </c>
      <c r="G1694" s="3464" t="s">
        <v>3894</v>
      </c>
      <c r="H1694" s="3465"/>
      <c r="I1694" s="3074">
        <v>6074</v>
      </c>
      <c r="J1694" s="3464">
        <v>72.06</v>
      </c>
      <c r="K1694" s="3465"/>
    </row>
    <row r="1695" spans="1:11" ht="26.25" thickBot="1">
      <c r="A1695" s="3073">
        <v>177</v>
      </c>
      <c r="B1695" s="3074">
        <v>16</v>
      </c>
      <c r="C1695" s="3079">
        <v>44558</v>
      </c>
      <c r="D1695" s="3074" t="s">
        <v>3452</v>
      </c>
      <c r="E1695" s="3072" t="s">
        <v>3109</v>
      </c>
      <c r="F1695" s="3072" t="s">
        <v>3235</v>
      </c>
      <c r="G1695" s="3464" t="s">
        <v>3890</v>
      </c>
      <c r="H1695" s="3465"/>
      <c r="I1695" s="3074">
        <v>6074</v>
      </c>
      <c r="J1695" s="3464" t="s">
        <v>3891</v>
      </c>
      <c r="K1695" s="3465"/>
    </row>
    <row r="1696" spans="1:11" ht="26.25" thickBot="1">
      <c r="A1696" s="3073">
        <v>178</v>
      </c>
      <c r="B1696" s="3074">
        <v>16</v>
      </c>
      <c r="C1696" s="3079">
        <v>44558</v>
      </c>
      <c r="D1696" s="3074" t="s">
        <v>3453</v>
      </c>
      <c r="E1696" s="3072" t="s">
        <v>3109</v>
      </c>
      <c r="F1696" s="3072" t="s">
        <v>3235</v>
      </c>
      <c r="G1696" s="3464" t="s">
        <v>3895</v>
      </c>
      <c r="H1696" s="3465"/>
      <c r="I1696" s="3074">
        <v>6074</v>
      </c>
      <c r="J1696" s="3464" t="s">
        <v>3896</v>
      </c>
      <c r="K1696" s="3465"/>
    </row>
    <row r="1697" spans="1:11" ht="26.25" thickBot="1">
      <c r="A1697" s="3073">
        <v>179</v>
      </c>
      <c r="B1697" s="3074">
        <v>16</v>
      </c>
      <c r="C1697" s="3074" t="s">
        <v>3454</v>
      </c>
      <c r="D1697" s="3074" t="s">
        <v>3455</v>
      </c>
      <c r="E1697" s="3072" t="s">
        <v>3109</v>
      </c>
      <c r="F1697" s="3072" t="s">
        <v>3235</v>
      </c>
      <c r="G1697" s="3464" t="s">
        <v>3888</v>
      </c>
      <c r="H1697" s="3465"/>
      <c r="I1697" s="3074">
        <v>6074</v>
      </c>
      <c r="J1697" s="3464" t="s">
        <v>3889</v>
      </c>
      <c r="K1697" s="3465"/>
    </row>
    <row r="1698" spans="1:11" ht="26.25" thickBot="1">
      <c r="A1698" s="3073">
        <v>180</v>
      </c>
      <c r="B1698" s="3074">
        <v>16</v>
      </c>
      <c r="C1698" s="3074" t="s">
        <v>3454</v>
      </c>
      <c r="D1698" s="3074" t="s">
        <v>3456</v>
      </c>
      <c r="E1698" s="3072" t="s">
        <v>3109</v>
      </c>
      <c r="F1698" s="3072" t="s">
        <v>3235</v>
      </c>
      <c r="G1698" s="3464" t="s">
        <v>3890</v>
      </c>
      <c r="H1698" s="3465"/>
      <c r="I1698" s="3074">
        <v>6074</v>
      </c>
      <c r="J1698" s="3464" t="s">
        <v>3891</v>
      </c>
      <c r="K1698" s="3465"/>
    </row>
    <row r="1699" spans="1:11" ht="26.25" thickBot="1">
      <c r="A1699" s="3073">
        <v>181</v>
      </c>
      <c r="B1699" s="3074">
        <v>16</v>
      </c>
      <c r="C1699" s="3074" t="s">
        <v>3454</v>
      </c>
      <c r="D1699" s="3074" t="s">
        <v>3637</v>
      </c>
      <c r="E1699" s="3072" t="s">
        <v>3109</v>
      </c>
      <c r="F1699" s="3072" t="s">
        <v>3235</v>
      </c>
      <c r="G1699" s="3464" t="s">
        <v>3894</v>
      </c>
      <c r="H1699" s="3465"/>
      <c r="I1699" s="3074">
        <v>6074</v>
      </c>
      <c r="J1699" s="3464">
        <v>72.06</v>
      </c>
      <c r="K1699" s="3465"/>
    </row>
    <row r="1700" spans="1:11" ht="26.25" thickBot="1">
      <c r="A1700" s="3073">
        <v>182</v>
      </c>
      <c r="B1700" s="3074">
        <v>16</v>
      </c>
      <c r="C1700" s="3074" t="s">
        <v>3454</v>
      </c>
      <c r="D1700" s="3074" t="s">
        <v>3458</v>
      </c>
      <c r="E1700" s="3072" t="s">
        <v>3109</v>
      </c>
      <c r="F1700" s="3072" t="s">
        <v>3235</v>
      </c>
      <c r="G1700" s="3076"/>
      <c r="H1700" s="3074" t="s">
        <v>3901</v>
      </c>
      <c r="I1700" s="3074">
        <v>6074</v>
      </c>
      <c r="J1700" s="3076"/>
      <c r="K1700" s="3074">
        <v>0.06</v>
      </c>
    </row>
    <row r="1701" spans="1:11" ht="26.25" thickBot="1">
      <c r="A1701" s="3073">
        <v>183</v>
      </c>
      <c r="B1701" s="3074">
        <v>16</v>
      </c>
      <c r="C1701" s="3074" t="s">
        <v>3454</v>
      </c>
      <c r="D1701" s="3074" t="s">
        <v>3459</v>
      </c>
      <c r="E1701" s="3072" t="s">
        <v>3109</v>
      </c>
      <c r="F1701" s="3072" t="s">
        <v>3235</v>
      </c>
      <c r="G1701" s="3464" t="s">
        <v>3890</v>
      </c>
      <c r="H1701" s="3465"/>
      <c r="I1701" s="3074">
        <v>6074</v>
      </c>
      <c r="J1701" s="3464" t="s">
        <v>3891</v>
      </c>
      <c r="K1701" s="3465"/>
    </row>
    <row r="1702" spans="1:11" ht="26.25" thickBot="1">
      <c r="A1702" s="3073">
        <v>184</v>
      </c>
      <c r="B1702" s="3074">
        <v>16</v>
      </c>
      <c r="C1702" s="3074" t="s">
        <v>3454</v>
      </c>
      <c r="D1702" s="3074" t="s">
        <v>3460</v>
      </c>
      <c r="E1702" s="3072" t="s">
        <v>3109</v>
      </c>
      <c r="F1702" s="3072" t="s">
        <v>3235</v>
      </c>
      <c r="G1702" s="3464" t="s">
        <v>3888</v>
      </c>
      <c r="H1702" s="3465"/>
      <c r="I1702" s="3074">
        <v>6074</v>
      </c>
      <c r="J1702" s="3464" t="s">
        <v>3889</v>
      </c>
      <c r="K1702" s="3465"/>
    </row>
    <row r="1703" spans="1:11" ht="26.25" thickBot="1">
      <c r="A1703" s="3073">
        <v>185</v>
      </c>
      <c r="B1703" s="3074">
        <v>16</v>
      </c>
      <c r="C1703" s="3074" t="s">
        <v>3461</v>
      </c>
      <c r="D1703" s="3074" t="s">
        <v>3462</v>
      </c>
      <c r="E1703" s="3072" t="s">
        <v>3109</v>
      </c>
      <c r="F1703" s="3072" t="s">
        <v>3235</v>
      </c>
      <c r="G1703" s="3464" t="s">
        <v>3895</v>
      </c>
      <c r="H1703" s="3465"/>
      <c r="I1703" s="3074">
        <v>6074</v>
      </c>
      <c r="J1703" s="3464" t="s">
        <v>3896</v>
      </c>
      <c r="K1703" s="3465"/>
    </row>
    <row r="1704" spans="1:11" ht="26.25" thickBot="1">
      <c r="A1704" s="3073">
        <v>186</v>
      </c>
      <c r="B1704" s="3074">
        <v>16</v>
      </c>
      <c r="C1704" s="3074" t="s">
        <v>3461</v>
      </c>
      <c r="D1704" s="3074" t="s">
        <v>3463</v>
      </c>
      <c r="E1704" s="3072" t="s">
        <v>3109</v>
      </c>
      <c r="F1704" s="3072" t="s">
        <v>3235</v>
      </c>
      <c r="G1704" s="3464" t="s">
        <v>3890</v>
      </c>
      <c r="H1704" s="3465"/>
      <c r="I1704" s="3074">
        <v>6074</v>
      </c>
      <c r="J1704" s="3464" t="s">
        <v>3891</v>
      </c>
      <c r="K1704" s="3465"/>
    </row>
    <row r="1705" spans="1:11" ht="26.25" thickBot="1">
      <c r="A1705" s="3073">
        <v>187</v>
      </c>
      <c r="B1705" s="3074">
        <v>16</v>
      </c>
      <c r="C1705" s="3074" t="s">
        <v>3461</v>
      </c>
      <c r="D1705" s="3074" t="s">
        <v>3464</v>
      </c>
      <c r="E1705" s="3072" t="s">
        <v>3109</v>
      </c>
      <c r="F1705" s="3072" t="s">
        <v>3235</v>
      </c>
      <c r="G1705" s="3464" t="s">
        <v>3894</v>
      </c>
      <c r="H1705" s="3465"/>
      <c r="I1705" s="3074">
        <v>6074</v>
      </c>
      <c r="J1705" s="3464">
        <v>72.06</v>
      </c>
      <c r="K1705" s="3465"/>
    </row>
    <row r="1706" spans="1:11" ht="26.25" thickBot="1">
      <c r="A1706" s="3073">
        <v>188</v>
      </c>
      <c r="B1706" s="3074">
        <v>16</v>
      </c>
      <c r="C1706" s="3074" t="s">
        <v>3461</v>
      </c>
      <c r="D1706" s="3074" t="s">
        <v>3465</v>
      </c>
      <c r="E1706" s="3072" t="s">
        <v>3109</v>
      </c>
      <c r="F1706" s="3072" t="s">
        <v>3235</v>
      </c>
      <c r="G1706" s="3464" t="s">
        <v>3892</v>
      </c>
      <c r="H1706" s="3465"/>
      <c r="I1706" s="3074">
        <v>6074</v>
      </c>
      <c r="J1706" s="3464" t="s">
        <v>3893</v>
      </c>
      <c r="K1706" s="3465"/>
    </row>
    <row r="1707" spans="1:11" ht="26.25" thickBot="1">
      <c r="A1707" s="3073">
        <v>189</v>
      </c>
      <c r="B1707" s="3074">
        <v>16</v>
      </c>
      <c r="C1707" s="3074" t="s">
        <v>3461</v>
      </c>
      <c r="D1707" s="3074" t="s">
        <v>3466</v>
      </c>
      <c r="E1707" s="3072" t="s">
        <v>3109</v>
      </c>
      <c r="F1707" s="3072" t="s">
        <v>3235</v>
      </c>
      <c r="G1707" s="3464" t="s">
        <v>3890</v>
      </c>
      <c r="H1707" s="3465"/>
      <c r="I1707" s="3074">
        <v>6074</v>
      </c>
      <c r="J1707" s="3464" t="s">
        <v>3891</v>
      </c>
      <c r="K1707" s="3465"/>
    </row>
    <row r="1708" spans="1:11" ht="26.25" thickBot="1">
      <c r="A1708" s="3073">
        <v>190</v>
      </c>
      <c r="B1708" s="3074">
        <v>16</v>
      </c>
      <c r="C1708" s="3074" t="s">
        <v>3461</v>
      </c>
      <c r="D1708" s="3074" t="s">
        <v>3467</v>
      </c>
      <c r="E1708" s="3072" t="s">
        <v>3109</v>
      </c>
      <c r="F1708" s="3072" t="s">
        <v>3235</v>
      </c>
      <c r="G1708" s="3464" t="s">
        <v>3888</v>
      </c>
      <c r="H1708" s="3465"/>
      <c r="I1708" s="3074">
        <v>6074</v>
      </c>
      <c r="J1708" s="3464" t="s">
        <v>3889</v>
      </c>
      <c r="K1708" s="3465"/>
    </row>
    <row r="1709" spans="1:11" ht="26.25" thickBot="1">
      <c r="A1709" s="3073">
        <v>191</v>
      </c>
      <c r="B1709" s="3074">
        <v>16</v>
      </c>
      <c r="C1709" s="3074" t="s">
        <v>3468</v>
      </c>
      <c r="D1709" s="3074" t="s">
        <v>3469</v>
      </c>
      <c r="E1709" s="3072" t="s">
        <v>3109</v>
      </c>
      <c r="F1709" s="3072" t="s">
        <v>3235</v>
      </c>
      <c r="G1709" s="3464" t="s">
        <v>3888</v>
      </c>
      <c r="H1709" s="3465"/>
      <c r="I1709" s="3074">
        <v>6074</v>
      </c>
      <c r="J1709" s="3464" t="s">
        <v>3889</v>
      </c>
      <c r="K1709" s="3465"/>
    </row>
    <row r="1710" spans="1:11" ht="26.25" thickBot="1">
      <c r="A1710" s="3073">
        <v>192</v>
      </c>
      <c r="B1710" s="3074">
        <v>16</v>
      </c>
      <c r="C1710" s="3074" t="s">
        <v>3468</v>
      </c>
      <c r="D1710" s="3074" t="s">
        <v>3470</v>
      </c>
      <c r="E1710" s="3072" t="s">
        <v>3109</v>
      </c>
      <c r="F1710" s="3072" t="s">
        <v>3235</v>
      </c>
      <c r="G1710" s="3464" t="s">
        <v>3890</v>
      </c>
      <c r="H1710" s="3465"/>
      <c r="I1710" s="3074">
        <v>6074</v>
      </c>
      <c r="J1710" s="3464" t="s">
        <v>3900</v>
      </c>
      <c r="K1710" s="3465"/>
    </row>
    <row r="1711" spans="1:11" ht="26.25" thickBot="1">
      <c r="A1711" s="3073">
        <v>193</v>
      </c>
      <c r="B1711" s="3074">
        <v>16</v>
      </c>
      <c r="C1711" s="3074" t="s">
        <v>3468</v>
      </c>
      <c r="D1711" s="3074" t="s">
        <v>3471</v>
      </c>
      <c r="E1711" s="3072" t="s">
        <v>3109</v>
      </c>
      <c r="F1711" s="3072" t="s">
        <v>3235</v>
      </c>
      <c r="G1711" s="3464" t="s">
        <v>3894</v>
      </c>
      <c r="H1711" s="3465"/>
      <c r="I1711" s="3074">
        <v>6074</v>
      </c>
      <c r="J1711" s="3464">
        <v>72.06</v>
      </c>
      <c r="K1711" s="3465"/>
    </row>
    <row r="1712" spans="1:11" ht="26.25" thickBot="1">
      <c r="A1712" s="3073">
        <v>194</v>
      </c>
      <c r="B1712" s="3074">
        <v>16</v>
      </c>
      <c r="C1712" s="3074" t="s">
        <v>3468</v>
      </c>
      <c r="D1712" s="3074" t="s">
        <v>3472</v>
      </c>
      <c r="E1712" s="3072" t="s">
        <v>3109</v>
      </c>
      <c r="F1712" s="3072" t="s">
        <v>3235</v>
      </c>
      <c r="G1712" s="3464" t="s">
        <v>3894</v>
      </c>
      <c r="H1712" s="3465"/>
      <c r="I1712" s="3074">
        <v>6074</v>
      </c>
      <c r="J1712" s="3464">
        <v>72.06</v>
      </c>
      <c r="K1712" s="3465"/>
    </row>
    <row r="1713" spans="1:11" ht="26.25" thickBot="1">
      <c r="A1713" s="3073">
        <v>195</v>
      </c>
      <c r="B1713" s="3074">
        <v>16</v>
      </c>
      <c r="C1713" s="3074" t="s">
        <v>3468</v>
      </c>
      <c r="D1713" s="3074" t="s">
        <v>3473</v>
      </c>
      <c r="E1713" s="3072" t="s">
        <v>3109</v>
      </c>
      <c r="F1713" s="3072" t="s">
        <v>3235</v>
      </c>
      <c r="G1713" s="3464" t="s">
        <v>3890</v>
      </c>
      <c r="H1713" s="3465"/>
      <c r="I1713" s="3074">
        <v>6074</v>
      </c>
      <c r="J1713" s="3464" t="s">
        <v>3900</v>
      </c>
      <c r="K1713" s="3465"/>
    </row>
    <row r="1714" spans="1:11" ht="26.25" thickBot="1">
      <c r="A1714" s="3073">
        <v>196</v>
      </c>
      <c r="B1714" s="3074">
        <v>16</v>
      </c>
      <c r="C1714" s="3074" t="s">
        <v>3468</v>
      </c>
      <c r="D1714" s="3074" t="s">
        <v>3474</v>
      </c>
      <c r="E1714" s="3072" t="s">
        <v>3109</v>
      </c>
      <c r="F1714" s="3072" t="s">
        <v>3235</v>
      </c>
      <c r="G1714" s="3464" t="s">
        <v>3888</v>
      </c>
      <c r="H1714" s="3465"/>
      <c r="I1714" s="3074">
        <v>6074</v>
      </c>
      <c r="J1714" s="3464" t="s">
        <v>3889</v>
      </c>
      <c r="K1714" s="3465"/>
    </row>
    <row r="1715" spans="1:11" ht="26.25" thickBot="1">
      <c r="A1715" s="3073">
        <v>197</v>
      </c>
      <c r="B1715" s="3074">
        <v>16</v>
      </c>
      <c r="C1715" s="3074" t="s">
        <v>3475</v>
      </c>
      <c r="D1715" s="3074" t="s">
        <v>3476</v>
      </c>
      <c r="E1715" s="3072" t="s">
        <v>3109</v>
      </c>
      <c r="F1715" s="3072" t="s">
        <v>3235</v>
      </c>
      <c r="G1715" s="3464" t="s">
        <v>3888</v>
      </c>
      <c r="H1715" s="3465"/>
      <c r="I1715" s="3074">
        <v>6074</v>
      </c>
      <c r="J1715" s="3464" t="s">
        <v>3889</v>
      </c>
      <c r="K1715" s="3465"/>
    </row>
    <row r="1716" spans="1:11" ht="26.25" thickBot="1">
      <c r="A1716" s="3073">
        <v>198</v>
      </c>
      <c r="B1716" s="3074">
        <v>16</v>
      </c>
      <c r="C1716" s="3074" t="s">
        <v>3475</v>
      </c>
      <c r="D1716" s="3074" t="s">
        <v>3477</v>
      </c>
      <c r="E1716" s="3072" t="s">
        <v>3109</v>
      </c>
      <c r="F1716" s="3072" t="s">
        <v>3235</v>
      </c>
      <c r="G1716" s="3464" t="s">
        <v>3890</v>
      </c>
      <c r="H1716" s="3465"/>
      <c r="I1716" s="3074">
        <v>6074</v>
      </c>
      <c r="J1716" s="3464" t="s">
        <v>3891</v>
      </c>
      <c r="K1716" s="3465"/>
    </row>
    <row r="1717" spans="1:11" ht="26.25" thickBot="1">
      <c r="A1717" s="3073">
        <v>199</v>
      </c>
      <c r="B1717" s="3074">
        <v>16</v>
      </c>
      <c r="C1717" s="3074" t="s">
        <v>3475</v>
      </c>
      <c r="D1717" s="3074" t="s">
        <v>3478</v>
      </c>
      <c r="E1717" s="3072" t="s">
        <v>3109</v>
      </c>
      <c r="F1717" s="3072" t="s">
        <v>3235</v>
      </c>
      <c r="G1717" s="3076"/>
      <c r="H1717" s="3074" t="s">
        <v>3901</v>
      </c>
      <c r="I1717" s="3074">
        <v>6074</v>
      </c>
      <c r="J1717" s="3076"/>
      <c r="K1717" s="3074">
        <v>0.06</v>
      </c>
    </row>
    <row r="1718" spans="1:11" ht="26.25" thickBot="1">
      <c r="A1718" s="3073">
        <v>200</v>
      </c>
      <c r="B1718" s="3074">
        <v>16</v>
      </c>
      <c r="C1718" s="3074" t="s">
        <v>3475</v>
      </c>
      <c r="D1718" s="3074" t="s">
        <v>3479</v>
      </c>
      <c r="E1718" s="3072" t="s">
        <v>3109</v>
      </c>
      <c r="F1718" s="3072" t="s">
        <v>3235</v>
      </c>
      <c r="G1718" s="3464" t="s">
        <v>3894</v>
      </c>
      <c r="H1718" s="3465"/>
      <c r="I1718" s="3074">
        <v>6074</v>
      </c>
      <c r="J1718" s="3464">
        <v>72.06</v>
      </c>
      <c r="K1718" s="3465"/>
    </row>
    <row r="1719" spans="1:11" ht="26.25" thickBot="1">
      <c r="A1719" s="3073">
        <v>201</v>
      </c>
      <c r="B1719" s="3074">
        <v>16</v>
      </c>
      <c r="C1719" s="3074" t="s">
        <v>3475</v>
      </c>
      <c r="D1719" s="3074" t="s">
        <v>3480</v>
      </c>
      <c r="E1719" s="3072" t="s">
        <v>3109</v>
      </c>
      <c r="F1719" s="3072" t="s">
        <v>3235</v>
      </c>
      <c r="G1719" s="3464" t="s">
        <v>3890</v>
      </c>
      <c r="H1719" s="3465"/>
      <c r="I1719" s="3074">
        <v>6074</v>
      </c>
      <c r="J1719" s="3464" t="s">
        <v>3891</v>
      </c>
      <c r="K1719" s="3465"/>
    </row>
    <row r="1720" spans="1:11" ht="26.25" thickBot="1">
      <c r="A1720" s="3073">
        <v>202</v>
      </c>
      <c r="B1720" s="3074">
        <v>16</v>
      </c>
      <c r="C1720" s="3074" t="s">
        <v>3475</v>
      </c>
      <c r="D1720" s="3074" t="s">
        <v>3481</v>
      </c>
      <c r="E1720" s="3072" t="s">
        <v>3109</v>
      </c>
      <c r="F1720" s="3072" t="s">
        <v>3235</v>
      </c>
      <c r="G1720" s="3464" t="s">
        <v>3895</v>
      </c>
      <c r="H1720" s="3465"/>
      <c r="I1720" s="3074">
        <v>6074</v>
      </c>
      <c r="J1720" s="3464" t="s">
        <v>3896</v>
      </c>
      <c r="K1720" s="3465"/>
    </row>
    <row r="1721" spans="1:11" ht="26.25" thickBot="1">
      <c r="A1721" s="3073">
        <v>203</v>
      </c>
      <c r="B1721" s="3074">
        <v>16</v>
      </c>
      <c r="C1721" s="3074" t="s">
        <v>3482</v>
      </c>
      <c r="D1721" s="3074" t="s">
        <v>3483</v>
      </c>
      <c r="E1721" s="3072" t="s">
        <v>3109</v>
      </c>
      <c r="F1721" s="3072" t="s">
        <v>3235</v>
      </c>
      <c r="G1721" s="3464" t="s">
        <v>3888</v>
      </c>
      <c r="H1721" s="3465"/>
      <c r="I1721" s="3074">
        <v>6074</v>
      </c>
      <c r="J1721" s="3464" t="s">
        <v>3889</v>
      </c>
      <c r="K1721" s="3465"/>
    </row>
    <row r="1722" spans="1:11" ht="26.25" thickBot="1">
      <c r="A1722" s="3073">
        <v>204</v>
      </c>
      <c r="B1722" s="3074">
        <v>16</v>
      </c>
      <c r="C1722" s="3074" t="s">
        <v>3482</v>
      </c>
      <c r="D1722" s="3074" t="s">
        <v>3484</v>
      </c>
      <c r="E1722" s="3072" t="s">
        <v>3109</v>
      </c>
      <c r="F1722" s="3072" t="s">
        <v>3235</v>
      </c>
      <c r="G1722" s="3464" t="s">
        <v>3890</v>
      </c>
      <c r="H1722" s="3465"/>
      <c r="I1722" s="3074">
        <v>6074</v>
      </c>
      <c r="J1722" s="3464" t="s">
        <v>3891</v>
      </c>
      <c r="K1722" s="3465"/>
    </row>
    <row r="1723" spans="1:11" ht="26.25" thickBot="1">
      <c r="A1723" s="3073">
        <v>205</v>
      </c>
      <c r="B1723" s="3074">
        <v>16</v>
      </c>
      <c r="C1723" s="3074" t="s">
        <v>3482</v>
      </c>
      <c r="D1723" s="3074" t="s">
        <v>3485</v>
      </c>
      <c r="E1723" s="3072" t="s">
        <v>3109</v>
      </c>
      <c r="F1723" s="3072" t="s">
        <v>3235</v>
      </c>
      <c r="G1723" s="3464" t="s">
        <v>3892</v>
      </c>
      <c r="H1723" s="3465"/>
      <c r="I1723" s="3074">
        <v>6074</v>
      </c>
      <c r="J1723" s="3464" t="s">
        <v>3893</v>
      </c>
      <c r="K1723" s="3465"/>
    </row>
    <row r="1724" spans="1:11" ht="26.25" thickBot="1">
      <c r="A1724" s="3073">
        <v>206</v>
      </c>
      <c r="B1724" s="3074">
        <v>16</v>
      </c>
      <c r="C1724" s="3074" t="s">
        <v>3482</v>
      </c>
      <c r="D1724" s="3074" t="s">
        <v>3486</v>
      </c>
      <c r="E1724" s="3072" t="s">
        <v>3109</v>
      </c>
      <c r="F1724" s="3072" t="s">
        <v>3235</v>
      </c>
      <c r="G1724" s="3464" t="s">
        <v>3894</v>
      </c>
      <c r="H1724" s="3465"/>
      <c r="I1724" s="3074">
        <v>6074</v>
      </c>
      <c r="J1724" s="3464">
        <v>72.06</v>
      </c>
      <c r="K1724" s="3465"/>
    </row>
    <row r="1725" spans="1:11" ht="26.25" thickBot="1">
      <c r="A1725" s="3073">
        <v>207</v>
      </c>
      <c r="B1725" s="3074">
        <v>16</v>
      </c>
      <c r="C1725" s="3074" t="s">
        <v>3482</v>
      </c>
      <c r="D1725" s="3074" t="s">
        <v>3487</v>
      </c>
      <c r="E1725" s="3072" t="s">
        <v>3109</v>
      </c>
      <c r="F1725" s="3072" t="s">
        <v>3235</v>
      </c>
      <c r="G1725" s="3464" t="s">
        <v>3890</v>
      </c>
      <c r="H1725" s="3465"/>
      <c r="I1725" s="3074">
        <v>6074</v>
      </c>
      <c r="J1725" s="3464" t="s">
        <v>3891</v>
      </c>
      <c r="K1725" s="3465"/>
    </row>
    <row r="1726" spans="1:11" ht="26.25" thickBot="1">
      <c r="A1726" s="3073">
        <v>208</v>
      </c>
      <c r="B1726" s="3074">
        <v>16</v>
      </c>
      <c r="C1726" s="3074" t="s">
        <v>3482</v>
      </c>
      <c r="D1726" s="3074" t="s">
        <v>3488</v>
      </c>
      <c r="E1726" s="3072" t="s">
        <v>3109</v>
      </c>
      <c r="F1726" s="3072" t="s">
        <v>3235</v>
      </c>
      <c r="G1726" s="3464" t="s">
        <v>3888</v>
      </c>
      <c r="H1726" s="3465"/>
      <c r="I1726" s="3074">
        <v>6074</v>
      </c>
      <c r="J1726" s="3464" t="s">
        <v>3889</v>
      </c>
      <c r="K1726" s="3465"/>
    </row>
    <row r="1727" spans="1:11" ht="26.25" thickBot="1">
      <c r="A1727" s="3073">
        <v>209</v>
      </c>
      <c r="B1727" s="3074">
        <v>16</v>
      </c>
      <c r="C1727" s="3074" t="s">
        <v>3489</v>
      </c>
      <c r="D1727" s="3074" t="s">
        <v>3490</v>
      </c>
      <c r="E1727" s="3072" t="s">
        <v>3109</v>
      </c>
      <c r="F1727" s="3072" t="s">
        <v>3235</v>
      </c>
      <c r="G1727" s="3076"/>
      <c r="H1727" s="3074" t="s">
        <v>3903</v>
      </c>
      <c r="I1727" s="3074">
        <v>6074</v>
      </c>
      <c r="J1727" s="3076"/>
      <c r="K1727" s="3074" t="s">
        <v>3904</v>
      </c>
    </row>
    <row r="1728" spans="1:11" ht="26.25" thickBot="1">
      <c r="A1728" s="3073">
        <v>210</v>
      </c>
      <c r="B1728" s="3074">
        <v>16</v>
      </c>
      <c r="C1728" s="3074" t="s">
        <v>3489</v>
      </c>
      <c r="D1728" s="3074" t="s">
        <v>3491</v>
      </c>
      <c r="E1728" s="3072" t="s">
        <v>3109</v>
      </c>
      <c r="F1728" s="3072" t="s">
        <v>3235</v>
      </c>
      <c r="G1728" s="3464" t="s">
        <v>3890</v>
      </c>
      <c r="H1728" s="3465"/>
      <c r="I1728" s="3074">
        <v>6074</v>
      </c>
      <c r="J1728" s="3464" t="s">
        <v>3891</v>
      </c>
      <c r="K1728" s="3465"/>
    </row>
    <row r="1729" spans="1:11" ht="26.25" thickBot="1">
      <c r="A1729" s="3073">
        <v>211</v>
      </c>
      <c r="B1729" s="3074">
        <v>16</v>
      </c>
      <c r="C1729" s="3074" t="s">
        <v>3489</v>
      </c>
      <c r="D1729" s="3074" t="s">
        <v>3492</v>
      </c>
      <c r="E1729" s="3072" t="s">
        <v>3109</v>
      </c>
      <c r="F1729" s="3072" t="s">
        <v>3235</v>
      </c>
      <c r="G1729" s="3464" t="s">
        <v>3894</v>
      </c>
      <c r="H1729" s="3465"/>
      <c r="I1729" s="3074">
        <v>6074</v>
      </c>
      <c r="J1729" s="3464">
        <v>72.06</v>
      </c>
      <c r="K1729" s="3465"/>
    </row>
    <row r="1730" spans="1:11" ht="26.25" thickBot="1">
      <c r="A1730" s="3073">
        <v>212</v>
      </c>
      <c r="B1730" s="3074">
        <v>16</v>
      </c>
      <c r="C1730" s="3074" t="s">
        <v>3489</v>
      </c>
      <c r="D1730" s="3074" t="s">
        <v>3493</v>
      </c>
      <c r="E1730" s="3072" t="s">
        <v>3109</v>
      </c>
      <c r="F1730" s="3072" t="s">
        <v>3235</v>
      </c>
      <c r="G1730" s="3464" t="s">
        <v>3892</v>
      </c>
      <c r="H1730" s="3465"/>
      <c r="I1730" s="3074">
        <v>6074</v>
      </c>
      <c r="J1730" s="3464" t="s">
        <v>3893</v>
      </c>
      <c r="K1730" s="3465"/>
    </row>
    <row r="1731" spans="1:11" ht="26.25" thickBot="1">
      <c r="A1731" s="3073">
        <v>213</v>
      </c>
      <c r="B1731" s="3074">
        <v>16</v>
      </c>
      <c r="C1731" s="3074" t="s">
        <v>3489</v>
      </c>
      <c r="D1731" s="3074" t="s">
        <v>3494</v>
      </c>
      <c r="E1731" s="3072" t="s">
        <v>3109</v>
      </c>
      <c r="F1731" s="3072" t="s">
        <v>3235</v>
      </c>
      <c r="G1731" s="3464" t="s">
        <v>3890</v>
      </c>
      <c r="H1731" s="3465"/>
      <c r="I1731" s="3074">
        <v>6074</v>
      </c>
      <c r="J1731" s="3464" t="s">
        <v>3891</v>
      </c>
      <c r="K1731" s="3465"/>
    </row>
    <row r="1732" spans="1:11" ht="26.25" thickBot="1">
      <c r="A1732" s="3073">
        <v>214</v>
      </c>
      <c r="B1732" s="3074">
        <v>16</v>
      </c>
      <c r="C1732" s="3074" t="s">
        <v>3489</v>
      </c>
      <c r="D1732" s="3074" t="s">
        <v>3495</v>
      </c>
      <c r="E1732" s="3072" t="s">
        <v>3109</v>
      </c>
      <c r="F1732" s="3072" t="s">
        <v>3235</v>
      </c>
      <c r="G1732" s="3464" t="s">
        <v>3888</v>
      </c>
      <c r="H1732" s="3465"/>
      <c r="I1732" s="3074">
        <v>6074</v>
      </c>
      <c r="J1732" s="3464" t="s">
        <v>3889</v>
      </c>
      <c r="K1732" s="3465"/>
    </row>
    <row r="1733" spans="1:11" ht="26.25" thickBot="1">
      <c r="A1733" s="3073">
        <v>215</v>
      </c>
      <c r="B1733" s="3074">
        <v>16</v>
      </c>
      <c r="C1733" s="3074" t="s">
        <v>3496</v>
      </c>
      <c r="D1733" s="3074" t="s">
        <v>3497</v>
      </c>
      <c r="E1733" s="3072" t="s">
        <v>3109</v>
      </c>
      <c r="F1733" s="3072" t="s">
        <v>3235</v>
      </c>
      <c r="G1733" s="3464" t="s">
        <v>3888</v>
      </c>
      <c r="H1733" s="3465"/>
      <c r="I1733" s="3074">
        <v>6074</v>
      </c>
      <c r="J1733" s="3464" t="s">
        <v>3889</v>
      </c>
      <c r="K1733" s="3465"/>
    </row>
    <row r="1734" spans="1:11" ht="26.25" thickBot="1">
      <c r="A1734" s="3073">
        <v>216</v>
      </c>
      <c r="B1734" s="3074">
        <v>16</v>
      </c>
      <c r="C1734" s="3074" t="s">
        <v>3496</v>
      </c>
      <c r="D1734" s="3074" t="s">
        <v>3498</v>
      </c>
      <c r="E1734" s="3072" t="s">
        <v>3109</v>
      </c>
      <c r="F1734" s="3072" t="s">
        <v>3235</v>
      </c>
      <c r="G1734" s="3080">
        <v>94</v>
      </c>
      <c r="H1734" s="3074">
        <v>82</v>
      </c>
      <c r="I1734" s="3074">
        <v>6074</v>
      </c>
      <c r="J1734" s="3076"/>
      <c r="K1734" s="3074" t="s">
        <v>3897</v>
      </c>
    </row>
    <row r="1735" spans="1:11" ht="26.25" thickBot="1">
      <c r="A1735" s="3073">
        <v>217</v>
      </c>
      <c r="B1735" s="3074">
        <v>16</v>
      </c>
      <c r="C1735" s="3074" t="s">
        <v>3496</v>
      </c>
      <c r="D1735" s="3074" t="s">
        <v>3499</v>
      </c>
      <c r="E1735" s="3072" t="s">
        <v>3109</v>
      </c>
      <c r="F1735" s="3072" t="s">
        <v>3235</v>
      </c>
      <c r="G1735" s="3464" t="s">
        <v>3894</v>
      </c>
      <c r="H1735" s="3465"/>
      <c r="I1735" s="3074">
        <v>6074</v>
      </c>
      <c r="J1735" s="3464">
        <v>72.06</v>
      </c>
      <c r="K1735" s="3465"/>
    </row>
    <row r="1736" spans="1:11" ht="26.25" thickBot="1">
      <c r="A1736" s="3073">
        <v>218</v>
      </c>
      <c r="B1736" s="3074">
        <v>16</v>
      </c>
      <c r="C1736" s="3074" t="s">
        <v>3496</v>
      </c>
      <c r="D1736" s="3074" t="s">
        <v>3500</v>
      </c>
      <c r="E1736" s="3072" t="s">
        <v>3109</v>
      </c>
      <c r="F1736" s="3072" t="s">
        <v>3235</v>
      </c>
      <c r="G1736" s="3464" t="s">
        <v>3894</v>
      </c>
      <c r="H1736" s="3465"/>
      <c r="I1736" s="3074">
        <v>6074</v>
      </c>
      <c r="J1736" s="3464">
        <v>72.06</v>
      </c>
      <c r="K1736" s="3465"/>
    </row>
    <row r="1737" spans="1:11" ht="26.25" thickBot="1">
      <c r="A1737" s="3073">
        <v>219</v>
      </c>
      <c r="B1737" s="3074">
        <v>16</v>
      </c>
      <c r="C1737" s="3074" t="s">
        <v>3496</v>
      </c>
      <c r="D1737" s="3074" t="s">
        <v>3501</v>
      </c>
      <c r="E1737" s="3072" t="s">
        <v>3109</v>
      </c>
      <c r="F1737" s="3072" t="s">
        <v>3235</v>
      </c>
      <c r="G1737" s="3464" t="s">
        <v>3890</v>
      </c>
      <c r="H1737" s="3465"/>
      <c r="I1737" s="3074">
        <v>6074</v>
      </c>
      <c r="J1737" s="3464" t="s">
        <v>3900</v>
      </c>
      <c r="K1737" s="3465"/>
    </row>
    <row r="1738" spans="1:11" ht="26.25" thickBot="1">
      <c r="A1738" s="3073">
        <v>220</v>
      </c>
      <c r="B1738" s="3074">
        <v>16</v>
      </c>
      <c r="C1738" s="3074" t="s">
        <v>3496</v>
      </c>
      <c r="D1738" s="3074" t="s">
        <v>3502</v>
      </c>
      <c r="E1738" s="3072" t="s">
        <v>3109</v>
      </c>
      <c r="F1738" s="3072" t="s">
        <v>3235</v>
      </c>
      <c r="G1738" s="3464" t="s">
        <v>3888</v>
      </c>
      <c r="H1738" s="3465"/>
      <c r="I1738" s="3074">
        <v>6074</v>
      </c>
      <c r="J1738" s="3464" t="s">
        <v>3889</v>
      </c>
      <c r="K1738" s="3465"/>
    </row>
    <row r="1739" spans="1:11" ht="26.25" thickBot="1">
      <c r="A1739" s="3073">
        <v>221</v>
      </c>
      <c r="B1739" s="3074">
        <v>16</v>
      </c>
      <c r="C1739" s="3074" t="s">
        <v>3503</v>
      </c>
      <c r="D1739" s="3074" t="s">
        <v>3504</v>
      </c>
      <c r="E1739" s="3072" t="s">
        <v>3109</v>
      </c>
      <c r="F1739" s="3072" t="s">
        <v>3235</v>
      </c>
      <c r="G1739" s="3464" t="s">
        <v>3888</v>
      </c>
      <c r="H1739" s="3465"/>
      <c r="I1739" s="3074">
        <v>6074</v>
      </c>
      <c r="J1739" s="3464" t="s">
        <v>3889</v>
      </c>
      <c r="K1739" s="3465"/>
    </row>
    <row r="1740" spans="1:11" ht="26.25" thickBot="1">
      <c r="A1740" s="3073">
        <v>222</v>
      </c>
      <c r="B1740" s="3074">
        <v>16</v>
      </c>
      <c r="C1740" s="3074" t="s">
        <v>3503</v>
      </c>
      <c r="D1740" s="3074" t="s">
        <v>3505</v>
      </c>
      <c r="E1740" s="3072" t="s">
        <v>3109</v>
      </c>
      <c r="F1740" s="3072" t="s">
        <v>3235</v>
      </c>
      <c r="G1740" s="3464" t="s">
        <v>3890</v>
      </c>
      <c r="H1740" s="3465"/>
      <c r="I1740" s="3074">
        <v>6074</v>
      </c>
      <c r="J1740" s="3464" t="s">
        <v>3900</v>
      </c>
      <c r="K1740" s="3465"/>
    </row>
    <row r="1741" spans="1:11" ht="26.25" thickBot="1">
      <c r="A1741" s="3073">
        <v>223</v>
      </c>
      <c r="B1741" s="3074">
        <v>16</v>
      </c>
      <c r="C1741" s="3074" t="s">
        <v>3503</v>
      </c>
      <c r="D1741" s="3074" t="s">
        <v>3506</v>
      </c>
      <c r="E1741" s="3072" t="s">
        <v>3109</v>
      </c>
      <c r="F1741" s="3072" t="s">
        <v>3235</v>
      </c>
      <c r="G1741" s="3464" t="s">
        <v>3894</v>
      </c>
      <c r="H1741" s="3465"/>
      <c r="I1741" s="3074">
        <v>6074</v>
      </c>
      <c r="J1741" s="3464">
        <v>72.06</v>
      </c>
      <c r="K1741" s="3465"/>
    </row>
    <row r="1742" spans="1:11" ht="26.25" thickBot="1">
      <c r="A1742" s="3073">
        <v>224</v>
      </c>
      <c r="B1742" s="3074">
        <v>16</v>
      </c>
      <c r="C1742" s="3074" t="s">
        <v>3503</v>
      </c>
      <c r="D1742" s="3074" t="s">
        <v>3507</v>
      </c>
      <c r="E1742" s="3072" t="s">
        <v>3109</v>
      </c>
      <c r="F1742" s="3072" t="s">
        <v>3235</v>
      </c>
      <c r="G1742" s="3464" t="s">
        <v>3894</v>
      </c>
      <c r="H1742" s="3465"/>
      <c r="I1742" s="3074">
        <v>6074</v>
      </c>
      <c r="J1742" s="3464">
        <v>72.06</v>
      </c>
      <c r="K1742" s="3465"/>
    </row>
    <row r="1743" spans="1:11" ht="26.25" thickBot="1">
      <c r="A1743" s="3073">
        <v>225</v>
      </c>
      <c r="B1743" s="3074">
        <v>16</v>
      </c>
      <c r="C1743" s="3074" t="s">
        <v>3503</v>
      </c>
      <c r="D1743" s="3074" t="s">
        <v>3703</v>
      </c>
      <c r="E1743" s="3072" t="s">
        <v>3109</v>
      </c>
      <c r="F1743" s="3072" t="s">
        <v>3235</v>
      </c>
      <c r="G1743" s="3464" t="s">
        <v>3890</v>
      </c>
      <c r="H1743" s="3465"/>
      <c r="I1743" s="3074">
        <v>6074</v>
      </c>
      <c r="J1743" s="3464" t="s">
        <v>3891</v>
      </c>
      <c r="K1743" s="3465"/>
    </row>
    <row r="1744" spans="1:11">
      <c r="A1744" s="3070"/>
    </row>
    <row r="1746" spans="1:11" ht="14.25" thickBot="1">
      <c r="A1746" s="3078"/>
    </row>
    <row r="1747" spans="1:11">
      <c r="A1747" s="3458" t="s">
        <v>3223</v>
      </c>
      <c r="B1747" s="3458" t="s">
        <v>3224</v>
      </c>
      <c r="C1747" s="3071" t="s">
        <v>3225</v>
      </c>
      <c r="D1747" s="3458" t="s">
        <v>3227</v>
      </c>
      <c r="E1747" s="3458" t="s">
        <v>1341</v>
      </c>
      <c r="F1747" s="3458" t="s">
        <v>3228</v>
      </c>
      <c r="G1747" s="3460" t="s">
        <v>3229</v>
      </c>
      <c r="H1747" s="3461"/>
      <c r="I1747" s="3458" t="s">
        <v>3231</v>
      </c>
      <c r="J1747" s="3460" t="s">
        <v>3232</v>
      </c>
      <c r="K1747" s="3461"/>
    </row>
    <row r="1748" spans="1:11" ht="14.25" thickBot="1">
      <c r="A1748" s="3459"/>
      <c r="B1748" s="3459"/>
      <c r="C1748" s="3072" t="s">
        <v>3226</v>
      </c>
      <c r="D1748" s="3459"/>
      <c r="E1748" s="3459"/>
      <c r="F1748" s="3459"/>
      <c r="G1748" s="3462" t="s">
        <v>3230</v>
      </c>
      <c r="H1748" s="3463"/>
      <c r="I1748" s="3459"/>
      <c r="J1748" s="3462"/>
      <c r="K1748" s="3463"/>
    </row>
    <row r="1749" spans="1:11" ht="26.25" thickBot="1">
      <c r="A1749" s="3073">
        <v>226</v>
      </c>
      <c r="B1749" s="3074">
        <v>16</v>
      </c>
      <c r="C1749" s="3074" t="s">
        <v>3503</v>
      </c>
      <c r="D1749" s="3074" t="s">
        <v>3639</v>
      </c>
      <c r="E1749" s="3072" t="s">
        <v>3109</v>
      </c>
      <c r="F1749" s="3072" t="s">
        <v>3235</v>
      </c>
      <c r="G1749" s="3464" t="s">
        <v>3888</v>
      </c>
      <c r="H1749" s="3465"/>
      <c r="I1749" s="3074">
        <v>6074</v>
      </c>
      <c r="J1749" s="3464" t="s">
        <v>3889</v>
      </c>
      <c r="K1749" s="3465"/>
    </row>
    <row r="1750" spans="1:11" ht="26.25" thickBot="1">
      <c r="A1750" s="3073">
        <v>227</v>
      </c>
      <c r="B1750" s="3074">
        <v>16</v>
      </c>
      <c r="C1750" s="3074" t="s">
        <v>3510</v>
      </c>
      <c r="D1750" s="3074" t="s">
        <v>3511</v>
      </c>
      <c r="E1750" s="3072" t="s">
        <v>3109</v>
      </c>
      <c r="F1750" s="3072" t="s">
        <v>3235</v>
      </c>
      <c r="G1750" s="3076"/>
      <c r="H1750" s="3074" t="s">
        <v>3903</v>
      </c>
      <c r="I1750" s="3074">
        <v>6074</v>
      </c>
      <c r="J1750" s="3076"/>
      <c r="K1750" s="3074" t="s">
        <v>3904</v>
      </c>
    </row>
    <row r="1751" spans="1:11" ht="26.25" thickBot="1">
      <c r="A1751" s="3073">
        <v>228</v>
      </c>
      <c r="B1751" s="3074">
        <v>16</v>
      </c>
      <c r="C1751" s="3074" t="s">
        <v>3510</v>
      </c>
      <c r="D1751" s="3074" t="s">
        <v>3512</v>
      </c>
      <c r="E1751" s="3072" t="s">
        <v>3109</v>
      </c>
      <c r="F1751" s="3072" t="s">
        <v>3235</v>
      </c>
      <c r="G1751" s="3464" t="s">
        <v>3890</v>
      </c>
      <c r="H1751" s="3465"/>
      <c r="I1751" s="3074">
        <v>6074</v>
      </c>
      <c r="J1751" s="3464" t="s">
        <v>3891</v>
      </c>
      <c r="K1751" s="3465"/>
    </row>
    <row r="1752" spans="1:11" ht="26.25" thickBot="1">
      <c r="A1752" s="3073">
        <v>229</v>
      </c>
      <c r="B1752" s="3074">
        <v>16</v>
      </c>
      <c r="C1752" s="3074" t="s">
        <v>3510</v>
      </c>
      <c r="D1752" s="3074" t="s">
        <v>3513</v>
      </c>
      <c r="E1752" s="3072" t="s">
        <v>3109</v>
      </c>
      <c r="F1752" s="3072" t="s">
        <v>3235</v>
      </c>
      <c r="G1752" s="3464" t="s">
        <v>3894</v>
      </c>
      <c r="H1752" s="3465"/>
      <c r="I1752" s="3074">
        <v>6074</v>
      </c>
      <c r="J1752" s="3464">
        <v>72.06</v>
      </c>
      <c r="K1752" s="3465"/>
    </row>
    <row r="1753" spans="1:11" ht="23.25" thickBot="1">
      <c r="A1753" s="3073">
        <v>230</v>
      </c>
      <c r="B1753" s="3074">
        <v>16</v>
      </c>
      <c r="C1753" s="3074" t="s">
        <v>3510</v>
      </c>
      <c r="D1753" s="3082" t="s">
        <v>3906</v>
      </c>
      <c r="E1753" s="3083" t="s">
        <v>3109</v>
      </c>
      <c r="F1753" s="3083" t="s">
        <v>3235</v>
      </c>
      <c r="G1753" s="3464" t="s">
        <v>3892</v>
      </c>
      <c r="H1753" s="3465"/>
      <c r="I1753" s="3074">
        <v>6074</v>
      </c>
      <c r="J1753" s="3464" t="s">
        <v>3893</v>
      </c>
      <c r="K1753" s="3465"/>
    </row>
    <row r="1754" spans="1:11" ht="26.25" thickBot="1">
      <c r="A1754" s="3073">
        <v>231</v>
      </c>
      <c r="B1754" s="3074">
        <v>16</v>
      </c>
      <c r="C1754" s="3074" t="s">
        <v>3510</v>
      </c>
      <c r="D1754" s="3074" t="s">
        <v>3515</v>
      </c>
      <c r="E1754" s="3072" t="s">
        <v>3109</v>
      </c>
      <c r="F1754" s="3072" t="s">
        <v>3235</v>
      </c>
      <c r="G1754" s="3464" t="s">
        <v>3890</v>
      </c>
      <c r="H1754" s="3465"/>
      <c r="I1754" s="3074">
        <v>6074</v>
      </c>
      <c r="J1754" s="3464" t="s">
        <v>3891</v>
      </c>
      <c r="K1754" s="3465"/>
    </row>
    <row r="1755" spans="1:11" ht="26.25" thickBot="1">
      <c r="A1755" s="3073">
        <v>232</v>
      </c>
      <c r="B1755" s="3074">
        <v>16</v>
      </c>
      <c r="C1755" s="3074" t="s">
        <v>3510</v>
      </c>
      <c r="D1755" s="3074" t="s">
        <v>3516</v>
      </c>
      <c r="E1755" s="3072" t="s">
        <v>3109</v>
      </c>
      <c r="F1755" s="3072" t="s">
        <v>3235</v>
      </c>
      <c r="G1755" s="3464" t="s">
        <v>3888</v>
      </c>
      <c r="H1755" s="3465"/>
      <c r="I1755" s="3074">
        <v>6074</v>
      </c>
      <c r="J1755" s="3464" t="s">
        <v>3889</v>
      </c>
      <c r="K1755" s="3465"/>
    </row>
    <row r="1756" spans="1:11" ht="26.25" thickBot="1">
      <c r="A1756" s="3073">
        <v>233</v>
      </c>
      <c r="B1756" s="3074">
        <v>16</v>
      </c>
      <c r="C1756" s="3074" t="s">
        <v>3517</v>
      </c>
      <c r="D1756" s="3074" t="s">
        <v>3518</v>
      </c>
      <c r="E1756" s="3072" t="s">
        <v>3109</v>
      </c>
      <c r="F1756" s="3072" t="s">
        <v>3235</v>
      </c>
      <c r="G1756" s="3464" t="s">
        <v>3895</v>
      </c>
      <c r="H1756" s="3465"/>
      <c r="I1756" s="3074">
        <v>6074</v>
      </c>
      <c r="J1756" s="3464" t="s">
        <v>3896</v>
      </c>
      <c r="K1756" s="3465"/>
    </row>
    <row r="1757" spans="1:11" ht="26.25" thickBot="1">
      <c r="A1757" s="3073">
        <v>234</v>
      </c>
      <c r="B1757" s="3074">
        <v>16</v>
      </c>
      <c r="C1757" s="3074" t="s">
        <v>3517</v>
      </c>
      <c r="D1757" s="3074" t="s">
        <v>3519</v>
      </c>
      <c r="E1757" s="3072" t="s">
        <v>3109</v>
      </c>
      <c r="F1757" s="3072" t="s">
        <v>3235</v>
      </c>
      <c r="G1757" s="3464" t="s">
        <v>3890</v>
      </c>
      <c r="H1757" s="3465"/>
      <c r="I1757" s="3074">
        <v>6074</v>
      </c>
      <c r="J1757" s="3464" t="s">
        <v>3891</v>
      </c>
      <c r="K1757" s="3465"/>
    </row>
    <row r="1758" spans="1:11" ht="26.25" thickBot="1">
      <c r="A1758" s="3073">
        <v>235</v>
      </c>
      <c r="B1758" s="3074">
        <v>16</v>
      </c>
      <c r="C1758" s="3074" t="s">
        <v>3517</v>
      </c>
      <c r="D1758" s="3074" t="s">
        <v>3520</v>
      </c>
      <c r="E1758" s="3072" t="s">
        <v>3109</v>
      </c>
      <c r="F1758" s="3072" t="s">
        <v>3235</v>
      </c>
      <c r="G1758" s="3464" t="s">
        <v>3894</v>
      </c>
      <c r="H1758" s="3465"/>
      <c r="I1758" s="3074">
        <v>6074</v>
      </c>
      <c r="J1758" s="3464">
        <v>72.06</v>
      </c>
      <c r="K1758" s="3465"/>
    </row>
    <row r="1759" spans="1:11" ht="26.25" thickBot="1">
      <c r="A1759" s="3073">
        <v>236</v>
      </c>
      <c r="B1759" s="3074">
        <v>16</v>
      </c>
      <c r="C1759" s="3074" t="s">
        <v>3517</v>
      </c>
      <c r="D1759" s="3074" t="s">
        <v>3641</v>
      </c>
      <c r="E1759" s="3072" t="s">
        <v>3109</v>
      </c>
      <c r="F1759" s="3072" t="s">
        <v>3235</v>
      </c>
      <c r="G1759" s="3464" t="s">
        <v>3894</v>
      </c>
      <c r="H1759" s="3465"/>
      <c r="I1759" s="3074">
        <v>6074</v>
      </c>
      <c r="J1759" s="3464">
        <v>72.06</v>
      </c>
      <c r="K1759" s="3465"/>
    </row>
    <row r="1760" spans="1:11" ht="26.25" thickBot="1">
      <c r="A1760" s="3073">
        <v>237</v>
      </c>
      <c r="B1760" s="3074">
        <v>16</v>
      </c>
      <c r="C1760" s="3074" t="s">
        <v>3517</v>
      </c>
      <c r="D1760" s="3074" t="s">
        <v>3522</v>
      </c>
      <c r="E1760" s="3072" t="s">
        <v>3109</v>
      </c>
      <c r="F1760" s="3072" t="s">
        <v>3235</v>
      </c>
      <c r="G1760" s="3080">
        <v>94</v>
      </c>
      <c r="H1760" s="3074">
        <v>82</v>
      </c>
      <c r="I1760" s="3074">
        <v>6074</v>
      </c>
      <c r="J1760" s="3076"/>
      <c r="K1760" s="3074" t="s">
        <v>3897</v>
      </c>
    </row>
    <row r="1761" spans="1:11" ht="26.25" thickBot="1">
      <c r="A1761" s="3073">
        <v>238</v>
      </c>
      <c r="B1761" s="3074">
        <v>16</v>
      </c>
      <c r="C1761" s="3074" t="s">
        <v>3517</v>
      </c>
      <c r="D1761" s="3074" t="s">
        <v>3523</v>
      </c>
      <c r="E1761" s="3072" t="s">
        <v>3109</v>
      </c>
      <c r="F1761" s="3072" t="s">
        <v>3235</v>
      </c>
      <c r="G1761" s="3464" t="s">
        <v>3888</v>
      </c>
      <c r="H1761" s="3465"/>
      <c r="I1761" s="3074">
        <v>6074</v>
      </c>
      <c r="J1761" s="3464" t="s">
        <v>3889</v>
      </c>
      <c r="K1761" s="3465"/>
    </row>
    <row r="1762" spans="1:11" ht="26.25" thickBot="1">
      <c r="A1762" s="3073">
        <v>239</v>
      </c>
      <c r="B1762" s="3074">
        <v>16</v>
      </c>
      <c r="C1762" s="3074" t="s">
        <v>3524</v>
      </c>
      <c r="D1762" s="3074" t="s">
        <v>3525</v>
      </c>
      <c r="E1762" s="3072" t="s">
        <v>3109</v>
      </c>
      <c r="F1762" s="3072" t="s">
        <v>3235</v>
      </c>
      <c r="G1762" s="3464" t="s">
        <v>3888</v>
      </c>
      <c r="H1762" s="3465"/>
      <c r="I1762" s="3074">
        <v>6074</v>
      </c>
      <c r="J1762" s="3464" t="s">
        <v>3889</v>
      </c>
      <c r="K1762" s="3465"/>
    </row>
    <row r="1763" spans="1:11" ht="23.25" thickBot="1">
      <c r="A1763" s="3073">
        <v>240</v>
      </c>
      <c r="B1763" s="3074">
        <v>16</v>
      </c>
      <c r="C1763" s="3074" t="s">
        <v>3524</v>
      </c>
      <c r="D1763" s="3082" t="s">
        <v>3707</v>
      </c>
      <c r="E1763" s="3083" t="s">
        <v>3109</v>
      </c>
      <c r="F1763" s="3083" t="s">
        <v>3235</v>
      </c>
      <c r="G1763" s="3464" t="s">
        <v>3890</v>
      </c>
      <c r="H1763" s="3465"/>
      <c r="I1763" s="3074">
        <v>6074</v>
      </c>
      <c r="J1763" s="3464" t="s">
        <v>3900</v>
      </c>
      <c r="K1763" s="3465"/>
    </row>
    <row r="1764" spans="1:11" ht="26.25" thickBot="1">
      <c r="A1764" s="3073">
        <v>241</v>
      </c>
      <c r="B1764" s="3074">
        <v>16</v>
      </c>
      <c r="C1764" s="3074" t="s">
        <v>3524</v>
      </c>
      <c r="D1764" s="3074" t="s">
        <v>3527</v>
      </c>
      <c r="E1764" s="3072" t="s">
        <v>3109</v>
      </c>
      <c r="F1764" s="3072" t="s">
        <v>3235</v>
      </c>
      <c r="G1764" s="3464" t="s">
        <v>3894</v>
      </c>
      <c r="H1764" s="3465"/>
      <c r="I1764" s="3074">
        <v>6074</v>
      </c>
      <c r="J1764" s="3464">
        <v>72.06</v>
      </c>
      <c r="K1764" s="3465"/>
    </row>
    <row r="1765" spans="1:11" ht="26.25" thickBot="1">
      <c r="A1765" s="3073">
        <v>242</v>
      </c>
      <c r="B1765" s="3074">
        <v>16</v>
      </c>
      <c r="C1765" s="3074" t="s">
        <v>3524</v>
      </c>
      <c r="D1765" s="3074" t="s">
        <v>3528</v>
      </c>
      <c r="E1765" s="3072" t="s">
        <v>3109</v>
      </c>
      <c r="F1765" s="3072" t="s">
        <v>3235</v>
      </c>
      <c r="G1765" s="3464" t="s">
        <v>3894</v>
      </c>
      <c r="H1765" s="3465"/>
      <c r="I1765" s="3074">
        <v>6074</v>
      </c>
      <c r="J1765" s="3464">
        <v>72.06</v>
      </c>
      <c r="K1765" s="3465"/>
    </row>
    <row r="1766" spans="1:11" ht="26.25" thickBot="1">
      <c r="A1766" s="3073">
        <v>243</v>
      </c>
      <c r="B1766" s="3074">
        <v>16</v>
      </c>
      <c r="C1766" s="3074" t="s">
        <v>3524</v>
      </c>
      <c r="D1766" s="3074" t="s">
        <v>3529</v>
      </c>
      <c r="E1766" s="3072" t="s">
        <v>3109</v>
      </c>
      <c r="F1766" s="3072" t="s">
        <v>3235</v>
      </c>
      <c r="G1766" s="3464" t="s">
        <v>3890</v>
      </c>
      <c r="H1766" s="3465"/>
      <c r="I1766" s="3074">
        <v>6074</v>
      </c>
      <c r="J1766" s="3464" t="s">
        <v>3900</v>
      </c>
      <c r="K1766" s="3465"/>
    </row>
    <row r="1767" spans="1:11" ht="26.25" thickBot="1">
      <c r="A1767" s="3073">
        <v>244</v>
      </c>
      <c r="B1767" s="3074">
        <v>16</v>
      </c>
      <c r="C1767" s="3074" t="s">
        <v>3524</v>
      </c>
      <c r="D1767" s="3074" t="s">
        <v>3530</v>
      </c>
      <c r="E1767" s="3072" t="s">
        <v>3109</v>
      </c>
      <c r="F1767" s="3072" t="s">
        <v>3235</v>
      </c>
      <c r="G1767" s="3464" t="s">
        <v>3888</v>
      </c>
      <c r="H1767" s="3465"/>
      <c r="I1767" s="3074">
        <v>6074</v>
      </c>
      <c r="J1767" s="3464" t="s">
        <v>3889</v>
      </c>
      <c r="K1767" s="3465"/>
    </row>
    <row r="1768" spans="1:11" ht="26.25" thickBot="1">
      <c r="A1768" s="3073">
        <v>245</v>
      </c>
      <c r="B1768" s="3074">
        <v>16</v>
      </c>
      <c r="C1768" s="3074" t="s">
        <v>3531</v>
      </c>
      <c r="D1768" s="3074" t="s">
        <v>3532</v>
      </c>
      <c r="E1768" s="3072" t="s">
        <v>3109</v>
      </c>
      <c r="F1768" s="3072" t="s">
        <v>3235</v>
      </c>
      <c r="G1768" s="3464" t="s">
        <v>3888</v>
      </c>
      <c r="H1768" s="3465"/>
      <c r="I1768" s="3074">
        <v>6074</v>
      </c>
      <c r="J1768" s="3464" t="s">
        <v>3889</v>
      </c>
      <c r="K1768" s="3465"/>
    </row>
    <row r="1769" spans="1:11" ht="26.25" thickBot="1">
      <c r="A1769" s="3073">
        <v>246</v>
      </c>
      <c r="B1769" s="3074">
        <v>16</v>
      </c>
      <c r="C1769" s="3074" t="s">
        <v>3531</v>
      </c>
      <c r="D1769" s="3074" t="s">
        <v>3533</v>
      </c>
      <c r="E1769" s="3072" t="s">
        <v>3109</v>
      </c>
      <c r="F1769" s="3072" t="s">
        <v>3235</v>
      </c>
      <c r="G1769" s="3464" t="s">
        <v>3890</v>
      </c>
      <c r="H1769" s="3465"/>
      <c r="I1769" s="3074">
        <v>6074</v>
      </c>
      <c r="J1769" s="3464" t="s">
        <v>3891</v>
      </c>
      <c r="K1769" s="3465"/>
    </row>
    <row r="1770" spans="1:11" ht="26.25" thickBot="1">
      <c r="A1770" s="3073">
        <v>247</v>
      </c>
      <c r="B1770" s="3074">
        <v>16</v>
      </c>
      <c r="C1770" s="3074" t="s">
        <v>3531</v>
      </c>
      <c r="D1770" s="3074" t="s">
        <v>3534</v>
      </c>
      <c r="E1770" s="3072" t="s">
        <v>3109</v>
      </c>
      <c r="F1770" s="3072" t="s">
        <v>3235</v>
      </c>
      <c r="G1770" s="3464" t="s">
        <v>3892</v>
      </c>
      <c r="H1770" s="3465"/>
      <c r="I1770" s="3074">
        <v>6074</v>
      </c>
      <c r="J1770" s="3464" t="s">
        <v>3893</v>
      </c>
      <c r="K1770" s="3465"/>
    </row>
    <row r="1771" spans="1:11" ht="26.25" thickBot="1">
      <c r="A1771" s="3073">
        <v>248</v>
      </c>
      <c r="B1771" s="3074">
        <v>16</v>
      </c>
      <c r="C1771" s="3074" t="s">
        <v>3531</v>
      </c>
      <c r="D1771" s="3074" t="s">
        <v>3535</v>
      </c>
      <c r="E1771" s="3072" t="s">
        <v>3109</v>
      </c>
      <c r="F1771" s="3072" t="s">
        <v>3235</v>
      </c>
      <c r="G1771" s="3464" t="s">
        <v>3894</v>
      </c>
      <c r="H1771" s="3465"/>
      <c r="I1771" s="3074">
        <v>6074</v>
      </c>
      <c r="J1771" s="3464">
        <v>72.06</v>
      </c>
      <c r="K1771" s="3465"/>
    </row>
    <row r="1772" spans="1:11" ht="26.25" thickBot="1">
      <c r="A1772" s="3073">
        <v>249</v>
      </c>
      <c r="B1772" s="3074">
        <v>16</v>
      </c>
      <c r="C1772" s="3074" t="s">
        <v>3531</v>
      </c>
      <c r="D1772" s="3074" t="s">
        <v>3536</v>
      </c>
      <c r="E1772" s="3072" t="s">
        <v>3109</v>
      </c>
      <c r="F1772" s="3072" t="s">
        <v>3235</v>
      </c>
      <c r="G1772" s="3464" t="s">
        <v>3890</v>
      </c>
      <c r="H1772" s="3465"/>
      <c r="I1772" s="3074">
        <v>6074</v>
      </c>
      <c r="J1772" s="3464" t="s">
        <v>3891</v>
      </c>
      <c r="K1772" s="3465"/>
    </row>
    <row r="1773" spans="1:11" ht="26.25" thickBot="1">
      <c r="A1773" s="3073">
        <v>250</v>
      </c>
      <c r="B1773" s="3074">
        <v>16</v>
      </c>
      <c r="C1773" s="3074" t="s">
        <v>3531</v>
      </c>
      <c r="D1773" s="3074" t="s">
        <v>3537</v>
      </c>
      <c r="E1773" s="3072" t="s">
        <v>3109</v>
      </c>
      <c r="F1773" s="3072" t="s">
        <v>3235</v>
      </c>
      <c r="G1773" s="3464" t="s">
        <v>3895</v>
      </c>
      <c r="H1773" s="3465"/>
      <c r="I1773" s="3074">
        <v>6074</v>
      </c>
      <c r="J1773" s="3464" t="s">
        <v>3896</v>
      </c>
      <c r="K1773" s="3465"/>
    </row>
    <row r="1774" spans="1:11" ht="26.25" thickBot="1">
      <c r="A1774" s="3073">
        <v>251</v>
      </c>
      <c r="B1774" s="3074">
        <v>16</v>
      </c>
      <c r="C1774" s="3074" t="s">
        <v>3538</v>
      </c>
      <c r="D1774" s="3074" t="s">
        <v>3539</v>
      </c>
      <c r="E1774" s="3072" t="s">
        <v>3109</v>
      </c>
      <c r="F1774" s="3072" t="s">
        <v>3235</v>
      </c>
      <c r="G1774" s="3464" t="s">
        <v>3888</v>
      </c>
      <c r="H1774" s="3465"/>
      <c r="I1774" s="3074">
        <v>6074</v>
      </c>
      <c r="J1774" s="3464" t="s">
        <v>3889</v>
      </c>
      <c r="K1774" s="3465"/>
    </row>
    <row r="1775" spans="1:11" ht="26.25" thickBot="1">
      <c r="A1775" s="3073">
        <v>252</v>
      </c>
      <c r="B1775" s="3074">
        <v>16</v>
      </c>
      <c r="C1775" s="3074" t="s">
        <v>3538</v>
      </c>
      <c r="D1775" s="3074" t="s">
        <v>3540</v>
      </c>
      <c r="E1775" s="3072" t="s">
        <v>3109</v>
      </c>
      <c r="F1775" s="3072" t="s">
        <v>3235</v>
      </c>
      <c r="G1775" s="3464" t="s">
        <v>3890</v>
      </c>
      <c r="H1775" s="3465"/>
      <c r="I1775" s="3074">
        <v>6074</v>
      </c>
      <c r="J1775" s="3464" t="s">
        <v>3891</v>
      </c>
      <c r="K1775" s="3465"/>
    </row>
    <row r="1776" spans="1:11" ht="26.25" thickBot="1">
      <c r="A1776" s="3073">
        <v>253</v>
      </c>
      <c r="B1776" s="3074">
        <v>16</v>
      </c>
      <c r="C1776" s="3074" t="s">
        <v>3538</v>
      </c>
      <c r="D1776" s="3074" t="s">
        <v>3541</v>
      </c>
      <c r="E1776" s="3072" t="s">
        <v>3109</v>
      </c>
      <c r="F1776" s="3072" t="s">
        <v>3235</v>
      </c>
      <c r="G1776" s="3464" t="s">
        <v>3894</v>
      </c>
      <c r="H1776" s="3465"/>
      <c r="I1776" s="3074">
        <v>6074</v>
      </c>
      <c r="J1776" s="3464">
        <v>72.06</v>
      </c>
      <c r="K1776" s="3465"/>
    </row>
    <row r="1777" spans="1:11" ht="26.25" thickBot="1">
      <c r="A1777" s="3073">
        <v>254</v>
      </c>
      <c r="B1777" s="3074">
        <v>16</v>
      </c>
      <c r="C1777" s="3074" t="s">
        <v>3538</v>
      </c>
      <c r="D1777" s="3074" t="s">
        <v>3542</v>
      </c>
      <c r="E1777" s="3072" t="s">
        <v>3109</v>
      </c>
      <c r="F1777" s="3072" t="s">
        <v>3235</v>
      </c>
      <c r="G1777" s="3076"/>
      <c r="H1777" s="3074" t="s">
        <v>3901</v>
      </c>
      <c r="I1777" s="3074">
        <v>6074</v>
      </c>
      <c r="J1777" s="3076"/>
      <c r="K1777" s="3074">
        <v>0.06</v>
      </c>
    </row>
    <row r="1778" spans="1:11" ht="26.25" thickBot="1">
      <c r="A1778" s="3073">
        <v>255</v>
      </c>
      <c r="B1778" s="3074">
        <v>16</v>
      </c>
      <c r="C1778" s="3074" t="s">
        <v>3538</v>
      </c>
      <c r="D1778" s="3074" t="s">
        <v>3543</v>
      </c>
      <c r="E1778" s="3072" t="s">
        <v>3109</v>
      </c>
      <c r="F1778" s="3072" t="s">
        <v>3235</v>
      </c>
      <c r="G1778" s="3464" t="s">
        <v>3890</v>
      </c>
      <c r="H1778" s="3465"/>
      <c r="I1778" s="3074">
        <v>6074</v>
      </c>
      <c r="J1778" s="3464" t="s">
        <v>3891</v>
      </c>
      <c r="K1778" s="3465"/>
    </row>
    <row r="1779" spans="1:11" ht="26.25" thickBot="1">
      <c r="A1779" s="3073">
        <v>256</v>
      </c>
      <c r="B1779" s="3074">
        <v>16</v>
      </c>
      <c r="C1779" s="3074" t="s">
        <v>3538</v>
      </c>
      <c r="D1779" s="3074" t="s">
        <v>3544</v>
      </c>
      <c r="E1779" s="3072" t="s">
        <v>3109</v>
      </c>
      <c r="F1779" s="3072" t="s">
        <v>3235</v>
      </c>
      <c r="G1779" s="3464" t="s">
        <v>3888</v>
      </c>
      <c r="H1779" s="3465"/>
      <c r="I1779" s="3074">
        <v>6074</v>
      </c>
      <c r="J1779" s="3464" t="s">
        <v>3889</v>
      </c>
      <c r="K1779" s="3465"/>
    </row>
    <row r="1780" spans="1:11" ht="26.25" thickBot="1">
      <c r="A1780" s="3073">
        <v>257</v>
      </c>
      <c r="B1780" s="3074">
        <v>16</v>
      </c>
      <c r="C1780" s="3074" t="s">
        <v>3545</v>
      </c>
      <c r="D1780" s="3074" t="s">
        <v>3546</v>
      </c>
      <c r="E1780" s="3072" t="s">
        <v>3109</v>
      </c>
      <c r="F1780" s="3072" t="s">
        <v>3235</v>
      </c>
      <c r="G1780" s="3464" t="s">
        <v>3895</v>
      </c>
      <c r="H1780" s="3465"/>
      <c r="I1780" s="3074">
        <v>6074</v>
      </c>
      <c r="J1780" s="3464" t="s">
        <v>3896</v>
      </c>
      <c r="K1780" s="3465"/>
    </row>
    <row r="1781" spans="1:11" ht="26.25" thickBot="1">
      <c r="A1781" s="3073">
        <v>258</v>
      </c>
      <c r="B1781" s="3074">
        <v>16</v>
      </c>
      <c r="C1781" s="3074" t="s">
        <v>3545</v>
      </c>
      <c r="D1781" s="3074" t="s">
        <v>3547</v>
      </c>
      <c r="E1781" s="3072" t="s">
        <v>3109</v>
      </c>
      <c r="F1781" s="3072" t="s">
        <v>3235</v>
      </c>
      <c r="G1781" s="3464" t="s">
        <v>3890</v>
      </c>
      <c r="H1781" s="3465"/>
      <c r="I1781" s="3074">
        <v>6074</v>
      </c>
      <c r="J1781" s="3464" t="s">
        <v>3891</v>
      </c>
      <c r="K1781" s="3465"/>
    </row>
    <row r="1782" spans="1:11" ht="26.25" thickBot="1">
      <c r="A1782" s="3073">
        <v>259</v>
      </c>
      <c r="B1782" s="3074">
        <v>16</v>
      </c>
      <c r="C1782" s="3074" t="s">
        <v>3545</v>
      </c>
      <c r="D1782" s="3074" t="s">
        <v>3548</v>
      </c>
      <c r="E1782" s="3072" t="s">
        <v>3109</v>
      </c>
      <c r="F1782" s="3072" t="s">
        <v>3235</v>
      </c>
      <c r="G1782" s="3464" t="s">
        <v>3894</v>
      </c>
      <c r="H1782" s="3465"/>
      <c r="I1782" s="3074">
        <v>6074</v>
      </c>
      <c r="J1782" s="3464">
        <v>72.06</v>
      </c>
      <c r="K1782" s="3465"/>
    </row>
    <row r="1783" spans="1:11" ht="26.25" thickBot="1">
      <c r="A1783" s="3073">
        <v>260</v>
      </c>
      <c r="B1783" s="3074">
        <v>16</v>
      </c>
      <c r="C1783" s="3074" t="s">
        <v>3545</v>
      </c>
      <c r="D1783" s="3074" t="s">
        <v>3549</v>
      </c>
      <c r="E1783" s="3072" t="s">
        <v>3109</v>
      </c>
      <c r="F1783" s="3072" t="s">
        <v>3235</v>
      </c>
      <c r="G1783" s="3464" t="s">
        <v>3892</v>
      </c>
      <c r="H1783" s="3465"/>
      <c r="I1783" s="3074">
        <v>6074</v>
      </c>
      <c r="J1783" s="3464" t="s">
        <v>3893</v>
      </c>
      <c r="K1783" s="3465"/>
    </row>
    <row r="1784" spans="1:11" ht="26.25" thickBot="1">
      <c r="A1784" s="3073">
        <v>261</v>
      </c>
      <c r="B1784" s="3074">
        <v>16</v>
      </c>
      <c r="C1784" s="3074" t="s">
        <v>3545</v>
      </c>
      <c r="D1784" s="3074" t="s">
        <v>3550</v>
      </c>
      <c r="E1784" s="3072" t="s">
        <v>3109</v>
      </c>
      <c r="F1784" s="3072" t="s">
        <v>3235</v>
      </c>
      <c r="G1784" s="3464" t="s">
        <v>3890</v>
      </c>
      <c r="H1784" s="3465"/>
      <c r="I1784" s="3074">
        <v>6074</v>
      </c>
      <c r="J1784" s="3464" t="s">
        <v>3891</v>
      </c>
      <c r="K1784" s="3465"/>
    </row>
    <row r="1785" spans="1:11" ht="26.25" thickBot="1">
      <c r="A1785" s="3073">
        <v>262</v>
      </c>
      <c r="B1785" s="3074">
        <v>16</v>
      </c>
      <c r="C1785" s="3074" t="s">
        <v>3545</v>
      </c>
      <c r="D1785" s="3074" t="s">
        <v>3551</v>
      </c>
      <c r="E1785" s="3072" t="s">
        <v>3109</v>
      </c>
      <c r="F1785" s="3072" t="s">
        <v>3235</v>
      </c>
      <c r="G1785" s="3464" t="s">
        <v>3888</v>
      </c>
      <c r="H1785" s="3465"/>
      <c r="I1785" s="3074">
        <v>6074</v>
      </c>
      <c r="J1785" s="3464" t="s">
        <v>3889</v>
      </c>
      <c r="K1785" s="3465"/>
    </row>
    <row r="1786" spans="1:11" ht="26.25" thickBot="1">
      <c r="A1786" s="3073">
        <v>263</v>
      </c>
      <c r="B1786" s="3074">
        <v>16</v>
      </c>
      <c r="C1786" s="3074" t="s">
        <v>3552</v>
      </c>
      <c r="D1786" s="3074" t="s">
        <v>3553</v>
      </c>
      <c r="E1786" s="3072" t="s">
        <v>3109</v>
      </c>
      <c r="F1786" s="3072" t="s">
        <v>3235</v>
      </c>
      <c r="G1786" s="3464" t="s">
        <v>3888</v>
      </c>
      <c r="H1786" s="3465"/>
      <c r="I1786" s="3074">
        <v>6074</v>
      </c>
      <c r="J1786" s="3464" t="s">
        <v>3889</v>
      </c>
      <c r="K1786" s="3465"/>
    </row>
    <row r="1787" spans="1:11" ht="26.25" thickBot="1">
      <c r="A1787" s="3073">
        <v>264</v>
      </c>
      <c r="B1787" s="3074">
        <v>16</v>
      </c>
      <c r="C1787" s="3074" t="s">
        <v>3552</v>
      </c>
      <c r="D1787" s="3074" t="s">
        <v>3554</v>
      </c>
      <c r="E1787" s="3072" t="s">
        <v>3109</v>
      </c>
      <c r="F1787" s="3072" t="s">
        <v>3235</v>
      </c>
      <c r="G1787" s="3080">
        <v>94</v>
      </c>
      <c r="H1787" s="3074">
        <v>82</v>
      </c>
      <c r="I1787" s="3074">
        <v>6074</v>
      </c>
      <c r="J1787" s="3076"/>
      <c r="K1787" s="3074" t="s">
        <v>3897</v>
      </c>
    </row>
    <row r="1788" spans="1:11" ht="26.25" thickBot="1">
      <c r="A1788" s="3073">
        <v>265</v>
      </c>
      <c r="B1788" s="3074">
        <v>16</v>
      </c>
      <c r="C1788" s="3074" t="s">
        <v>3552</v>
      </c>
      <c r="D1788" s="3074" t="s">
        <v>3555</v>
      </c>
      <c r="E1788" s="3072" t="s">
        <v>3109</v>
      </c>
      <c r="F1788" s="3072" t="s">
        <v>3235</v>
      </c>
      <c r="G1788" s="3464" t="s">
        <v>3894</v>
      </c>
      <c r="H1788" s="3465"/>
      <c r="I1788" s="3074">
        <v>6074</v>
      </c>
      <c r="J1788" s="3464">
        <v>72.06</v>
      </c>
      <c r="K1788" s="3465"/>
    </row>
    <row r="1789" spans="1:11" ht="26.25" thickBot="1">
      <c r="A1789" s="3073">
        <v>266</v>
      </c>
      <c r="B1789" s="3074">
        <v>16</v>
      </c>
      <c r="C1789" s="3074" t="s">
        <v>3552</v>
      </c>
      <c r="D1789" s="3074" t="s">
        <v>3556</v>
      </c>
      <c r="E1789" s="3072" t="s">
        <v>3109</v>
      </c>
      <c r="F1789" s="3072" t="s">
        <v>3235</v>
      </c>
      <c r="G1789" s="3464" t="s">
        <v>3894</v>
      </c>
      <c r="H1789" s="3465"/>
      <c r="I1789" s="3074">
        <v>6074</v>
      </c>
      <c r="J1789" s="3464">
        <v>72.06</v>
      </c>
      <c r="K1789" s="3465"/>
    </row>
    <row r="1790" spans="1:11" ht="26.25" thickBot="1">
      <c r="A1790" s="3073">
        <v>267</v>
      </c>
      <c r="B1790" s="3074">
        <v>16</v>
      </c>
      <c r="C1790" s="3074" t="s">
        <v>3552</v>
      </c>
      <c r="D1790" s="3074" t="s">
        <v>3557</v>
      </c>
      <c r="E1790" s="3072" t="s">
        <v>3109</v>
      </c>
      <c r="F1790" s="3072" t="s">
        <v>3235</v>
      </c>
      <c r="G1790" s="3464" t="s">
        <v>3890</v>
      </c>
      <c r="H1790" s="3465"/>
      <c r="I1790" s="3074">
        <v>6074</v>
      </c>
      <c r="J1790" s="3464" t="s">
        <v>3900</v>
      </c>
      <c r="K1790" s="3465"/>
    </row>
    <row r="1791" spans="1:11" ht="26.25" thickBot="1">
      <c r="A1791" s="3073">
        <v>268</v>
      </c>
      <c r="B1791" s="3074">
        <v>16</v>
      </c>
      <c r="C1791" s="3074" t="s">
        <v>3552</v>
      </c>
      <c r="D1791" s="3074" t="s">
        <v>3558</v>
      </c>
      <c r="E1791" s="3072" t="s">
        <v>3109</v>
      </c>
      <c r="F1791" s="3072" t="s">
        <v>3235</v>
      </c>
      <c r="G1791" s="3464" t="s">
        <v>3888</v>
      </c>
      <c r="H1791" s="3465"/>
      <c r="I1791" s="3074">
        <v>6074</v>
      </c>
      <c r="J1791" s="3464" t="s">
        <v>3889</v>
      </c>
      <c r="K1791" s="3465"/>
    </row>
    <row r="1792" spans="1:11" ht="26.25" thickBot="1">
      <c r="A1792" s="3073">
        <v>269</v>
      </c>
      <c r="B1792" s="3074">
        <v>16</v>
      </c>
      <c r="C1792" s="3074" t="s">
        <v>3559</v>
      </c>
      <c r="D1792" s="3074" t="s">
        <v>3560</v>
      </c>
      <c r="E1792" s="3072" t="s">
        <v>3109</v>
      </c>
      <c r="F1792" s="3072" t="s">
        <v>3235</v>
      </c>
      <c r="G1792" s="3464" t="s">
        <v>3888</v>
      </c>
      <c r="H1792" s="3465"/>
      <c r="I1792" s="3074">
        <v>6074</v>
      </c>
      <c r="J1792" s="3464" t="s">
        <v>3889</v>
      </c>
      <c r="K1792" s="3465"/>
    </row>
    <row r="1793" spans="1:11" ht="26.25" thickBot="1">
      <c r="A1793" s="3073">
        <v>270</v>
      </c>
      <c r="B1793" s="3074">
        <v>16</v>
      </c>
      <c r="C1793" s="3074" t="s">
        <v>3559</v>
      </c>
      <c r="D1793" s="3074" t="s">
        <v>3561</v>
      </c>
      <c r="E1793" s="3072" t="s">
        <v>3109</v>
      </c>
      <c r="F1793" s="3072" t="s">
        <v>3235</v>
      </c>
      <c r="G1793" s="3464" t="s">
        <v>3890</v>
      </c>
      <c r="H1793" s="3465"/>
      <c r="I1793" s="3074">
        <v>6074</v>
      </c>
      <c r="J1793" s="3464" t="s">
        <v>3891</v>
      </c>
      <c r="K1793" s="3465"/>
    </row>
    <row r="1794" spans="1:11" ht="26.25" thickBot="1">
      <c r="A1794" s="3073">
        <v>271</v>
      </c>
      <c r="B1794" s="3074">
        <v>16</v>
      </c>
      <c r="C1794" s="3074" t="s">
        <v>3559</v>
      </c>
      <c r="D1794" s="3074" t="s">
        <v>3562</v>
      </c>
      <c r="E1794" s="3072" t="s">
        <v>3109</v>
      </c>
      <c r="F1794" s="3072" t="s">
        <v>3235</v>
      </c>
      <c r="G1794" s="3076"/>
      <c r="H1794" s="3074" t="s">
        <v>3901</v>
      </c>
      <c r="I1794" s="3074">
        <v>6074</v>
      </c>
      <c r="J1794" s="3076"/>
      <c r="K1794" s="3074">
        <v>0.06</v>
      </c>
    </row>
    <row r="1795" spans="1:11" ht="26.25" thickBot="1">
      <c r="A1795" s="3073">
        <v>272</v>
      </c>
      <c r="B1795" s="3074">
        <v>16</v>
      </c>
      <c r="C1795" s="3074" t="s">
        <v>3559</v>
      </c>
      <c r="D1795" s="3074" t="s">
        <v>3563</v>
      </c>
      <c r="E1795" s="3072" t="s">
        <v>3109</v>
      </c>
      <c r="F1795" s="3072" t="s">
        <v>3235</v>
      </c>
      <c r="G1795" s="3464" t="s">
        <v>3894</v>
      </c>
      <c r="H1795" s="3465"/>
      <c r="I1795" s="3074">
        <v>6074</v>
      </c>
      <c r="J1795" s="3464">
        <v>72.06</v>
      </c>
      <c r="K1795" s="3465"/>
    </row>
    <row r="1796" spans="1:11" ht="26.25" thickBot="1">
      <c r="A1796" s="3073">
        <v>273</v>
      </c>
      <c r="B1796" s="3074">
        <v>16</v>
      </c>
      <c r="C1796" s="3074" t="s">
        <v>3559</v>
      </c>
      <c r="D1796" s="3074" t="s">
        <v>3564</v>
      </c>
      <c r="E1796" s="3072" t="s">
        <v>3109</v>
      </c>
      <c r="F1796" s="3072" t="s">
        <v>3235</v>
      </c>
      <c r="G1796" s="3464" t="s">
        <v>3890</v>
      </c>
      <c r="H1796" s="3465"/>
      <c r="I1796" s="3074">
        <v>6074</v>
      </c>
      <c r="J1796" s="3464" t="s">
        <v>3891</v>
      </c>
      <c r="K1796" s="3465"/>
    </row>
    <row r="1797" spans="1:11" ht="26.25" thickBot="1">
      <c r="A1797" s="3073">
        <v>274</v>
      </c>
      <c r="B1797" s="3074">
        <v>16</v>
      </c>
      <c r="C1797" s="3074" t="s">
        <v>3559</v>
      </c>
      <c r="D1797" s="3074" t="s">
        <v>3565</v>
      </c>
      <c r="E1797" s="3072" t="s">
        <v>3109</v>
      </c>
      <c r="F1797" s="3072" t="s">
        <v>3235</v>
      </c>
      <c r="G1797" s="3464" t="s">
        <v>3895</v>
      </c>
      <c r="H1797" s="3465"/>
      <c r="I1797" s="3074">
        <v>6074</v>
      </c>
      <c r="J1797" s="3464" t="s">
        <v>3896</v>
      </c>
      <c r="K1797" s="3465"/>
    </row>
    <row r="1798" spans="1:11" ht="14.25" thickBot="1">
      <c r="A1798" s="3084" t="s">
        <v>37</v>
      </c>
      <c r="B1798" s="3085"/>
      <c r="C1798" s="3085"/>
      <c r="D1798" s="3085"/>
      <c r="E1798" s="3085"/>
      <c r="F1798" s="3085"/>
      <c r="G1798" s="3464" t="s">
        <v>3907</v>
      </c>
      <c r="H1798" s="3465"/>
      <c r="I1798" s="3085"/>
      <c r="J1798" s="3464" t="s">
        <v>3908</v>
      </c>
      <c r="K1798" s="3465"/>
    </row>
    <row r="1799" spans="1:11">
      <c r="A1799" s="3070"/>
    </row>
  </sheetData>
  <mergeCells count="2835">
    <mergeCell ref="G1798:H1798"/>
    <mergeCell ref="J1798:K1798"/>
    <mergeCell ref="G1795:H1795"/>
    <mergeCell ref="J1795:K1795"/>
    <mergeCell ref="G1796:H1796"/>
    <mergeCell ref="J1796:K1796"/>
    <mergeCell ref="G1797:H1797"/>
    <mergeCell ref="J1797:K1797"/>
    <mergeCell ref="G1791:H1791"/>
    <mergeCell ref="J1791:K1791"/>
    <mergeCell ref="G1792:H1792"/>
    <mergeCell ref="J1792:K1792"/>
    <mergeCell ref="G1793:H1793"/>
    <mergeCell ref="J1793:K1793"/>
    <mergeCell ref="G1788:H1788"/>
    <mergeCell ref="J1788:K1788"/>
    <mergeCell ref="G1789:H1789"/>
    <mergeCell ref="J1789:K1789"/>
    <mergeCell ref="G1790:H1790"/>
    <mergeCell ref="J1790:K1790"/>
    <mergeCell ref="G1784:H1784"/>
    <mergeCell ref="J1784:K1784"/>
    <mergeCell ref="G1785:H1785"/>
    <mergeCell ref="J1785:K1785"/>
    <mergeCell ref="G1786:H1786"/>
    <mergeCell ref="J1786:K1786"/>
    <mergeCell ref="G1781:H1781"/>
    <mergeCell ref="J1781:K1781"/>
    <mergeCell ref="G1782:H1782"/>
    <mergeCell ref="J1782:K1782"/>
    <mergeCell ref="G1783:H1783"/>
    <mergeCell ref="J1783:K1783"/>
    <mergeCell ref="G1778:H1778"/>
    <mergeCell ref="J1778:K1778"/>
    <mergeCell ref="G1779:H1779"/>
    <mergeCell ref="J1779:K1779"/>
    <mergeCell ref="G1780:H1780"/>
    <mergeCell ref="J1780:K1780"/>
    <mergeCell ref="G1774:H1774"/>
    <mergeCell ref="J1774:K1774"/>
    <mergeCell ref="G1775:H1775"/>
    <mergeCell ref="J1775:K1775"/>
    <mergeCell ref="G1776:H1776"/>
    <mergeCell ref="J1776:K1776"/>
    <mergeCell ref="G1771:H1771"/>
    <mergeCell ref="J1771:K1771"/>
    <mergeCell ref="G1772:H1772"/>
    <mergeCell ref="J1772:K1772"/>
    <mergeCell ref="G1773:H1773"/>
    <mergeCell ref="J1773:K1773"/>
    <mergeCell ref="G1768:H1768"/>
    <mergeCell ref="J1768:K1768"/>
    <mergeCell ref="G1769:H1769"/>
    <mergeCell ref="J1769:K1769"/>
    <mergeCell ref="G1770:H1770"/>
    <mergeCell ref="J1770:K1770"/>
    <mergeCell ref="G1765:H1765"/>
    <mergeCell ref="J1765:K1765"/>
    <mergeCell ref="G1766:H1766"/>
    <mergeCell ref="J1766:K1766"/>
    <mergeCell ref="G1767:H1767"/>
    <mergeCell ref="J1767:K1767"/>
    <mergeCell ref="G1762:H1762"/>
    <mergeCell ref="J1762:K1762"/>
    <mergeCell ref="G1763:H1763"/>
    <mergeCell ref="J1763:K1763"/>
    <mergeCell ref="G1764:H1764"/>
    <mergeCell ref="J1764:K1764"/>
    <mergeCell ref="G1758:H1758"/>
    <mergeCell ref="J1758:K1758"/>
    <mergeCell ref="G1759:H1759"/>
    <mergeCell ref="J1759:K1759"/>
    <mergeCell ref="G1761:H1761"/>
    <mergeCell ref="J1761:K1761"/>
    <mergeCell ref="G1755:H1755"/>
    <mergeCell ref="J1755:K1755"/>
    <mergeCell ref="G1756:H1756"/>
    <mergeCell ref="J1756:K1756"/>
    <mergeCell ref="G1757:H1757"/>
    <mergeCell ref="J1757:K1757"/>
    <mergeCell ref="G1752:H1752"/>
    <mergeCell ref="J1752:K1752"/>
    <mergeCell ref="G1753:H1753"/>
    <mergeCell ref="J1753:K1753"/>
    <mergeCell ref="G1754:H1754"/>
    <mergeCell ref="J1754:K1754"/>
    <mergeCell ref="I1747:I1748"/>
    <mergeCell ref="J1747:K1748"/>
    <mergeCell ref="G1749:H1749"/>
    <mergeCell ref="J1749:K1749"/>
    <mergeCell ref="G1751:H1751"/>
    <mergeCell ref="J1751:K1751"/>
    <mergeCell ref="A1747:A1748"/>
    <mergeCell ref="B1747:B1748"/>
    <mergeCell ref="D1747:D1748"/>
    <mergeCell ref="E1747:E1748"/>
    <mergeCell ref="F1747:F1748"/>
    <mergeCell ref="G1747:H1747"/>
    <mergeCell ref="G1748:H1748"/>
    <mergeCell ref="G1741:H1741"/>
    <mergeCell ref="J1741:K1741"/>
    <mergeCell ref="G1742:H1742"/>
    <mergeCell ref="J1742:K1742"/>
    <mergeCell ref="G1743:H1743"/>
    <mergeCell ref="J1743:K1743"/>
    <mergeCell ref="G1738:H1738"/>
    <mergeCell ref="J1738:K1738"/>
    <mergeCell ref="G1739:H1739"/>
    <mergeCell ref="J1739:K1739"/>
    <mergeCell ref="G1740:H1740"/>
    <mergeCell ref="J1740:K1740"/>
    <mergeCell ref="G1735:H1735"/>
    <mergeCell ref="J1735:K1735"/>
    <mergeCell ref="G1736:H1736"/>
    <mergeCell ref="J1736:K1736"/>
    <mergeCell ref="G1737:H1737"/>
    <mergeCell ref="J1737:K1737"/>
    <mergeCell ref="G1731:H1731"/>
    <mergeCell ref="J1731:K1731"/>
    <mergeCell ref="G1732:H1732"/>
    <mergeCell ref="J1732:K1732"/>
    <mergeCell ref="G1733:H1733"/>
    <mergeCell ref="J1733:K1733"/>
    <mergeCell ref="G1728:H1728"/>
    <mergeCell ref="J1728:K1728"/>
    <mergeCell ref="G1729:H1729"/>
    <mergeCell ref="J1729:K1729"/>
    <mergeCell ref="G1730:H1730"/>
    <mergeCell ref="J1730:K1730"/>
    <mergeCell ref="G1724:H1724"/>
    <mergeCell ref="J1724:K1724"/>
    <mergeCell ref="G1725:H1725"/>
    <mergeCell ref="J1725:K1725"/>
    <mergeCell ref="G1726:H1726"/>
    <mergeCell ref="J1726:K1726"/>
    <mergeCell ref="G1721:H1721"/>
    <mergeCell ref="J1721:K1721"/>
    <mergeCell ref="G1722:H1722"/>
    <mergeCell ref="J1722:K1722"/>
    <mergeCell ref="G1723:H1723"/>
    <mergeCell ref="J1723:K1723"/>
    <mergeCell ref="G1718:H1718"/>
    <mergeCell ref="J1718:K1718"/>
    <mergeCell ref="G1719:H1719"/>
    <mergeCell ref="J1719:K1719"/>
    <mergeCell ref="G1720:H1720"/>
    <mergeCell ref="J1720:K1720"/>
    <mergeCell ref="G1714:H1714"/>
    <mergeCell ref="J1714:K1714"/>
    <mergeCell ref="G1715:H1715"/>
    <mergeCell ref="J1715:K1715"/>
    <mergeCell ref="G1716:H1716"/>
    <mergeCell ref="J1716:K1716"/>
    <mergeCell ref="G1711:H1711"/>
    <mergeCell ref="J1711:K1711"/>
    <mergeCell ref="G1712:H1712"/>
    <mergeCell ref="J1712:K1712"/>
    <mergeCell ref="G1713:H1713"/>
    <mergeCell ref="J1713:K1713"/>
    <mergeCell ref="G1708:H1708"/>
    <mergeCell ref="J1708:K1708"/>
    <mergeCell ref="G1709:H1709"/>
    <mergeCell ref="J1709:K1709"/>
    <mergeCell ref="G1710:H1710"/>
    <mergeCell ref="J1710:K1710"/>
    <mergeCell ref="G1705:H1705"/>
    <mergeCell ref="J1705:K1705"/>
    <mergeCell ref="G1706:H1706"/>
    <mergeCell ref="J1706:K1706"/>
    <mergeCell ref="G1707:H1707"/>
    <mergeCell ref="J1707:K1707"/>
    <mergeCell ref="G1702:H1702"/>
    <mergeCell ref="J1702:K1702"/>
    <mergeCell ref="G1703:H1703"/>
    <mergeCell ref="J1703:K1703"/>
    <mergeCell ref="G1704:H1704"/>
    <mergeCell ref="J1704:K1704"/>
    <mergeCell ref="G1698:H1698"/>
    <mergeCell ref="J1698:K1698"/>
    <mergeCell ref="G1699:H1699"/>
    <mergeCell ref="J1699:K1699"/>
    <mergeCell ref="G1701:H1701"/>
    <mergeCell ref="J1701:K1701"/>
    <mergeCell ref="G1695:H1695"/>
    <mergeCell ref="J1695:K1695"/>
    <mergeCell ref="G1696:H1696"/>
    <mergeCell ref="J1696:K1696"/>
    <mergeCell ref="G1697:H1697"/>
    <mergeCell ref="J1697:K1697"/>
    <mergeCell ref="G1692:H1692"/>
    <mergeCell ref="J1692:K1692"/>
    <mergeCell ref="G1693:H1693"/>
    <mergeCell ref="J1693:K1693"/>
    <mergeCell ref="G1694:H1694"/>
    <mergeCell ref="J1694:K1694"/>
    <mergeCell ref="I1687:I1688"/>
    <mergeCell ref="J1687:K1688"/>
    <mergeCell ref="G1689:H1689"/>
    <mergeCell ref="J1689:K1689"/>
    <mergeCell ref="G1691:H1691"/>
    <mergeCell ref="J1691:K1691"/>
    <mergeCell ref="A1687:A1688"/>
    <mergeCell ref="B1687:B1688"/>
    <mergeCell ref="D1687:D1688"/>
    <mergeCell ref="E1687:E1688"/>
    <mergeCell ref="F1687:F1688"/>
    <mergeCell ref="G1687:H1687"/>
    <mergeCell ref="G1688:H1688"/>
    <mergeCell ref="G1681:H1681"/>
    <mergeCell ref="J1681:K1681"/>
    <mergeCell ref="G1682:H1682"/>
    <mergeCell ref="J1682:K1682"/>
    <mergeCell ref="G1683:H1683"/>
    <mergeCell ref="J1683:K1683"/>
    <mergeCell ref="G1678:H1678"/>
    <mergeCell ref="J1678:K1678"/>
    <mergeCell ref="G1679:H1679"/>
    <mergeCell ref="J1679:K1679"/>
    <mergeCell ref="G1680:H1680"/>
    <mergeCell ref="J1680:K1680"/>
    <mergeCell ref="G1675:H1675"/>
    <mergeCell ref="J1675:K1675"/>
    <mergeCell ref="G1676:H1676"/>
    <mergeCell ref="J1676:K1676"/>
    <mergeCell ref="G1677:H1677"/>
    <mergeCell ref="J1677:K1677"/>
    <mergeCell ref="G1671:H1671"/>
    <mergeCell ref="J1671:K1671"/>
    <mergeCell ref="G1672:H1672"/>
    <mergeCell ref="J1672:K1672"/>
    <mergeCell ref="G1673:H1673"/>
    <mergeCell ref="J1673:K1673"/>
    <mergeCell ref="G1668:H1668"/>
    <mergeCell ref="J1668:K1668"/>
    <mergeCell ref="G1669:H1669"/>
    <mergeCell ref="J1669:K1669"/>
    <mergeCell ref="G1670:H1670"/>
    <mergeCell ref="J1670:K1670"/>
    <mergeCell ref="G1664:H1664"/>
    <mergeCell ref="J1664:K1664"/>
    <mergeCell ref="G1665:H1665"/>
    <mergeCell ref="J1665:K1665"/>
    <mergeCell ref="G1666:H1666"/>
    <mergeCell ref="J1666:K1666"/>
    <mergeCell ref="G1661:H1661"/>
    <mergeCell ref="J1661:K1661"/>
    <mergeCell ref="G1662:H1662"/>
    <mergeCell ref="J1662:K1662"/>
    <mergeCell ref="G1663:H1663"/>
    <mergeCell ref="J1663:K1663"/>
    <mergeCell ref="G1658:H1658"/>
    <mergeCell ref="J1658:K1658"/>
    <mergeCell ref="G1659:H1659"/>
    <mergeCell ref="J1659:K1659"/>
    <mergeCell ref="G1660:H1660"/>
    <mergeCell ref="J1660:K1660"/>
    <mergeCell ref="G1654:H1654"/>
    <mergeCell ref="J1654:K1654"/>
    <mergeCell ref="G1655:H1655"/>
    <mergeCell ref="J1655:K1655"/>
    <mergeCell ref="G1656:H1656"/>
    <mergeCell ref="J1656:K1656"/>
    <mergeCell ref="G1651:H1651"/>
    <mergeCell ref="J1651:K1651"/>
    <mergeCell ref="G1652:H1652"/>
    <mergeCell ref="J1652:K1652"/>
    <mergeCell ref="G1653:H1653"/>
    <mergeCell ref="J1653:K1653"/>
    <mergeCell ref="G1648:H1648"/>
    <mergeCell ref="J1648:K1648"/>
    <mergeCell ref="G1649:H1649"/>
    <mergeCell ref="J1649:K1649"/>
    <mergeCell ref="G1650:H1650"/>
    <mergeCell ref="J1650:K1650"/>
    <mergeCell ref="G1645:H1645"/>
    <mergeCell ref="J1645:K1645"/>
    <mergeCell ref="G1646:H1646"/>
    <mergeCell ref="J1646:K1646"/>
    <mergeCell ref="G1647:H1647"/>
    <mergeCell ref="J1647:K1647"/>
    <mergeCell ref="G1642:H1642"/>
    <mergeCell ref="J1642:K1642"/>
    <mergeCell ref="G1643:H1643"/>
    <mergeCell ref="J1643:K1643"/>
    <mergeCell ref="G1644:H1644"/>
    <mergeCell ref="J1644:K1644"/>
    <mergeCell ref="G1638:H1638"/>
    <mergeCell ref="J1638:K1638"/>
    <mergeCell ref="G1639:H1639"/>
    <mergeCell ref="J1639:K1639"/>
    <mergeCell ref="G1641:H1641"/>
    <mergeCell ref="J1641:K1641"/>
    <mergeCell ref="G1635:H1635"/>
    <mergeCell ref="J1635:K1635"/>
    <mergeCell ref="G1636:H1636"/>
    <mergeCell ref="J1636:K1636"/>
    <mergeCell ref="G1637:H1637"/>
    <mergeCell ref="J1637:K1637"/>
    <mergeCell ref="G1632:H1632"/>
    <mergeCell ref="J1632:K1632"/>
    <mergeCell ref="G1633:H1633"/>
    <mergeCell ref="J1633:K1633"/>
    <mergeCell ref="G1634:H1634"/>
    <mergeCell ref="J1634:K1634"/>
    <mergeCell ref="I1627:I1628"/>
    <mergeCell ref="J1627:K1628"/>
    <mergeCell ref="G1629:H1629"/>
    <mergeCell ref="J1629:K1629"/>
    <mergeCell ref="G1631:H1631"/>
    <mergeCell ref="J1631:K1631"/>
    <mergeCell ref="A1627:A1628"/>
    <mergeCell ref="B1627:B1628"/>
    <mergeCell ref="D1627:D1628"/>
    <mergeCell ref="E1627:E1628"/>
    <mergeCell ref="F1627:F1628"/>
    <mergeCell ref="G1627:H1627"/>
    <mergeCell ref="G1628:H1628"/>
    <mergeCell ref="G1618:H1618"/>
    <mergeCell ref="G1619:H1619"/>
    <mergeCell ref="G1620:H1620"/>
    <mergeCell ref="G1621:H1621"/>
    <mergeCell ref="G1622:H1622"/>
    <mergeCell ref="G1623:H1623"/>
    <mergeCell ref="G1611:H1611"/>
    <mergeCell ref="G1612:H1612"/>
    <mergeCell ref="G1613:H1613"/>
    <mergeCell ref="G1615:H1615"/>
    <mergeCell ref="G1616:H1616"/>
    <mergeCell ref="G1617:H1617"/>
    <mergeCell ref="G1604:H1604"/>
    <mergeCell ref="G1605:H1605"/>
    <mergeCell ref="G1606:H1606"/>
    <mergeCell ref="G1608:H1608"/>
    <mergeCell ref="G1609:H1609"/>
    <mergeCell ref="G1610:H1610"/>
    <mergeCell ref="G1598:H1598"/>
    <mergeCell ref="G1599:H1599"/>
    <mergeCell ref="G1600:H1600"/>
    <mergeCell ref="G1601:H1601"/>
    <mergeCell ref="G1602:H1602"/>
    <mergeCell ref="G1603:H1603"/>
    <mergeCell ref="G1591:H1591"/>
    <mergeCell ref="G1592:H1592"/>
    <mergeCell ref="G1593:H1593"/>
    <mergeCell ref="G1594:H1594"/>
    <mergeCell ref="G1595:H1595"/>
    <mergeCell ref="G1596:H1596"/>
    <mergeCell ref="G1585:H1585"/>
    <mergeCell ref="G1586:H1586"/>
    <mergeCell ref="G1587:H1587"/>
    <mergeCell ref="G1588:H1588"/>
    <mergeCell ref="G1589:H1589"/>
    <mergeCell ref="G1590:H1590"/>
    <mergeCell ref="G1578:H1578"/>
    <mergeCell ref="G1579:H1579"/>
    <mergeCell ref="G1581:H1581"/>
    <mergeCell ref="G1582:H1582"/>
    <mergeCell ref="G1583:H1583"/>
    <mergeCell ref="G1584:H1584"/>
    <mergeCell ref="G1572:H1572"/>
    <mergeCell ref="G1573:H1573"/>
    <mergeCell ref="G1574:H1574"/>
    <mergeCell ref="G1575:H1575"/>
    <mergeCell ref="G1576:H1576"/>
    <mergeCell ref="G1577:H1577"/>
    <mergeCell ref="G1567:H1567"/>
    <mergeCell ref="G1568:H1568"/>
    <mergeCell ref="I1567:I1568"/>
    <mergeCell ref="J1567:J1568"/>
    <mergeCell ref="G1569:H1569"/>
    <mergeCell ref="G1571:H1571"/>
    <mergeCell ref="G1559:H1559"/>
    <mergeCell ref="G1560:H1560"/>
    <mergeCell ref="G1561:H1561"/>
    <mergeCell ref="G1562:H1562"/>
    <mergeCell ref="G1563:H1563"/>
    <mergeCell ref="A1567:A1568"/>
    <mergeCell ref="B1567:B1568"/>
    <mergeCell ref="D1567:D1568"/>
    <mergeCell ref="E1567:E1568"/>
    <mergeCell ref="F1567:F1568"/>
    <mergeCell ref="G1552:H1552"/>
    <mergeCell ref="G1553:H1553"/>
    <mergeCell ref="G1555:H1555"/>
    <mergeCell ref="G1556:H1556"/>
    <mergeCell ref="G1557:H1557"/>
    <mergeCell ref="G1558:H1558"/>
    <mergeCell ref="G1545:H1545"/>
    <mergeCell ref="G1546:H1546"/>
    <mergeCell ref="G1548:H1548"/>
    <mergeCell ref="G1549:H1549"/>
    <mergeCell ref="G1550:H1550"/>
    <mergeCell ref="G1551:H1551"/>
    <mergeCell ref="G1539:H1539"/>
    <mergeCell ref="G1540:H1540"/>
    <mergeCell ref="G1541:H1541"/>
    <mergeCell ref="G1542:H1542"/>
    <mergeCell ref="G1543:H1543"/>
    <mergeCell ref="G1544:H1544"/>
    <mergeCell ref="G1532:H1532"/>
    <mergeCell ref="G1533:H1533"/>
    <mergeCell ref="G1534:H1534"/>
    <mergeCell ref="G1535:H1535"/>
    <mergeCell ref="G1536:H1536"/>
    <mergeCell ref="G1538:H1538"/>
    <mergeCell ref="G1526:H1526"/>
    <mergeCell ref="G1527:H1527"/>
    <mergeCell ref="G1528:H1528"/>
    <mergeCell ref="G1529:H1529"/>
    <mergeCell ref="G1530:H1530"/>
    <mergeCell ref="G1531:H1531"/>
    <mergeCell ref="G1519:H1519"/>
    <mergeCell ref="G1521:H1521"/>
    <mergeCell ref="G1522:H1522"/>
    <mergeCell ref="G1523:H1523"/>
    <mergeCell ref="G1524:H1524"/>
    <mergeCell ref="G1525:H1525"/>
    <mergeCell ref="G1513:H1513"/>
    <mergeCell ref="G1514:H1514"/>
    <mergeCell ref="G1515:H1515"/>
    <mergeCell ref="G1516:H1516"/>
    <mergeCell ref="G1517:H1517"/>
    <mergeCell ref="G1518:H1518"/>
    <mergeCell ref="I1507:I1508"/>
    <mergeCell ref="J1507:J1508"/>
    <mergeCell ref="G1509:H1509"/>
    <mergeCell ref="G1510:H1510"/>
    <mergeCell ref="G1511:H1511"/>
    <mergeCell ref="G1512:H1512"/>
    <mergeCell ref="G1502:H1502"/>
    <mergeCell ref="A1507:A1508"/>
    <mergeCell ref="B1507:B1508"/>
    <mergeCell ref="D1507:D1508"/>
    <mergeCell ref="E1507:E1508"/>
    <mergeCell ref="F1507:F1508"/>
    <mergeCell ref="G1507:H1507"/>
    <mergeCell ref="G1508:H1508"/>
    <mergeCell ref="G1497:H1497"/>
    <mergeCell ref="I1496:I1497"/>
    <mergeCell ref="J1496:J1497"/>
    <mergeCell ref="G1498:H1498"/>
    <mergeCell ref="G1500:H1500"/>
    <mergeCell ref="G1501:H1501"/>
    <mergeCell ref="G1491:I1491"/>
    <mergeCell ref="K1491:M1491"/>
    <mergeCell ref="G1492:H1492"/>
    <mergeCell ref="K1492:L1492"/>
    <mergeCell ref="A1496:A1497"/>
    <mergeCell ref="B1496:B1497"/>
    <mergeCell ref="D1496:D1497"/>
    <mergeCell ref="E1496:E1497"/>
    <mergeCell ref="F1496:F1497"/>
    <mergeCell ref="G1496:H1496"/>
    <mergeCell ref="G1488:I1488"/>
    <mergeCell ref="K1488:M1488"/>
    <mergeCell ref="G1489:I1489"/>
    <mergeCell ref="K1489:M1489"/>
    <mergeCell ref="G1490:I1490"/>
    <mergeCell ref="K1490:M1490"/>
    <mergeCell ref="H1485:I1485"/>
    <mergeCell ref="L1485:M1485"/>
    <mergeCell ref="G1486:I1486"/>
    <mergeCell ref="K1486:M1486"/>
    <mergeCell ref="G1487:I1487"/>
    <mergeCell ref="K1487:M1487"/>
    <mergeCell ref="G1482:I1482"/>
    <mergeCell ref="K1482:M1482"/>
    <mergeCell ref="G1483:I1483"/>
    <mergeCell ref="K1483:M1483"/>
    <mergeCell ref="G1484:I1484"/>
    <mergeCell ref="K1484:M1484"/>
    <mergeCell ref="G1479:I1479"/>
    <mergeCell ref="K1479:M1479"/>
    <mergeCell ref="G1480:I1480"/>
    <mergeCell ref="K1480:M1480"/>
    <mergeCell ref="G1481:I1481"/>
    <mergeCell ref="K1481:M1481"/>
    <mergeCell ref="G1476:I1476"/>
    <mergeCell ref="K1476:M1476"/>
    <mergeCell ref="G1477:I1477"/>
    <mergeCell ref="K1477:M1477"/>
    <mergeCell ref="G1478:I1478"/>
    <mergeCell ref="K1478:M1478"/>
    <mergeCell ref="G1473:I1473"/>
    <mergeCell ref="K1473:M1473"/>
    <mergeCell ref="G1474:I1474"/>
    <mergeCell ref="K1474:M1474"/>
    <mergeCell ref="H1475:I1475"/>
    <mergeCell ref="L1475:M1475"/>
    <mergeCell ref="G1470:I1470"/>
    <mergeCell ref="K1470:M1470"/>
    <mergeCell ref="G1471:I1471"/>
    <mergeCell ref="K1471:M1471"/>
    <mergeCell ref="G1472:I1472"/>
    <mergeCell ref="K1472:M1472"/>
    <mergeCell ref="G1467:I1467"/>
    <mergeCell ref="K1467:M1467"/>
    <mergeCell ref="G1468:I1468"/>
    <mergeCell ref="K1468:M1468"/>
    <mergeCell ref="G1469:I1469"/>
    <mergeCell ref="K1469:M1469"/>
    <mergeCell ref="G1464:I1464"/>
    <mergeCell ref="K1464:M1464"/>
    <mergeCell ref="G1465:I1465"/>
    <mergeCell ref="K1465:M1465"/>
    <mergeCell ref="G1466:I1466"/>
    <mergeCell ref="K1466:M1466"/>
    <mergeCell ref="G1461:I1461"/>
    <mergeCell ref="K1461:M1461"/>
    <mergeCell ref="G1462:I1462"/>
    <mergeCell ref="K1462:M1462"/>
    <mergeCell ref="G1463:I1463"/>
    <mergeCell ref="K1463:M1463"/>
    <mergeCell ref="H1458:I1458"/>
    <mergeCell ref="L1458:M1458"/>
    <mergeCell ref="G1459:I1459"/>
    <mergeCell ref="K1459:M1459"/>
    <mergeCell ref="G1460:I1460"/>
    <mergeCell ref="K1460:M1460"/>
    <mergeCell ref="G1455:I1455"/>
    <mergeCell ref="K1455:M1455"/>
    <mergeCell ref="G1456:I1456"/>
    <mergeCell ref="K1456:M1456"/>
    <mergeCell ref="G1457:I1457"/>
    <mergeCell ref="K1457:M1457"/>
    <mergeCell ref="G1452:I1452"/>
    <mergeCell ref="K1452:M1452"/>
    <mergeCell ref="G1453:I1453"/>
    <mergeCell ref="K1453:M1453"/>
    <mergeCell ref="G1454:I1454"/>
    <mergeCell ref="K1454:M1454"/>
    <mergeCell ref="G1449:I1449"/>
    <mergeCell ref="K1449:M1449"/>
    <mergeCell ref="G1450:I1450"/>
    <mergeCell ref="K1450:M1450"/>
    <mergeCell ref="G1451:I1451"/>
    <mergeCell ref="K1451:M1451"/>
    <mergeCell ref="J1445:J1446"/>
    <mergeCell ref="K1445:M1446"/>
    <mergeCell ref="G1447:I1447"/>
    <mergeCell ref="K1447:M1447"/>
    <mergeCell ref="H1448:I1448"/>
    <mergeCell ref="L1448:M1448"/>
    <mergeCell ref="A1445:A1446"/>
    <mergeCell ref="B1445:B1446"/>
    <mergeCell ref="D1445:D1446"/>
    <mergeCell ref="E1445:E1446"/>
    <mergeCell ref="F1445:F1446"/>
    <mergeCell ref="G1445:I1445"/>
    <mergeCell ref="G1446:I1446"/>
    <mergeCell ref="G1439:H1439"/>
    <mergeCell ref="J1439:K1439"/>
    <mergeCell ref="G1440:H1440"/>
    <mergeCell ref="J1440:K1440"/>
    <mergeCell ref="G1441:H1441"/>
    <mergeCell ref="J1441:K1441"/>
    <mergeCell ref="G1436:H1436"/>
    <mergeCell ref="J1436:K1436"/>
    <mergeCell ref="G1437:H1437"/>
    <mergeCell ref="J1437:K1437"/>
    <mergeCell ref="G1438:H1438"/>
    <mergeCell ref="J1438:K1438"/>
    <mergeCell ref="G1433:H1433"/>
    <mergeCell ref="J1433:K1433"/>
    <mergeCell ref="G1434:H1434"/>
    <mergeCell ref="J1434:K1434"/>
    <mergeCell ref="G1435:H1435"/>
    <mergeCell ref="J1435:K1435"/>
    <mergeCell ref="G1429:H1429"/>
    <mergeCell ref="J1429:K1429"/>
    <mergeCell ref="G1430:H1430"/>
    <mergeCell ref="J1430:K1430"/>
    <mergeCell ref="G1431:H1431"/>
    <mergeCell ref="J1431:K1431"/>
    <mergeCell ref="G1426:H1426"/>
    <mergeCell ref="J1426:K1426"/>
    <mergeCell ref="G1427:H1427"/>
    <mergeCell ref="J1427:K1427"/>
    <mergeCell ref="G1428:H1428"/>
    <mergeCell ref="J1428:K1428"/>
    <mergeCell ref="G1422:H1422"/>
    <mergeCell ref="J1422:K1422"/>
    <mergeCell ref="G1423:H1423"/>
    <mergeCell ref="J1423:K1423"/>
    <mergeCell ref="G1424:H1424"/>
    <mergeCell ref="J1424:K1424"/>
    <mergeCell ref="G1419:H1419"/>
    <mergeCell ref="J1419:K1419"/>
    <mergeCell ref="G1420:H1420"/>
    <mergeCell ref="J1420:K1420"/>
    <mergeCell ref="G1421:H1421"/>
    <mergeCell ref="J1421:K1421"/>
    <mergeCell ref="G1416:H1416"/>
    <mergeCell ref="J1416:K1416"/>
    <mergeCell ref="G1417:H1417"/>
    <mergeCell ref="J1417:K1417"/>
    <mergeCell ref="G1418:H1418"/>
    <mergeCell ref="J1418:K1418"/>
    <mergeCell ref="G1412:H1412"/>
    <mergeCell ref="J1412:K1412"/>
    <mergeCell ref="G1413:H1413"/>
    <mergeCell ref="J1413:K1413"/>
    <mergeCell ref="G1414:H1414"/>
    <mergeCell ref="J1414:K1414"/>
    <mergeCell ref="G1409:H1409"/>
    <mergeCell ref="J1409:K1409"/>
    <mergeCell ref="G1410:H1410"/>
    <mergeCell ref="J1410:K1410"/>
    <mergeCell ref="G1411:H1411"/>
    <mergeCell ref="J1411:K1411"/>
    <mergeCell ref="G1406:H1406"/>
    <mergeCell ref="J1406:K1406"/>
    <mergeCell ref="G1407:H1407"/>
    <mergeCell ref="J1407:K1407"/>
    <mergeCell ref="G1408:H1408"/>
    <mergeCell ref="J1408:K1408"/>
    <mergeCell ref="G1403:H1403"/>
    <mergeCell ref="J1403:K1403"/>
    <mergeCell ref="G1404:H1404"/>
    <mergeCell ref="J1404:K1404"/>
    <mergeCell ref="G1405:H1405"/>
    <mergeCell ref="J1405:K1405"/>
    <mergeCell ref="G1400:H1400"/>
    <mergeCell ref="J1400:K1400"/>
    <mergeCell ref="G1401:H1401"/>
    <mergeCell ref="J1401:K1401"/>
    <mergeCell ref="G1402:H1402"/>
    <mergeCell ref="J1402:K1402"/>
    <mergeCell ref="G1396:H1396"/>
    <mergeCell ref="J1396:K1396"/>
    <mergeCell ref="G1397:H1397"/>
    <mergeCell ref="J1397:K1397"/>
    <mergeCell ref="G1399:H1399"/>
    <mergeCell ref="J1399:K1399"/>
    <mergeCell ref="G1393:H1393"/>
    <mergeCell ref="J1393:K1393"/>
    <mergeCell ref="G1394:H1394"/>
    <mergeCell ref="J1394:K1394"/>
    <mergeCell ref="G1395:H1395"/>
    <mergeCell ref="J1395:K1395"/>
    <mergeCell ref="G1390:H1390"/>
    <mergeCell ref="J1390:K1390"/>
    <mergeCell ref="G1391:H1391"/>
    <mergeCell ref="J1391:K1391"/>
    <mergeCell ref="G1392:H1392"/>
    <mergeCell ref="J1392:K1392"/>
    <mergeCell ref="G1386:H1386"/>
    <mergeCell ref="I1385:I1386"/>
    <mergeCell ref="J1385:K1386"/>
    <mergeCell ref="G1387:H1387"/>
    <mergeCell ref="J1387:K1387"/>
    <mergeCell ref="G1389:H1389"/>
    <mergeCell ref="J1389:K1389"/>
    <mergeCell ref="G1380:H1380"/>
    <mergeCell ref="J1380:K1380"/>
    <mergeCell ref="G1381:H1381"/>
    <mergeCell ref="J1381:K1381"/>
    <mergeCell ref="A1385:A1386"/>
    <mergeCell ref="B1385:B1386"/>
    <mergeCell ref="D1385:D1386"/>
    <mergeCell ref="E1385:E1386"/>
    <mergeCell ref="F1385:F1386"/>
    <mergeCell ref="G1385:H1385"/>
    <mergeCell ref="G1377:H1377"/>
    <mergeCell ref="J1377:K1377"/>
    <mergeCell ref="G1378:H1378"/>
    <mergeCell ref="J1378:K1378"/>
    <mergeCell ref="G1379:H1379"/>
    <mergeCell ref="J1379:K1379"/>
    <mergeCell ref="G1374:H1374"/>
    <mergeCell ref="J1374:K1374"/>
    <mergeCell ref="G1375:H1375"/>
    <mergeCell ref="J1375:K1375"/>
    <mergeCell ref="G1376:H1376"/>
    <mergeCell ref="J1376:K1376"/>
    <mergeCell ref="G1370:H1370"/>
    <mergeCell ref="J1370:K1370"/>
    <mergeCell ref="G1371:H1371"/>
    <mergeCell ref="J1371:K1371"/>
    <mergeCell ref="G1373:H1373"/>
    <mergeCell ref="J1373:K1373"/>
    <mergeCell ref="G1367:H1367"/>
    <mergeCell ref="J1367:K1367"/>
    <mergeCell ref="G1368:H1368"/>
    <mergeCell ref="J1368:K1368"/>
    <mergeCell ref="G1369:H1369"/>
    <mergeCell ref="J1369:K1369"/>
    <mergeCell ref="G1363:H1363"/>
    <mergeCell ref="J1363:K1363"/>
    <mergeCell ref="G1364:H1364"/>
    <mergeCell ref="J1364:K1364"/>
    <mergeCell ref="G1366:H1366"/>
    <mergeCell ref="J1366:K1366"/>
    <mergeCell ref="G1360:H1360"/>
    <mergeCell ref="J1360:K1360"/>
    <mergeCell ref="G1361:H1361"/>
    <mergeCell ref="J1361:K1361"/>
    <mergeCell ref="G1362:H1362"/>
    <mergeCell ref="J1362:K1362"/>
    <mergeCell ref="G1357:H1357"/>
    <mergeCell ref="J1357:K1357"/>
    <mergeCell ref="G1358:H1358"/>
    <mergeCell ref="J1358:K1358"/>
    <mergeCell ref="G1359:H1359"/>
    <mergeCell ref="J1359:K1359"/>
    <mergeCell ref="G1353:H1353"/>
    <mergeCell ref="J1353:K1353"/>
    <mergeCell ref="G1354:H1354"/>
    <mergeCell ref="J1354:K1354"/>
    <mergeCell ref="G1356:H1356"/>
    <mergeCell ref="J1356:K1356"/>
    <mergeCell ref="G1350:H1350"/>
    <mergeCell ref="J1350:K1350"/>
    <mergeCell ref="G1351:H1351"/>
    <mergeCell ref="J1351:K1351"/>
    <mergeCell ref="G1352:H1352"/>
    <mergeCell ref="J1352:K1352"/>
    <mergeCell ref="G1347:H1347"/>
    <mergeCell ref="J1347:K1347"/>
    <mergeCell ref="G1348:H1348"/>
    <mergeCell ref="J1348:K1348"/>
    <mergeCell ref="G1349:H1349"/>
    <mergeCell ref="J1349:K1349"/>
    <mergeCell ref="G1344:H1344"/>
    <mergeCell ref="J1344:K1344"/>
    <mergeCell ref="G1345:H1345"/>
    <mergeCell ref="J1345:K1345"/>
    <mergeCell ref="G1346:H1346"/>
    <mergeCell ref="J1346:K1346"/>
    <mergeCell ref="G1341:H1341"/>
    <mergeCell ref="J1341:K1341"/>
    <mergeCell ref="G1342:H1342"/>
    <mergeCell ref="J1342:K1342"/>
    <mergeCell ref="G1343:H1343"/>
    <mergeCell ref="J1343:K1343"/>
    <mergeCell ref="G1337:H1337"/>
    <mergeCell ref="J1337:K1337"/>
    <mergeCell ref="G1339:H1339"/>
    <mergeCell ref="J1339:K1339"/>
    <mergeCell ref="G1340:H1340"/>
    <mergeCell ref="J1340:K1340"/>
    <mergeCell ref="G1334:H1334"/>
    <mergeCell ref="J1334:K1334"/>
    <mergeCell ref="G1335:H1335"/>
    <mergeCell ref="J1335:K1335"/>
    <mergeCell ref="G1336:H1336"/>
    <mergeCell ref="J1336:K1336"/>
    <mergeCell ref="G1331:H1331"/>
    <mergeCell ref="J1331:K1331"/>
    <mergeCell ref="G1332:H1332"/>
    <mergeCell ref="J1332:K1332"/>
    <mergeCell ref="G1333:H1333"/>
    <mergeCell ref="J1333:K1333"/>
    <mergeCell ref="J1325:K1326"/>
    <mergeCell ref="G1327:H1327"/>
    <mergeCell ref="J1327:K1327"/>
    <mergeCell ref="G1329:H1329"/>
    <mergeCell ref="J1329:K1329"/>
    <mergeCell ref="G1330:H1330"/>
    <mergeCell ref="J1330:K1330"/>
    <mergeCell ref="G1321:H1321"/>
    <mergeCell ref="J1321:K1321"/>
    <mergeCell ref="A1325:A1326"/>
    <mergeCell ref="B1325:B1326"/>
    <mergeCell ref="D1325:D1326"/>
    <mergeCell ref="E1325:E1326"/>
    <mergeCell ref="F1325:F1326"/>
    <mergeCell ref="G1325:H1325"/>
    <mergeCell ref="G1326:H1326"/>
    <mergeCell ref="I1325:I1326"/>
    <mergeCell ref="G1318:H1318"/>
    <mergeCell ref="J1318:K1318"/>
    <mergeCell ref="G1319:H1319"/>
    <mergeCell ref="J1319:K1319"/>
    <mergeCell ref="G1320:H1320"/>
    <mergeCell ref="J1320:K1320"/>
    <mergeCell ref="G1315:H1315"/>
    <mergeCell ref="J1315:K1315"/>
    <mergeCell ref="G1316:H1316"/>
    <mergeCell ref="J1316:K1316"/>
    <mergeCell ref="G1317:H1317"/>
    <mergeCell ref="J1317:K1317"/>
    <mergeCell ref="G1311:H1311"/>
    <mergeCell ref="J1311:K1311"/>
    <mergeCell ref="G1313:H1313"/>
    <mergeCell ref="J1313:K1313"/>
    <mergeCell ref="G1314:H1314"/>
    <mergeCell ref="J1314:K1314"/>
    <mergeCell ref="G1308:H1308"/>
    <mergeCell ref="J1308:K1308"/>
    <mergeCell ref="G1309:H1309"/>
    <mergeCell ref="J1309:K1309"/>
    <mergeCell ref="G1310:H1310"/>
    <mergeCell ref="J1310:K1310"/>
    <mergeCell ref="G1304:H1304"/>
    <mergeCell ref="J1304:K1304"/>
    <mergeCell ref="J1305:K1305"/>
    <mergeCell ref="G1306:H1306"/>
    <mergeCell ref="J1306:K1306"/>
    <mergeCell ref="G1307:H1307"/>
    <mergeCell ref="J1307:K1307"/>
    <mergeCell ref="G1301:H1301"/>
    <mergeCell ref="J1301:K1301"/>
    <mergeCell ref="G1302:H1302"/>
    <mergeCell ref="J1302:K1302"/>
    <mergeCell ref="G1303:H1303"/>
    <mergeCell ref="J1303:K1303"/>
    <mergeCell ref="G1298:H1298"/>
    <mergeCell ref="J1298:K1298"/>
    <mergeCell ref="G1299:H1299"/>
    <mergeCell ref="J1299:K1299"/>
    <mergeCell ref="G1300:H1300"/>
    <mergeCell ref="J1300:K1300"/>
    <mergeCell ref="G1295:H1295"/>
    <mergeCell ref="J1295:K1295"/>
    <mergeCell ref="G1296:H1296"/>
    <mergeCell ref="J1296:K1296"/>
    <mergeCell ref="G1297:H1297"/>
    <mergeCell ref="J1297:K1297"/>
    <mergeCell ref="G1292:H1292"/>
    <mergeCell ref="J1292:K1292"/>
    <mergeCell ref="G1293:H1293"/>
    <mergeCell ref="J1293:K1293"/>
    <mergeCell ref="G1294:H1294"/>
    <mergeCell ref="J1294:K1294"/>
    <mergeCell ref="G1289:H1289"/>
    <mergeCell ref="J1289:K1289"/>
    <mergeCell ref="G1290:H1290"/>
    <mergeCell ref="J1290:K1290"/>
    <mergeCell ref="G1291:H1291"/>
    <mergeCell ref="J1291:K1291"/>
    <mergeCell ref="G1286:H1286"/>
    <mergeCell ref="J1286:K1286"/>
    <mergeCell ref="G1287:H1287"/>
    <mergeCell ref="J1287:K1287"/>
    <mergeCell ref="G1288:H1288"/>
    <mergeCell ref="J1288:K1288"/>
    <mergeCell ref="G1283:H1283"/>
    <mergeCell ref="J1283:K1283"/>
    <mergeCell ref="G1284:H1284"/>
    <mergeCell ref="J1284:K1284"/>
    <mergeCell ref="G1285:H1285"/>
    <mergeCell ref="J1285:K1285"/>
    <mergeCell ref="G1280:H1280"/>
    <mergeCell ref="J1280:K1280"/>
    <mergeCell ref="G1281:H1281"/>
    <mergeCell ref="J1281:K1281"/>
    <mergeCell ref="G1282:H1282"/>
    <mergeCell ref="J1282:K1282"/>
    <mergeCell ref="G1277:H1277"/>
    <mergeCell ref="J1277:K1277"/>
    <mergeCell ref="G1278:H1278"/>
    <mergeCell ref="J1278:K1278"/>
    <mergeCell ref="G1279:H1279"/>
    <mergeCell ref="J1279:K1279"/>
    <mergeCell ref="G1274:H1274"/>
    <mergeCell ref="J1274:K1274"/>
    <mergeCell ref="G1275:H1275"/>
    <mergeCell ref="J1275:K1275"/>
    <mergeCell ref="G1276:H1276"/>
    <mergeCell ref="J1276:K1276"/>
    <mergeCell ref="G1271:H1271"/>
    <mergeCell ref="J1271:K1271"/>
    <mergeCell ref="G1272:H1272"/>
    <mergeCell ref="J1272:K1272"/>
    <mergeCell ref="G1273:H1273"/>
    <mergeCell ref="J1273:K1273"/>
    <mergeCell ref="G1268:H1268"/>
    <mergeCell ref="J1268:K1268"/>
    <mergeCell ref="G1269:H1269"/>
    <mergeCell ref="J1269:K1269"/>
    <mergeCell ref="G1270:H1270"/>
    <mergeCell ref="J1270:K1270"/>
    <mergeCell ref="G1265:H1265"/>
    <mergeCell ref="G1266:H1266"/>
    <mergeCell ref="I1265:I1266"/>
    <mergeCell ref="J1265:K1266"/>
    <mergeCell ref="G1267:H1267"/>
    <mergeCell ref="J1267:K1267"/>
    <mergeCell ref="G1257:H1257"/>
    <mergeCell ref="G1258:H1258"/>
    <mergeCell ref="G1259:H1259"/>
    <mergeCell ref="G1260:H1260"/>
    <mergeCell ref="G1261:H1261"/>
    <mergeCell ref="A1265:A1266"/>
    <mergeCell ref="B1265:B1266"/>
    <mergeCell ref="D1265:D1266"/>
    <mergeCell ref="E1265:E1266"/>
    <mergeCell ref="F1265:F1266"/>
    <mergeCell ref="G1250:H1250"/>
    <mergeCell ref="G1251:H1251"/>
    <mergeCell ref="G1253:H1253"/>
    <mergeCell ref="G1254:H1254"/>
    <mergeCell ref="G1255:H1255"/>
    <mergeCell ref="G1256:H1256"/>
    <mergeCell ref="G1243:H1243"/>
    <mergeCell ref="G1244:H1244"/>
    <mergeCell ref="G1246:H1246"/>
    <mergeCell ref="G1247:H1247"/>
    <mergeCell ref="G1248:H1248"/>
    <mergeCell ref="G1249:H1249"/>
    <mergeCell ref="G1237:H1237"/>
    <mergeCell ref="G1238:H1238"/>
    <mergeCell ref="G1239:H1239"/>
    <mergeCell ref="G1240:H1240"/>
    <mergeCell ref="G1241:H1241"/>
    <mergeCell ref="G1242:H1242"/>
    <mergeCell ref="G1230:H1230"/>
    <mergeCell ref="G1231:H1231"/>
    <mergeCell ref="G1232:H1232"/>
    <mergeCell ref="G1233:H1233"/>
    <mergeCell ref="G1234:H1234"/>
    <mergeCell ref="G1236:H1236"/>
    <mergeCell ref="G1224:H1224"/>
    <mergeCell ref="G1225:H1225"/>
    <mergeCell ref="G1226:H1226"/>
    <mergeCell ref="G1227:H1227"/>
    <mergeCell ref="G1228:H1228"/>
    <mergeCell ref="G1229:H1229"/>
    <mergeCell ref="G1217:H1217"/>
    <mergeCell ref="G1219:H1219"/>
    <mergeCell ref="G1220:H1220"/>
    <mergeCell ref="G1221:H1221"/>
    <mergeCell ref="G1222:H1222"/>
    <mergeCell ref="G1223:H1223"/>
    <mergeCell ref="G1211:H1211"/>
    <mergeCell ref="G1212:H1212"/>
    <mergeCell ref="G1213:H1213"/>
    <mergeCell ref="G1214:H1214"/>
    <mergeCell ref="G1215:H1215"/>
    <mergeCell ref="G1216:H1216"/>
    <mergeCell ref="I1205:I1206"/>
    <mergeCell ref="J1205:J1206"/>
    <mergeCell ref="G1207:H1207"/>
    <mergeCell ref="G1208:H1208"/>
    <mergeCell ref="G1209:H1209"/>
    <mergeCell ref="G1210:H1210"/>
    <mergeCell ref="A1205:A1206"/>
    <mergeCell ref="B1205:B1206"/>
    <mergeCell ref="D1205:D1206"/>
    <mergeCell ref="E1205:E1206"/>
    <mergeCell ref="F1205:F1206"/>
    <mergeCell ref="G1205:H1205"/>
    <mergeCell ref="G1206:H1206"/>
    <mergeCell ref="G1195:H1195"/>
    <mergeCell ref="G1196:H1196"/>
    <mergeCell ref="G1197:H1197"/>
    <mergeCell ref="G1198:H1198"/>
    <mergeCell ref="G1199:H1199"/>
    <mergeCell ref="G1200:H1200"/>
    <mergeCell ref="G1188:H1188"/>
    <mergeCell ref="G1189:H1189"/>
    <mergeCell ref="G1190:H1190"/>
    <mergeCell ref="G1191:H1191"/>
    <mergeCell ref="G1192:H1192"/>
    <mergeCell ref="G1193:H1193"/>
    <mergeCell ref="I1181:I1182"/>
    <mergeCell ref="J1181:J1182"/>
    <mergeCell ref="G1183:H1183"/>
    <mergeCell ref="G1185:H1185"/>
    <mergeCell ref="G1186:H1186"/>
    <mergeCell ref="G1187:H1187"/>
    <mergeCell ref="A1181:A1182"/>
    <mergeCell ref="B1181:B1182"/>
    <mergeCell ref="D1181:D1182"/>
    <mergeCell ref="E1181:E1182"/>
    <mergeCell ref="F1181:F1182"/>
    <mergeCell ref="G1181:H1181"/>
    <mergeCell ref="G1182:H1182"/>
    <mergeCell ref="G1174:H1174"/>
    <mergeCell ref="G1175:I1175"/>
    <mergeCell ref="K1175:L1175"/>
    <mergeCell ref="G1176:I1176"/>
    <mergeCell ref="K1176:L1176"/>
    <mergeCell ref="G1177:I1177"/>
    <mergeCell ref="K1177:L1177"/>
    <mergeCell ref="G1171:I1171"/>
    <mergeCell ref="K1171:L1171"/>
    <mergeCell ref="G1172:I1172"/>
    <mergeCell ref="K1172:L1172"/>
    <mergeCell ref="G1173:I1173"/>
    <mergeCell ref="K1173:L1173"/>
    <mergeCell ref="G1168:I1168"/>
    <mergeCell ref="K1168:L1168"/>
    <mergeCell ref="G1169:I1169"/>
    <mergeCell ref="K1169:L1169"/>
    <mergeCell ref="G1170:I1170"/>
    <mergeCell ref="K1170:L1170"/>
    <mergeCell ref="G1165:I1165"/>
    <mergeCell ref="K1165:L1165"/>
    <mergeCell ref="G1166:I1166"/>
    <mergeCell ref="K1166:L1166"/>
    <mergeCell ref="G1167:I1167"/>
    <mergeCell ref="K1167:L1167"/>
    <mergeCell ref="G1162:I1162"/>
    <mergeCell ref="K1162:L1162"/>
    <mergeCell ref="G1163:I1163"/>
    <mergeCell ref="K1163:L1163"/>
    <mergeCell ref="G1164:I1164"/>
    <mergeCell ref="K1164:L1164"/>
    <mergeCell ref="G1159:I1159"/>
    <mergeCell ref="K1159:L1159"/>
    <mergeCell ref="G1160:I1160"/>
    <mergeCell ref="K1160:L1160"/>
    <mergeCell ref="G1161:I1161"/>
    <mergeCell ref="K1161:L1161"/>
    <mergeCell ref="G1155:I1155"/>
    <mergeCell ref="K1155:L1155"/>
    <mergeCell ref="G1156:I1156"/>
    <mergeCell ref="K1156:L1156"/>
    <mergeCell ref="H1157:I1157"/>
    <mergeCell ref="G1158:I1158"/>
    <mergeCell ref="K1158:L1158"/>
    <mergeCell ref="G1152:I1152"/>
    <mergeCell ref="K1152:L1152"/>
    <mergeCell ref="G1153:I1153"/>
    <mergeCell ref="K1153:L1153"/>
    <mergeCell ref="G1154:I1154"/>
    <mergeCell ref="K1154:L1154"/>
    <mergeCell ref="G1149:I1149"/>
    <mergeCell ref="K1149:L1149"/>
    <mergeCell ref="G1150:I1150"/>
    <mergeCell ref="K1150:L1150"/>
    <mergeCell ref="G1151:I1151"/>
    <mergeCell ref="K1151:L1151"/>
    <mergeCell ref="J1144:J1145"/>
    <mergeCell ref="K1144:L1145"/>
    <mergeCell ref="G1146:I1146"/>
    <mergeCell ref="K1146:L1146"/>
    <mergeCell ref="G1147:H1147"/>
    <mergeCell ref="G1148:I1148"/>
    <mergeCell ref="K1148:L1148"/>
    <mergeCell ref="A1144:A1145"/>
    <mergeCell ref="B1144:B1145"/>
    <mergeCell ref="D1144:D1145"/>
    <mergeCell ref="E1144:E1145"/>
    <mergeCell ref="F1144:F1145"/>
    <mergeCell ref="G1144:I1144"/>
    <mergeCell ref="G1145:I1145"/>
    <mergeCell ref="G1137:I1137"/>
    <mergeCell ref="K1137:L1137"/>
    <mergeCell ref="G1138:I1138"/>
    <mergeCell ref="K1138:L1138"/>
    <mergeCell ref="G1139:I1139"/>
    <mergeCell ref="K1139:L1139"/>
    <mergeCell ref="G1134:I1134"/>
    <mergeCell ref="K1134:L1134"/>
    <mergeCell ref="G1135:I1135"/>
    <mergeCell ref="K1135:L1135"/>
    <mergeCell ref="G1136:I1136"/>
    <mergeCell ref="K1136:L1136"/>
    <mergeCell ref="H1130:I1130"/>
    <mergeCell ref="G1131:I1131"/>
    <mergeCell ref="K1131:L1131"/>
    <mergeCell ref="G1132:I1132"/>
    <mergeCell ref="K1132:L1132"/>
    <mergeCell ref="G1133:I1133"/>
    <mergeCell ref="K1133:L1133"/>
    <mergeCell ref="G1127:I1127"/>
    <mergeCell ref="K1127:L1127"/>
    <mergeCell ref="G1128:I1128"/>
    <mergeCell ref="K1128:L1128"/>
    <mergeCell ref="G1129:I1129"/>
    <mergeCell ref="K1129:L1129"/>
    <mergeCell ref="G1123:H1123"/>
    <mergeCell ref="G1124:I1124"/>
    <mergeCell ref="K1124:L1124"/>
    <mergeCell ref="G1125:I1125"/>
    <mergeCell ref="K1125:L1125"/>
    <mergeCell ref="G1126:I1126"/>
    <mergeCell ref="K1126:L1126"/>
    <mergeCell ref="G1120:I1120"/>
    <mergeCell ref="K1120:L1120"/>
    <mergeCell ref="G1121:I1121"/>
    <mergeCell ref="K1121:L1121"/>
    <mergeCell ref="G1122:I1122"/>
    <mergeCell ref="K1122:L1122"/>
    <mergeCell ref="G1117:I1117"/>
    <mergeCell ref="K1117:L1117"/>
    <mergeCell ref="G1118:I1118"/>
    <mergeCell ref="K1118:L1118"/>
    <mergeCell ref="G1119:I1119"/>
    <mergeCell ref="K1119:L1119"/>
    <mergeCell ref="G1113:H1113"/>
    <mergeCell ref="G1114:I1114"/>
    <mergeCell ref="K1114:L1114"/>
    <mergeCell ref="G1115:I1115"/>
    <mergeCell ref="K1115:L1115"/>
    <mergeCell ref="G1116:I1116"/>
    <mergeCell ref="K1116:L1116"/>
    <mergeCell ref="G1110:I1110"/>
    <mergeCell ref="K1110:L1110"/>
    <mergeCell ref="G1111:I1111"/>
    <mergeCell ref="K1111:L1111"/>
    <mergeCell ref="G1112:I1112"/>
    <mergeCell ref="K1112:L1112"/>
    <mergeCell ref="G1107:I1107"/>
    <mergeCell ref="K1107:L1107"/>
    <mergeCell ref="G1108:I1108"/>
    <mergeCell ref="K1108:L1108"/>
    <mergeCell ref="G1109:I1109"/>
    <mergeCell ref="K1109:L1109"/>
    <mergeCell ref="G1104:I1104"/>
    <mergeCell ref="K1104:L1104"/>
    <mergeCell ref="G1105:I1105"/>
    <mergeCell ref="K1105:L1105"/>
    <mergeCell ref="G1106:I1106"/>
    <mergeCell ref="K1106:L1106"/>
    <mergeCell ref="G1101:I1101"/>
    <mergeCell ref="K1101:L1101"/>
    <mergeCell ref="G1102:I1102"/>
    <mergeCell ref="K1102:L1102"/>
    <mergeCell ref="G1103:I1103"/>
    <mergeCell ref="K1103:L1103"/>
    <mergeCell ref="G1098:I1098"/>
    <mergeCell ref="K1098:L1098"/>
    <mergeCell ref="G1099:I1099"/>
    <mergeCell ref="K1099:L1099"/>
    <mergeCell ref="G1100:I1100"/>
    <mergeCell ref="K1100:L1100"/>
    <mergeCell ref="G1094:I1094"/>
    <mergeCell ref="K1094:L1094"/>
    <mergeCell ref="G1095:I1095"/>
    <mergeCell ref="K1095:L1095"/>
    <mergeCell ref="G1096:H1096"/>
    <mergeCell ref="G1097:I1097"/>
    <mergeCell ref="K1097:L1097"/>
    <mergeCell ref="G1091:I1091"/>
    <mergeCell ref="K1091:L1091"/>
    <mergeCell ref="G1092:I1092"/>
    <mergeCell ref="K1092:L1092"/>
    <mergeCell ref="G1093:I1093"/>
    <mergeCell ref="K1093:L1093"/>
    <mergeCell ref="G1088:I1088"/>
    <mergeCell ref="K1088:L1088"/>
    <mergeCell ref="G1089:I1089"/>
    <mergeCell ref="K1089:L1089"/>
    <mergeCell ref="G1090:I1090"/>
    <mergeCell ref="K1090:L1090"/>
    <mergeCell ref="K1083:L1084"/>
    <mergeCell ref="G1085:I1085"/>
    <mergeCell ref="K1085:L1085"/>
    <mergeCell ref="G1086:H1086"/>
    <mergeCell ref="G1087:I1087"/>
    <mergeCell ref="K1087:L1087"/>
    <mergeCell ref="G1078:I1078"/>
    <mergeCell ref="K1078:L1078"/>
    <mergeCell ref="A1083:A1084"/>
    <mergeCell ref="B1083:B1084"/>
    <mergeCell ref="D1083:D1084"/>
    <mergeCell ref="E1083:E1084"/>
    <mergeCell ref="F1083:F1084"/>
    <mergeCell ref="G1083:I1083"/>
    <mergeCell ref="G1084:I1084"/>
    <mergeCell ref="J1083:J1084"/>
    <mergeCell ref="G1075:I1075"/>
    <mergeCell ref="K1075:L1075"/>
    <mergeCell ref="G1076:I1076"/>
    <mergeCell ref="K1076:L1076"/>
    <mergeCell ref="G1077:I1077"/>
    <mergeCell ref="K1077:L1077"/>
    <mergeCell ref="G1072:I1072"/>
    <mergeCell ref="K1072:L1072"/>
    <mergeCell ref="G1073:I1073"/>
    <mergeCell ref="K1073:L1073"/>
    <mergeCell ref="G1074:I1074"/>
    <mergeCell ref="K1074:L1074"/>
    <mergeCell ref="G1068:I1068"/>
    <mergeCell ref="K1068:L1068"/>
    <mergeCell ref="G1069:H1069"/>
    <mergeCell ref="G1070:I1070"/>
    <mergeCell ref="K1070:L1070"/>
    <mergeCell ref="G1071:I1071"/>
    <mergeCell ref="K1071:L1071"/>
    <mergeCell ref="G1065:I1065"/>
    <mergeCell ref="K1065:L1065"/>
    <mergeCell ref="G1066:I1066"/>
    <mergeCell ref="K1066:L1066"/>
    <mergeCell ref="G1067:I1067"/>
    <mergeCell ref="K1067:L1067"/>
    <mergeCell ref="G1061:I1061"/>
    <mergeCell ref="K1061:L1061"/>
    <mergeCell ref="G1062:H1062"/>
    <mergeCell ref="G1063:I1063"/>
    <mergeCell ref="K1063:L1063"/>
    <mergeCell ref="G1064:I1064"/>
    <mergeCell ref="K1064:L1064"/>
    <mergeCell ref="G1058:I1058"/>
    <mergeCell ref="K1058:L1058"/>
    <mergeCell ref="G1059:I1059"/>
    <mergeCell ref="K1059:L1059"/>
    <mergeCell ref="G1060:I1060"/>
    <mergeCell ref="K1060:L1060"/>
    <mergeCell ref="G1055:I1055"/>
    <mergeCell ref="K1055:L1055"/>
    <mergeCell ref="G1056:I1056"/>
    <mergeCell ref="K1056:L1056"/>
    <mergeCell ref="G1057:I1057"/>
    <mergeCell ref="K1057:L1057"/>
    <mergeCell ref="G1051:I1051"/>
    <mergeCell ref="K1051:L1051"/>
    <mergeCell ref="H1052:I1052"/>
    <mergeCell ref="G1053:I1053"/>
    <mergeCell ref="K1053:L1053"/>
    <mergeCell ref="G1054:I1054"/>
    <mergeCell ref="K1054:L1054"/>
    <mergeCell ref="G1048:I1048"/>
    <mergeCell ref="K1048:L1048"/>
    <mergeCell ref="G1049:I1049"/>
    <mergeCell ref="K1049:L1049"/>
    <mergeCell ref="G1050:I1050"/>
    <mergeCell ref="K1050:L1050"/>
    <mergeCell ref="G1045:I1045"/>
    <mergeCell ref="K1045:L1045"/>
    <mergeCell ref="G1046:I1046"/>
    <mergeCell ref="K1046:L1046"/>
    <mergeCell ref="G1047:I1047"/>
    <mergeCell ref="K1047:L1047"/>
    <mergeCell ref="G1042:I1042"/>
    <mergeCell ref="K1042:L1042"/>
    <mergeCell ref="G1043:I1043"/>
    <mergeCell ref="K1043:L1043"/>
    <mergeCell ref="G1044:I1044"/>
    <mergeCell ref="K1044:L1044"/>
    <mergeCell ref="G1039:I1039"/>
    <mergeCell ref="K1039:L1039"/>
    <mergeCell ref="G1040:I1040"/>
    <mergeCell ref="K1040:L1040"/>
    <mergeCell ref="G1041:I1041"/>
    <mergeCell ref="K1041:L1041"/>
    <mergeCell ref="G1035:H1035"/>
    <mergeCell ref="G1036:I1036"/>
    <mergeCell ref="K1036:L1036"/>
    <mergeCell ref="G1037:I1037"/>
    <mergeCell ref="K1037:L1037"/>
    <mergeCell ref="G1038:I1038"/>
    <mergeCell ref="K1038:L1038"/>
    <mergeCell ref="G1032:I1032"/>
    <mergeCell ref="K1032:L1032"/>
    <mergeCell ref="G1033:I1033"/>
    <mergeCell ref="K1033:L1033"/>
    <mergeCell ref="G1034:I1034"/>
    <mergeCell ref="K1034:L1034"/>
    <mergeCell ref="G1029:I1029"/>
    <mergeCell ref="K1029:L1029"/>
    <mergeCell ref="G1030:I1030"/>
    <mergeCell ref="K1030:L1030"/>
    <mergeCell ref="G1031:I1031"/>
    <mergeCell ref="K1031:L1031"/>
    <mergeCell ref="G1026:I1026"/>
    <mergeCell ref="K1026:L1026"/>
    <mergeCell ref="G1027:I1027"/>
    <mergeCell ref="K1027:L1027"/>
    <mergeCell ref="G1028:I1028"/>
    <mergeCell ref="K1028:L1028"/>
    <mergeCell ref="G1023:I1023"/>
    <mergeCell ref="J1022:J1023"/>
    <mergeCell ref="K1022:L1023"/>
    <mergeCell ref="G1024:I1024"/>
    <mergeCell ref="K1024:L1024"/>
    <mergeCell ref="H1025:I1025"/>
    <mergeCell ref="G1016:I1016"/>
    <mergeCell ref="K1016:L1016"/>
    <mergeCell ref="G1017:I1017"/>
    <mergeCell ref="K1017:L1017"/>
    <mergeCell ref="A1022:A1023"/>
    <mergeCell ref="B1022:B1023"/>
    <mergeCell ref="D1022:D1023"/>
    <mergeCell ref="E1022:E1023"/>
    <mergeCell ref="F1022:F1023"/>
    <mergeCell ref="G1022:I1022"/>
    <mergeCell ref="G1013:I1013"/>
    <mergeCell ref="K1013:L1013"/>
    <mergeCell ref="G1014:I1014"/>
    <mergeCell ref="K1014:L1014"/>
    <mergeCell ref="G1015:I1015"/>
    <mergeCell ref="K1015:L1015"/>
    <mergeCell ref="G1010:I1010"/>
    <mergeCell ref="K1010:L1010"/>
    <mergeCell ref="G1011:I1011"/>
    <mergeCell ref="K1011:L1011"/>
    <mergeCell ref="G1012:I1012"/>
    <mergeCell ref="K1012:L1012"/>
    <mergeCell ref="G1006:I1006"/>
    <mergeCell ref="K1006:L1006"/>
    <mergeCell ref="G1007:I1007"/>
    <mergeCell ref="K1007:L1007"/>
    <mergeCell ref="G1008:H1008"/>
    <mergeCell ref="G1009:I1009"/>
    <mergeCell ref="K1009:L1009"/>
    <mergeCell ref="G1003:I1003"/>
    <mergeCell ref="K1003:L1003"/>
    <mergeCell ref="G1004:I1004"/>
    <mergeCell ref="K1004:L1004"/>
    <mergeCell ref="G1005:I1005"/>
    <mergeCell ref="K1005:L1005"/>
    <mergeCell ref="G999:I999"/>
    <mergeCell ref="K999:L999"/>
    <mergeCell ref="G1000:I1000"/>
    <mergeCell ref="K1000:L1000"/>
    <mergeCell ref="H1001:I1001"/>
    <mergeCell ref="G1002:I1002"/>
    <mergeCell ref="K1002:L1002"/>
    <mergeCell ref="G996:I996"/>
    <mergeCell ref="K996:L996"/>
    <mergeCell ref="G997:I997"/>
    <mergeCell ref="K997:L997"/>
    <mergeCell ref="G998:I998"/>
    <mergeCell ref="K998:L998"/>
    <mergeCell ref="G993:I993"/>
    <mergeCell ref="K993:L993"/>
    <mergeCell ref="G994:I994"/>
    <mergeCell ref="K994:L994"/>
    <mergeCell ref="G995:I995"/>
    <mergeCell ref="K995:L995"/>
    <mergeCell ref="G989:I989"/>
    <mergeCell ref="K989:L989"/>
    <mergeCell ref="G990:I990"/>
    <mergeCell ref="K990:L990"/>
    <mergeCell ref="G991:H991"/>
    <mergeCell ref="G992:I992"/>
    <mergeCell ref="K992:L992"/>
    <mergeCell ref="G986:I986"/>
    <mergeCell ref="K986:L986"/>
    <mergeCell ref="G987:I987"/>
    <mergeCell ref="K987:L987"/>
    <mergeCell ref="G988:I988"/>
    <mergeCell ref="K988:L988"/>
    <mergeCell ref="G983:I983"/>
    <mergeCell ref="K983:L983"/>
    <mergeCell ref="G984:I984"/>
    <mergeCell ref="K984:L984"/>
    <mergeCell ref="G985:I985"/>
    <mergeCell ref="K985:L985"/>
    <mergeCell ref="G980:I980"/>
    <mergeCell ref="K980:L980"/>
    <mergeCell ref="G981:I981"/>
    <mergeCell ref="K981:L981"/>
    <mergeCell ref="G982:I982"/>
    <mergeCell ref="K982:L982"/>
    <mergeCell ref="G977:I977"/>
    <mergeCell ref="K977:L977"/>
    <mergeCell ref="G978:I978"/>
    <mergeCell ref="K978:L978"/>
    <mergeCell ref="G979:I979"/>
    <mergeCell ref="K979:L979"/>
    <mergeCell ref="G974:I974"/>
    <mergeCell ref="K974:L974"/>
    <mergeCell ref="G975:I975"/>
    <mergeCell ref="K975:L975"/>
    <mergeCell ref="G976:I976"/>
    <mergeCell ref="K976:L976"/>
    <mergeCell ref="G971:I971"/>
    <mergeCell ref="K971:L971"/>
    <mergeCell ref="G972:I972"/>
    <mergeCell ref="K972:L972"/>
    <mergeCell ref="G973:I973"/>
    <mergeCell ref="K973:L973"/>
    <mergeCell ref="G968:I968"/>
    <mergeCell ref="K968:L968"/>
    <mergeCell ref="G969:I969"/>
    <mergeCell ref="K969:L969"/>
    <mergeCell ref="G970:I970"/>
    <mergeCell ref="K970:L970"/>
    <mergeCell ref="G965:I965"/>
    <mergeCell ref="K965:L965"/>
    <mergeCell ref="G966:I966"/>
    <mergeCell ref="K966:L966"/>
    <mergeCell ref="G967:I967"/>
    <mergeCell ref="K967:L967"/>
    <mergeCell ref="G962:I962"/>
    <mergeCell ref="J961:J962"/>
    <mergeCell ref="K961:L962"/>
    <mergeCell ref="G963:I963"/>
    <mergeCell ref="K963:L963"/>
    <mergeCell ref="G964:I964"/>
    <mergeCell ref="K964:L964"/>
    <mergeCell ref="G954:H954"/>
    <mergeCell ref="G955:H955"/>
    <mergeCell ref="G956:H956"/>
    <mergeCell ref="G957:H957"/>
    <mergeCell ref="A961:A962"/>
    <mergeCell ref="B961:B962"/>
    <mergeCell ref="D961:D962"/>
    <mergeCell ref="E961:E962"/>
    <mergeCell ref="F961:F962"/>
    <mergeCell ref="G961:I961"/>
    <mergeCell ref="G947:H947"/>
    <mergeCell ref="G949:H949"/>
    <mergeCell ref="G950:H950"/>
    <mergeCell ref="G951:H951"/>
    <mergeCell ref="G952:H952"/>
    <mergeCell ref="G953:H953"/>
    <mergeCell ref="G940:H940"/>
    <mergeCell ref="G942:H942"/>
    <mergeCell ref="G943:H943"/>
    <mergeCell ref="G944:H944"/>
    <mergeCell ref="G945:H945"/>
    <mergeCell ref="G946:H946"/>
    <mergeCell ref="G934:H934"/>
    <mergeCell ref="G935:H935"/>
    <mergeCell ref="G936:H936"/>
    <mergeCell ref="G937:H937"/>
    <mergeCell ref="G938:H938"/>
    <mergeCell ref="G939:H939"/>
    <mergeCell ref="G927:H927"/>
    <mergeCell ref="G928:H928"/>
    <mergeCell ref="G929:H929"/>
    <mergeCell ref="G930:H930"/>
    <mergeCell ref="G932:H932"/>
    <mergeCell ref="G933:H933"/>
    <mergeCell ref="G921:H921"/>
    <mergeCell ref="G922:H922"/>
    <mergeCell ref="G923:H923"/>
    <mergeCell ref="G924:H924"/>
    <mergeCell ref="G925:H925"/>
    <mergeCell ref="G926:H926"/>
    <mergeCell ref="G915:H915"/>
    <mergeCell ref="G916:H916"/>
    <mergeCell ref="G917:H917"/>
    <mergeCell ref="G918:H918"/>
    <mergeCell ref="G919:H919"/>
    <mergeCell ref="G920:H920"/>
    <mergeCell ref="G908:H908"/>
    <mergeCell ref="G909:H909"/>
    <mergeCell ref="G910:H910"/>
    <mergeCell ref="G911:H911"/>
    <mergeCell ref="G912:H912"/>
    <mergeCell ref="G913:H913"/>
    <mergeCell ref="I901:I902"/>
    <mergeCell ref="J901:J902"/>
    <mergeCell ref="G903:H903"/>
    <mergeCell ref="G905:H905"/>
    <mergeCell ref="G906:H906"/>
    <mergeCell ref="G907:H907"/>
    <mergeCell ref="G895:H895"/>
    <mergeCell ref="G896:H896"/>
    <mergeCell ref="A901:A902"/>
    <mergeCell ref="B901:B902"/>
    <mergeCell ref="D901:D902"/>
    <mergeCell ref="E901:E902"/>
    <mergeCell ref="F901:F902"/>
    <mergeCell ref="G901:H901"/>
    <mergeCell ref="G902:H902"/>
    <mergeCell ref="J887:J888"/>
    <mergeCell ref="G889:H889"/>
    <mergeCell ref="G891:H891"/>
    <mergeCell ref="G892:H892"/>
    <mergeCell ref="G893:H893"/>
    <mergeCell ref="G894:H894"/>
    <mergeCell ref="G883:I883"/>
    <mergeCell ref="K883:L883"/>
    <mergeCell ref="A887:A888"/>
    <mergeCell ref="B887:B888"/>
    <mergeCell ref="D887:D888"/>
    <mergeCell ref="E887:E888"/>
    <mergeCell ref="F887:F888"/>
    <mergeCell ref="G887:H887"/>
    <mergeCell ref="G888:H888"/>
    <mergeCell ref="I887:I888"/>
    <mergeCell ref="G879:H879"/>
    <mergeCell ref="G880:I880"/>
    <mergeCell ref="K880:L880"/>
    <mergeCell ref="G881:I881"/>
    <mergeCell ref="K881:L881"/>
    <mergeCell ref="G882:I882"/>
    <mergeCell ref="K882:L882"/>
    <mergeCell ref="G876:I876"/>
    <mergeCell ref="K876:L876"/>
    <mergeCell ref="G877:I877"/>
    <mergeCell ref="K877:L877"/>
    <mergeCell ref="G878:I878"/>
    <mergeCell ref="K878:L878"/>
    <mergeCell ref="G873:I873"/>
    <mergeCell ref="K873:L873"/>
    <mergeCell ref="G874:I874"/>
    <mergeCell ref="K874:L874"/>
    <mergeCell ref="G875:I875"/>
    <mergeCell ref="K875:L875"/>
    <mergeCell ref="H869:I869"/>
    <mergeCell ref="G870:I870"/>
    <mergeCell ref="K870:L870"/>
    <mergeCell ref="G871:I871"/>
    <mergeCell ref="K871:L871"/>
    <mergeCell ref="G872:I872"/>
    <mergeCell ref="K872:L872"/>
    <mergeCell ref="G866:I866"/>
    <mergeCell ref="K866:L866"/>
    <mergeCell ref="G867:I867"/>
    <mergeCell ref="K867:L867"/>
    <mergeCell ref="G868:I868"/>
    <mergeCell ref="K868:L868"/>
    <mergeCell ref="G863:I863"/>
    <mergeCell ref="K863:L863"/>
    <mergeCell ref="G864:I864"/>
    <mergeCell ref="K864:L864"/>
    <mergeCell ref="G865:I865"/>
    <mergeCell ref="K865:L865"/>
    <mergeCell ref="G860:I860"/>
    <mergeCell ref="K860:L860"/>
    <mergeCell ref="G861:I861"/>
    <mergeCell ref="K861:L861"/>
    <mergeCell ref="G862:I862"/>
    <mergeCell ref="K862:L862"/>
    <mergeCell ref="G857:I857"/>
    <mergeCell ref="K857:L857"/>
    <mergeCell ref="G858:I858"/>
    <mergeCell ref="K858:L858"/>
    <mergeCell ref="G859:I859"/>
    <mergeCell ref="K859:L859"/>
    <mergeCell ref="G854:I854"/>
    <mergeCell ref="K854:L854"/>
    <mergeCell ref="G855:I855"/>
    <mergeCell ref="K855:L855"/>
    <mergeCell ref="G856:I856"/>
    <mergeCell ref="K856:L856"/>
    <mergeCell ref="G850:I850"/>
    <mergeCell ref="K850:L850"/>
    <mergeCell ref="G851:I851"/>
    <mergeCell ref="K851:L851"/>
    <mergeCell ref="G852:H852"/>
    <mergeCell ref="G853:I853"/>
    <mergeCell ref="K853:L853"/>
    <mergeCell ref="G847:I847"/>
    <mergeCell ref="K847:L847"/>
    <mergeCell ref="G848:I848"/>
    <mergeCell ref="K848:L848"/>
    <mergeCell ref="G849:I849"/>
    <mergeCell ref="K849:L849"/>
    <mergeCell ref="G844:I844"/>
    <mergeCell ref="K844:L844"/>
    <mergeCell ref="G845:I845"/>
    <mergeCell ref="K845:L845"/>
    <mergeCell ref="G846:I846"/>
    <mergeCell ref="K846:L846"/>
    <mergeCell ref="J839:J840"/>
    <mergeCell ref="K839:L840"/>
    <mergeCell ref="G841:I841"/>
    <mergeCell ref="K841:L841"/>
    <mergeCell ref="H842:I842"/>
    <mergeCell ref="G843:I843"/>
    <mergeCell ref="K843:L843"/>
    <mergeCell ref="A839:A840"/>
    <mergeCell ref="B839:B840"/>
    <mergeCell ref="D839:D840"/>
    <mergeCell ref="E839:E840"/>
    <mergeCell ref="F839:F840"/>
    <mergeCell ref="G839:I839"/>
    <mergeCell ref="G840:I840"/>
    <mergeCell ref="G832:I832"/>
    <mergeCell ref="K832:L832"/>
    <mergeCell ref="G833:I833"/>
    <mergeCell ref="K833:L833"/>
    <mergeCell ref="G834:I834"/>
    <mergeCell ref="K834:L834"/>
    <mergeCell ref="G829:I829"/>
    <mergeCell ref="K829:L829"/>
    <mergeCell ref="G830:I830"/>
    <mergeCell ref="K830:L830"/>
    <mergeCell ref="G831:I831"/>
    <mergeCell ref="K831:L831"/>
    <mergeCell ref="G825:H825"/>
    <mergeCell ref="G826:I826"/>
    <mergeCell ref="K826:L826"/>
    <mergeCell ref="G827:I827"/>
    <mergeCell ref="K827:L827"/>
    <mergeCell ref="G828:I828"/>
    <mergeCell ref="K828:L828"/>
    <mergeCell ref="G822:I822"/>
    <mergeCell ref="K822:L822"/>
    <mergeCell ref="G823:I823"/>
    <mergeCell ref="K823:L823"/>
    <mergeCell ref="G824:I824"/>
    <mergeCell ref="K824:L824"/>
    <mergeCell ref="H818:I818"/>
    <mergeCell ref="G819:I819"/>
    <mergeCell ref="K819:L819"/>
    <mergeCell ref="G820:I820"/>
    <mergeCell ref="K820:L820"/>
    <mergeCell ref="G821:I821"/>
    <mergeCell ref="K821:L821"/>
    <mergeCell ref="G815:I815"/>
    <mergeCell ref="K815:L815"/>
    <mergeCell ref="G816:I816"/>
    <mergeCell ref="K816:L816"/>
    <mergeCell ref="G817:I817"/>
    <mergeCell ref="K817:L817"/>
    <mergeCell ref="G812:I812"/>
    <mergeCell ref="K812:L812"/>
    <mergeCell ref="G813:I813"/>
    <mergeCell ref="K813:L813"/>
    <mergeCell ref="G814:I814"/>
    <mergeCell ref="K814:L814"/>
    <mergeCell ref="G808:H808"/>
    <mergeCell ref="G809:I809"/>
    <mergeCell ref="K809:L809"/>
    <mergeCell ref="G810:I810"/>
    <mergeCell ref="K810:L810"/>
    <mergeCell ref="G811:I811"/>
    <mergeCell ref="K811:L811"/>
    <mergeCell ref="G805:I805"/>
    <mergeCell ref="K805:L805"/>
    <mergeCell ref="G806:I806"/>
    <mergeCell ref="K806:L806"/>
    <mergeCell ref="G807:I807"/>
    <mergeCell ref="K807:L807"/>
    <mergeCell ref="G802:I802"/>
    <mergeCell ref="K802:L802"/>
    <mergeCell ref="G803:I803"/>
    <mergeCell ref="K803:L803"/>
    <mergeCell ref="G804:I804"/>
    <mergeCell ref="K804:L804"/>
    <mergeCell ref="G799:I799"/>
    <mergeCell ref="K799:L799"/>
    <mergeCell ref="G800:I800"/>
    <mergeCell ref="K800:L800"/>
    <mergeCell ref="G801:I801"/>
    <mergeCell ref="K801:L801"/>
    <mergeCell ref="G796:I796"/>
    <mergeCell ref="K796:L796"/>
    <mergeCell ref="G797:I797"/>
    <mergeCell ref="K797:L797"/>
    <mergeCell ref="G798:I798"/>
    <mergeCell ref="K798:L798"/>
    <mergeCell ref="G793:I793"/>
    <mergeCell ref="K793:L793"/>
    <mergeCell ref="G794:I794"/>
    <mergeCell ref="K794:L794"/>
    <mergeCell ref="G795:I795"/>
    <mergeCell ref="K795:L795"/>
    <mergeCell ref="G789:I789"/>
    <mergeCell ref="K789:L789"/>
    <mergeCell ref="G790:I790"/>
    <mergeCell ref="K790:L790"/>
    <mergeCell ref="H791:I791"/>
    <mergeCell ref="G792:I792"/>
    <mergeCell ref="K792:L792"/>
    <mergeCell ref="G786:I786"/>
    <mergeCell ref="K786:L786"/>
    <mergeCell ref="G787:I787"/>
    <mergeCell ref="K787:L787"/>
    <mergeCell ref="G788:I788"/>
    <mergeCell ref="K788:L788"/>
    <mergeCell ref="G783:I783"/>
    <mergeCell ref="K783:L783"/>
    <mergeCell ref="G784:I784"/>
    <mergeCell ref="K784:L784"/>
    <mergeCell ref="G785:I785"/>
    <mergeCell ref="K785:L785"/>
    <mergeCell ref="J778:J779"/>
    <mergeCell ref="K778:L779"/>
    <mergeCell ref="G780:I780"/>
    <mergeCell ref="K780:L780"/>
    <mergeCell ref="G781:H781"/>
    <mergeCell ref="G782:I782"/>
    <mergeCell ref="K782:L782"/>
    <mergeCell ref="A778:A779"/>
    <mergeCell ref="B778:B779"/>
    <mergeCell ref="D778:D779"/>
    <mergeCell ref="E778:E779"/>
    <mergeCell ref="F778:F779"/>
    <mergeCell ref="G778:I778"/>
    <mergeCell ref="G779:I779"/>
    <mergeCell ref="G771:I771"/>
    <mergeCell ref="K771:L771"/>
    <mergeCell ref="G772:I772"/>
    <mergeCell ref="K772:L772"/>
    <mergeCell ref="G773:I773"/>
    <mergeCell ref="K773:L773"/>
    <mergeCell ref="G768:I768"/>
    <mergeCell ref="K768:L768"/>
    <mergeCell ref="G769:I769"/>
    <mergeCell ref="K769:L769"/>
    <mergeCell ref="G770:I770"/>
    <mergeCell ref="K770:L770"/>
    <mergeCell ref="H764:I764"/>
    <mergeCell ref="G765:I765"/>
    <mergeCell ref="K765:L765"/>
    <mergeCell ref="G766:I766"/>
    <mergeCell ref="K766:L766"/>
    <mergeCell ref="G767:I767"/>
    <mergeCell ref="K767:L767"/>
    <mergeCell ref="G761:I761"/>
    <mergeCell ref="K761:L761"/>
    <mergeCell ref="G762:I762"/>
    <mergeCell ref="K762:L762"/>
    <mergeCell ref="G763:I763"/>
    <mergeCell ref="K763:L763"/>
    <mergeCell ref="G757:H757"/>
    <mergeCell ref="G758:I758"/>
    <mergeCell ref="K758:L758"/>
    <mergeCell ref="G759:I759"/>
    <mergeCell ref="K759:L759"/>
    <mergeCell ref="G760:I760"/>
    <mergeCell ref="K760:L760"/>
    <mergeCell ref="G754:I754"/>
    <mergeCell ref="K754:L754"/>
    <mergeCell ref="G755:I755"/>
    <mergeCell ref="K755:L755"/>
    <mergeCell ref="G756:I756"/>
    <mergeCell ref="K756:L756"/>
    <mergeCell ref="G751:I751"/>
    <mergeCell ref="K751:L751"/>
    <mergeCell ref="G752:I752"/>
    <mergeCell ref="K752:L752"/>
    <mergeCell ref="G753:I753"/>
    <mergeCell ref="K753:L753"/>
    <mergeCell ref="G747:H747"/>
    <mergeCell ref="G748:I748"/>
    <mergeCell ref="K748:L748"/>
    <mergeCell ref="G749:I749"/>
    <mergeCell ref="K749:L749"/>
    <mergeCell ref="G750:I750"/>
    <mergeCell ref="K750:L750"/>
    <mergeCell ref="G744:I744"/>
    <mergeCell ref="K744:L744"/>
    <mergeCell ref="G745:I745"/>
    <mergeCell ref="K745:L745"/>
    <mergeCell ref="G746:I746"/>
    <mergeCell ref="K746:L746"/>
    <mergeCell ref="G741:I741"/>
    <mergeCell ref="K741:L741"/>
    <mergeCell ref="G742:I742"/>
    <mergeCell ref="K742:L742"/>
    <mergeCell ref="G743:I743"/>
    <mergeCell ref="K743:L743"/>
    <mergeCell ref="G738:I738"/>
    <mergeCell ref="K738:L738"/>
    <mergeCell ref="G739:I739"/>
    <mergeCell ref="K739:L739"/>
    <mergeCell ref="G740:I740"/>
    <mergeCell ref="K740:L740"/>
    <mergeCell ref="G735:I735"/>
    <mergeCell ref="K735:L735"/>
    <mergeCell ref="G736:I736"/>
    <mergeCell ref="K736:L736"/>
    <mergeCell ref="G737:I737"/>
    <mergeCell ref="K737:L737"/>
    <mergeCell ref="G732:I732"/>
    <mergeCell ref="K732:L732"/>
    <mergeCell ref="G733:I733"/>
    <mergeCell ref="K733:L733"/>
    <mergeCell ref="G734:I734"/>
    <mergeCell ref="K734:L734"/>
    <mergeCell ref="G728:I728"/>
    <mergeCell ref="K728:L728"/>
    <mergeCell ref="G729:I729"/>
    <mergeCell ref="K729:L729"/>
    <mergeCell ref="G730:H730"/>
    <mergeCell ref="G731:I731"/>
    <mergeCell ref="K731:L731"/>
    <mergeCell ref="G725:I725"/>
    <mergeCell ref="K725:L725"/>
    <mergeCell ref="G726:I726"/>
    <mergeCell ref="K726:L726"/>
    <mergeCell ref="G727:I727"/>
    <mergeCell ref="K727:L727"/>
    <mergeCell ref="G722:I722"/>
    <mergeCell ref="K722:L722"/>
    <mergeCell ref="G723:I723"/>
    <mergeCell ref="K723:L723"/>
    <mergeCell ref="G724:I724"/>
    <mergeCell ref="K724:L724"/>
    <mergeCell ref="K717:L718"/>
    <mergeCell ref="G719:I719"/>
    <mergeCell ref="K719:L719"/>
    <mergeCell ref="G720:H720"/>
    <mergeCell ref="G721:I721"/>
    <mergeCell ref="K721:L721"/>
    <mergeCell ref="G712:I712"/>
    <mergeCell ref="K712:L712"/>
    <mergeCell ref="A717:A718"/>
    <mergeCell ref="B717:B718"/>
    <mergeCell ref="D717:D718"/>
    <mergeCell ref="E717:E718"/>
    <mergeCell ref="F717:F718"/>
    <mergeCell ref="G717:I717"/>
    <mergeCell ref="G718:I718"/>
    <mergeCell ref="J717:J718"/>
    <mergeCell ref="G709:I709"/>
    <mergeCell ref="K709:L709"/>
    <mergeCell ref="G710:I710"/>
    <mergeCell ref="K710:L710"/>
    <mergeCell ref="G711:I711"/>
    <mergeCell ref="K711:L711"/>
    <mergeCell ref="G706:I706"/>
    <mergeCell ref="K706:L706"/>
    <mergeCell ref="G707:I707"/>
    <mergeCell ref="K707:L707"/>
    <mergeCell ref="G708:I708"/>
    <mergeCell ref="K708:L708"/>
    <mergeCell ref="G702:I702"/>
    <mergeCell ref="K702:L702"/>
    <mergeCell ref="G703:H703"/>
    <mergeCell ref="G704:I704"/>
    <mergeCell ref="K704:L704"/>
    <mergeCell ref="G705:I705"/>
    <mergeCell ref="K705:L705"/>
    <mergeCell ref="G699:I699"/>
    <mergeCell ref="K699:L699"/>
    <mergeCell ref="G700:I700"/>
    <mergeCell ref="K700:L700"/>
    <mergeCell ref="G701:I701"/>
    <mergeCell ref="K701:L701"/>
    <mergeCell ref="H696:I696"/>
    <mergeCell ref="K696:L696"/>
    <mergeCell ref="G697:I697"/>
    <mergeCell ref="K697:L697"/>
    <mergeCell ref="G698:I698"/>
    <mergeCell ref="K698:L698"/>
    <mergeCell ref="G693:I693"/>
    <mergeCell ref="K693:L693"/>
    <mergeCell ref="G694:I694"/>
    <mergeCell ref="K694:L694"/>
    <mergeCell ref="G695:I695"/>
    <mergeCell ref="K695:L695"/>
    <mergeCell ref="G690:I690"/>
    <mergeCell ref="K690:L690"/>
    <mergeCell ref="G691:I691"/>
    <mergeCell ref="K691:L691"/>
    <mergeCell ref="G692:I692"/>
    <mergeCell ref="K692:L692"/>
    <mergeCell ref="G687:I687"/>
    <mergeCell ref="K687:L687"/>
    <mergeCell ref="G688:I688"/>
    <mergeCell ref="K688:L688"/>
    <mergeCell ref="G689:I689"/>
    <mergeCell ref="K689:L689"/>
    <mergeCell ref="G684:I684"/>
    <mergeCell ref="K684:L684"/>
    <mergeCell ref="G685:I685"/>
    <mergeCell ref="K685:L685"/>
    <mergeCell ref="H686:I686"/>
    <mergeCell ref="K686:L686"/>
    <mergeCell ref="G681:I681"/>
    <mergeCell ref="K681:L681"/>
    <mergeCell ref="G682:I682"/>
    <mergeCell ref="K682:L682"/>
    <mergeCell ref="G683:I683"/>
    <mergeCell ref="K683:L683"/>
    <mergeCell ref="G678:I678"/>
    <mergeCell ref="K678:L678"/>
    <mergeCell ref="G679:I679"/>
    <mergeCell ref="K679:L679"/>
    <mergeCell ref="G680:I680"/>
    <mergeCell ref="K680:L680"/>
    <mergeCell ref="G675:I675"/>
    <mergeCell ref="K675:L675"/>
    <mergeCell ref="G676:I676"/>
    <mergeCell ref="K676:L676"/>
    <mergeCell ref="G677:I677"/>
    <mergeCell ref="K677:L677"/>
    <mergeCell ref="G672:I672"/>
    <mergeCell ref="K672:L672"/>
    <mergeCell ref="G673:I673"/>
    <mergeCell ref="K673:L673"/>
    <mergeCell ref="G674:I674"/>
    <mergeCell ref="K674:L674"/>
    <mergeCell ref="G669:I669"/>
    <mergeCell ref="K669:L669"/>
    <mergeCell ref="G670:I670"/>
    <mergeCell ref="K670:L670"/>
    <mergeCell ref="G671:I671"/>
    <mergeCell ref="K671:L671"/>
    <mergeCell ref="G666:I666"/>
    <mergeCell ref="K666:L666"/>
    <mergeCell ref="G667:I667"/>
    <mergeCell ref="K667:L667"/>
    <mergeCell ref="G668:I668"/>
    <mergeCell ref="K668:L668"/>
    <mergeCell ref="G663:I663"/>
    <mergeCell ref="K663:L663"/>
    <mergeCell ref="G664:I664"/>
    <mergeCell ref="K664:L664"/>
    <mergeCell ref="G665:I665"/>
    <mergeCell ref="K665:L665"/>
    <mergeCell ref="G660:I660"/>
    <mergeCell ref="K660:L660"/>
    <mergeCell ref="G661:I661"/>
    <mergeCell ref="K661:L661"/>
    <mergeCell ref="G662:I662"/>
    <mergeCell ref="K662:L662"/>
    <mergeCell ref="J656:J657"/>
    <mergeCell ref="K656:L657"/>
    <mergeCell ref="G658:I658"/>
    <mergeCell ref="K658:L658"/>
    <mergeCell ref="H659:I659"/>
    <mergeCell ref="K659:L659"/>
    <mergeCell ref="G651:H651"/>
    <mergeCell ref="G652:H652"/>
    <mergeCell ref="A656:A657"/>
    <mergeCell ref="B656:B657"/>
    <mergeCell ref="D656:D657"/>
    <mergeCell ref="E656:E657"/>
    <mergeCell ref="F656:F657"/>
    <mergeCell ref="G656:I656"/>
    <mergeCell ref="G657:I657"/>
    <mergeCell ref="G644:H644"/>
    <mergeCell ref="G646:H646"/>
    <mergeCell ref="G647:H647"/>
    <mergeCell ref="G648:H648"/>
    <mergeCell ref="G649:H649"/>
    <mergeCell ref="G650:H650"/>
    <mergeCell ref="G637:H637"/>
    <mergeCell ref="G639:H639"/>
    <mergeCell ref="G640:H640"/>
    <mergeCell ref="G641:H641"/>
    <mergeCell ref="G642:H642"/>
    <mergeCell ref="G643:H643"/>
    <mergeCell ref="G631:H631"/>
    <mergeCell ref="G632:H632"/>
    <mergeCell ref="G633:H633"/>
    <mergeCell ref="G634:H634"/>
    <mergeCell ref="G635:H635"/>
    <mergeCell ref="G636:H636"/>
    <mergeCell ref="G624:H624"/>
    <mergeCell ref="G625:H625"/>
    <mergeCell ref="G626:H626"/>
    <mergeCell ref="G627:H627"/>
    <mergeCell ref="G629:H629"/>
    <mergeCell ref="G630:H630"/>
    <mergeCell ref="G618:H618"/>
    <mergeCell ref="G619:H619"/>
    <mergeCell ref="G620:H620"/>
    <mergeCell ref="G621:H621"/>
    <mergeCell ref="G622:H622"/>
    <mergeCell ref="G623:H623"/>
    <mergeCell ref="G612:H612"/>
    <mergeCell ref="G613:H613"/>
    <mergeCell ref="G614:H614"/>
    <mergeCell ref="G615:H615"/>
    <mergeCell ref="G616:H616"/>
    <mergeCell ref="G617:H617"/>
    <mergeCell ref="G605:H605"/>
    <mergeCell ref="G606:H606"/>
    <mergeCell ref="G607:H607"/>
    <mergeCell ref="G608:H608"/>
    <mergeCell ref="G609:H609"/>
    <mergeCell ref="G610:H610"/>
    <mergeCell ref="I598:I599"/>
    <mergeCell ref="J598:J599"/>
    <mergeCell ref="G600:H600"/>
    <mergeCell ref="G602:H602"/>
    <mergeCell ref="G603:H603"/>
    <mergeCell ref="G604:H604"/>
    <mergeCell ref="A598:A599"/>
    <mergeCell ref="B598:B599"/>
    <mergeCell ref="D598:D599"/>
    <mergeCell ref="E598:E599"/>
    <mergeCell ref="F598:F599"/>
    <mergeCell ref="G598:H598"/>
    <mergeCell ref="G599:H599"/>
    <mergeCell ref="G591:H591"/>
    <mergeCell ref="J591:K591"/>
    <mergeCell ref="G592:H592"/>
    <mergeCell ref="J592:K592"/>
    <mergeCell ref="G593:H593"/>
    <mergeCell ref="J593:K593"/>
    <mergeCell ref="G588:H588"/>
    <mergeCell ref="J588:K588"/>
    <mergeCell ref="G589:H589"/>
    <mergeCell ref="J589:K589"/>
    <mergeCell ref="G590:H590"/>
    <mergeCell ref="J590:K590"/>
    <mergeCell ref="G585:H585"/>
    <mergeCell ref="J585:K585"/>
    <mergeCell ref="G586:H586"/>
    <mergeCell ref="J586:K586"/>
    <mergeCell ref="G587:H587"/>
    <mergeCell ref="J587:K587"/>
    <mergeCell ref="G581:H581"/>
    <mergeCell ref="J581:K581"/>
    <mergeCell ref="G582:H582"/>
    <mergeCell ref="J582:K582"/>
    <mergeCell ref="G583:H583"/>
    <mergeCell ref="J583:K583"/>
    <mergeCell ref="G578:H578"/>
    <mergeCell ref="J578:K578"/>
    <mergeCell ref="G579:H579"/>
    <mergeCell ref="J579:K579"/>
    <mergeCell ref="G580:H580"/>
    <mergeCell ref="J580:K580"/>
    <mergeCell ref="G574:H574"/>
    <mergeCell ref="J574:K574"/>
    <mergeCell ref="G575:H575"/>
    <mergeCell ref="J575:K575"/>
    <mergeCell ref="G576:H576"/>
    <mergeCell ref="J576:K576"/>
    <mergeCell ref="G571:H571"/>
    <mergeCell ref="J571:K571"/>
    <mergeCell ref="G572:H572"/>
    <mergeCell ref="J572:K572"/>
    <mergeCell ref="G573:H573"/>
    <mergeCell ref="J573:K573"/>
    <mergeCell ref="G568:H568"/>
    <mergeCell ref="J568:K568"/>
    <mergeCell ref="G569:H569"/>
    <mergeCell ref="J569:K569"/>
    <mergeCell ref="G570:H570"/>
    <mergeCell ref="J570:K570"/>
    <mergeCell ref="G564:H564"/>
    <mergeCell ref="J564:K564"/>
    <mergeCell ref="G565:H565"/>
    <mergeCell ref="J565:K565"/>
    <mergeCell ref="G566:H566"/>
    <mergeCell ref="J566:K566"/>
    <mergeCell ref="G561:H561"/>
    <mergeCell ref="J561:K561"/>
    <mergeCell ref="G562:H562"/>
    <mergeCell ref="J562:K562"/>
    <mergeCell ref="G563:H563"/>
    <mergeCell ref="J563:K563"/>
    <mergeCell ref="G558:H558"/>
    <mergeCell ref="J558:K558"/>
    <mergeCell ref="G559:H559"/>
    <mergeCell ref="J559:K559"/>
    <mergeCell ref="G560:H560"/>
    <mergeCell ref="J560:K560"/>
    <mergeCell ref="G555:H555"/>
    <mergeCell ref="J555:K555"/>
    <mergeCell ref="G556:H556"/>
    <mergeCell ref="J556:K556"/>
    <mergeCell ref="G557:H557"/>
    <mergeCell ref="J557:K557"/>
    <mergeCell ref="G552:H552"/>
    <mergeCell ref="J552:K552"/>
    <mergeCell ref="G553:H553"/>
    <mergeCell ref="J553:K553"/>
    <mergeCell ref="G554:H554"/>
    <mergeCell ref="J554:K554"/>
    <mergeCell ref="G548:H548"/>
    <mergeCell ref="J548:K548"/>
    <mergeCell ref="G549:H549"/>
    <mergeCell ref="J549:K549"/>
    <mergeCell ref="G551:H551"/>
    <mergeCell ref="J551:K551"/>
    <mergeCell ref="G545:H545"/>
    <mergeCell ref="J545:K545"/>
    <mergeCell ref="G546:H546"/>
    <mergeCell ref="J546:K546"/>
    <mergeCell ref="G547:H547"/>
    <mergeCell ref="J547:K547"/>
    <mergeCell ref="G542:H542"/>
    <mergeCell ref="J542:K542"/>
    <mergeCell ref="G543:H543"/>
    <mergeCell ref="J543:K543"/>
    <mergeCell ref="G544:H544"/>
    <mergeCell ref="J544:K544"/>
    <mergeCell ref="G538:H538"/>
    <mergeCell ref="I537:I538"/>
    <mergeCell ref="J537:K538"/>
    <mergeCell ref="G539:H539"/>
    <mergeCell ref="J539:K539"/>
    <mergeCell ref="G541:H541"/>
    <mergeCell ref="J541:K541"/>
    <mergeCell ref="G532:H532"/>
    <mergeCell ref="J532:K532"/>
    <mergeCell ref="G533:H533"/>
    <mergeCell ref="J533:K533"/>
    <mergeCell ref="A537:A538"/>
    <mergeCell ref="B537:B538"/>
    <mergeCell ref="D537:D538"/>
    <mergeCell ref="E537:E538"/>
    <mergeCell ref="F537:F538"/>
    <mergeCell ref="G537:H537"/>
    <mergeCell ref="G529:H529"/>
    <mergeCell ref="J529:K529"/>
    <mergeCell ref="G530:H530"/>
    <mergeCell ref="J530:K530"/>
    <mergeCell ref="G531:H531"/>
    <mergeCell ref="J531:K531"/>
    <mergeCell ref="G526:H526"/>
    <mergeCell ref="J526:K526"/>
    <mergeCell ref="G527:H527"/>
    <mergeCell ref="J527:K527"/>
    <mergeCell ref="G528:H528"/>
    <mergeCell ref="J528:K528"/>
    <mergeCell ref="G522:H522"/>
    <mergeCell ref="J522:K522"/>
    <mergeCell ref="G523:H523"/>
    <mergeCell ref="J523:K523"/>
    <mergeCell ref="G525:H525"/>
    <mergeCell ref="J525:K525"/>
    <mergeCell ref="G519:H519"/>
    <mergeCell ref="J519:K519"/>
    <mergeCell ref="G520:H520"/>
    <mergeCell ref="J520:K520"/>
    <mergeCell ref="G521:H521"/>
    <mergeCell ref="J521:K521"/>
    <mergeCell ref="G515:H515"/>
    <mergeCell ref="J515:K515"/>
    <mergeCell ref="G516:H516"/>
    <mergeCell ref="J516:K516"/>
    <mergeCell ref="G518:H518"/>
    <mergeCell ref="J518:K518"/>
    <mergeCell ref="G512:H512"/>
    <mergeCell ref="J512:K512"/>
    <mergeCell ref="G513:H513"/>
    <mergeCell ref="J513:K513"/>
    <mergeCell ref="G514:H514"/>
    <mergeCell ref="J514:K514"/>
    <mergeCell ref="G509:H509"/>
    <mergeCell ref="J509:K509"/>
    <mergeCell ref="G510:H510"/>
    <mergeCell ref="J510:K510"/>
    <mergeCell ref="G511:H511"/>
    <mergeCell ref="J511:K511"/>
    <mergeCell ref="G505:H505"/>
    <mergeCell ref="J505:K505"/>
    <mergeCell ref="G506:H506"/>
    <mergeCell ref="J506:K506"/>
    <mergeCell ref="G508:H508"/>
    <mergeCell ref="J508:K508"/>
    <mergeCell ref="G502:H502"/>
    <mergeCell ref="J502:K502"/>
    <mergeCell ref="G503:H503"/>
    <mergeCell ref="J503:K503"/>
    <mergeCell ref="G504:H504"/>
    <mergeCell ref="J504:K504"/>
    <mergeCell ref="G499:H499"/>
    <mergeCell ref="J499:K499"/>
    <mergeCell ref="G500:H500"/>
    <mergeCell ref="J500:K500"/>
    <mergeCell ref="G501:H501"/>
    <mergeCell ref="J501:K501"/>
    <mergeCell ref="G496:H496"/>
    <mergeCell ref="J496:K496"/>
    <mergeCell ref="G497:H497"/>
    <mergeCell ref="J497:K497"/>
    <mergeCell ref="G498:H498"/>
    <mergeCell ref="J498:K498"/>
    <mergeCell ref="G493:H493"/>
    <mergeCell ref="J493:K493"/>
    <mergeCell ref="G494:H494"/>
    <mergeCell ref="J494:K494"/>
    <mergeCell ref="G495:H495"/>
    <mergeCell ref="J495:K495"/>
    <mergeCell ref="G489:H489"/>
    <mergeCell ref="J489:K489"/>
    <mergeCell ref="G491:H491"/>
    <mergeCell ref="J491:K491"/>
    <mergeCell ref="G492:H492"/>
    <mergeCell ref="J492:K492"/>
    <mergeCell ref="G486:H486"/>
    <mergeCell ref="J486:K486"/>
    <mergeCell ref="G487:H487"/>
    <mergeCell ref="J487:K487"/>
    <mergeCell ref="G488:H488"/>
    <mergeCell ref="J488:K488"/>
    <mergeCell ref="G483:H483"/>
    <mergeCell ref="J483:K483"/>
    <mergeCell ref="G484:H484"/>
    <mergeCell ref="J484:K484"/>
    <mergeCell ref="G485:H485"/>
    <mergeCell ref="J485:K485"/>
    <mergeCell ref="J477:K478"/>
    <mergeCell ref="G479:H479"/>
    <mergeCell ref="J479:K479"/>
    <mergeCell ref="G481:H481"/>
    <mergeCell ref="J481:K481"/>
    <mergeCell ref="G482:H482"/>
    <mergeCell ref="J482:K482"/>
    <mergeCell ref="G473:H473"/>
    <mergeCell ref="J473:K473"/>
    <mergeCell ref="A477:A478"/>
    <mergeCell ref="B477:B478"/>
    <mergeCell ref="D477:D478"/>
    <mergeCell ref="E477:E478"/>
    <mergeCell ref="F477:F478"/>
    <mergeCell ref="G477:H477"/>
    <mergeCell ref="G478:H478"/>
    <mergeCell ref="I477:I478"/>
    <mergeCell ref="G470:H470"/>
    <mergeCell ref="J470:K470"/>
    <mergeCell ref="G471:H471"/>
    <mergeCell ref="J471:K471"/>
    <mergeCell ref="G472:H472"/>
    <mergeCell ref="J472:K472"/>
    <mergeCell ref="G467:H467"/>
    <mergeCell ref="J467:K467"/>
    <mergeCell ref="G468:H468"/>
    <mergeCell ref="J468:K468"/>
    <mergeCell ref="G469:H469"/>
    <mergeCell ref="J469:K469"/>
    <mergeCell ref="G463:H463"/>
    <mergeCell ref="J463:K463"/>
    <mergeCell ref="G465:H465"/>
    <mergeCell ref="J465:K465"/>
    <mergeCell ref="G466:H466"/>
    <mergeCell ref="J466:K466"/>
    <mergeCell ref="G460:H460"/>
    <mergeCell ref="J460:K460"/>
    <mergeCell ref="G461:H461"/>
    <mergeCell ref="J461:K461"/>
    <mergeCell ref="G462:H462"/>
    <mergeCell ref="J462:K462"/>
    <mergeCell ref="G456:H456"/>
    <mergeCell ref="J456:K456"/>
    <mergeCell ref="G458:H458"/>
    <mergeCell ref="J458:K458"/>
    <mergeCell ref="G459:H459"/>
    <mergeCell ref="J459:K459"/>
    <mergeCell ref="G453:H453"/>
    <mergeCell ref="J453:K453"/>
    <mergeCell ref="G454:H454"/>
    <mergeCell ref="J454:K454"/>
    <mergeCell ref="G455:H455"/>
    <mergeCell ref="J455:K455"/>
    <mergeCell ref="G450:H450"/>
    <mergeCell ref="J450:K450"/>
    <mergeCell ref="G451:H451"/>
    <mergeCell ref="J451:K451"/>
    <mergeCell ref="G452:H452"/>
    <mergeCell ref="J452:K452"/>
    <mergeCell ref="G446:H446"/>
    <mergeCell ref="J446:K446"/>
    <mergeCell ref="G448:H448"/>
    <mergeCell ref="J448:K448"/>
    <mergeCell ref="G449:H449"/>
    <mergeCell ref="J449:K449"/>
    <mergeCell ref="G443:H443"/>
    <mergeCell ref="J443:K443"/>
    <mergeCell ref="G444:H444"/>
    <mergeCell ref="J444:K444"/>
    <mergeCell ref="G445:H445"/>
    <mergeCell ref="J445:K445"/>
    <mergeCell ref="G440:H440"/>
    <mergeCell ref="J440:K440"/>
    <mergeCell ref="G441:H441"/>
    <mergeCell ref="J441:K441"/>
    <mergeCell ref="G442:H442"/>
    <mergeCell ref="J442:K442"/>
    <mergeCell ref="G437:H437"/>
    <mergeCell ref="J437:K437"/>
    <mergeCell ref="G438:H438"/>
    <mergeCell ref="J438:K438"/>
    <mergeCell ref="G439:H439"/>
    <mergeCell ref="J439:K439"/>
    <mergeCell ref="G434:H434"/>
    <mergeCell ref="J434:K434"/>
    <mergeCell ref="G435:H435"/>
    <mergeCell ref="J435:K435"/>
    <mergeCell ref="G436:H436"/>
    <mergeCell ref="J436:K436"/>
    <mergeCell ref="G431:H431"/>
    <mergeCell ref="J431:K431"/>
    <mergeCell ref="G432:H432"/>
    <mergeCell ref="J432:K432"/>
    <mergeCell ref="G433:H433"/>
    <mergeCell ref="J433:K433"/>
    <mergeCell ref="G427:H427"/>
    <mergeCell ref="J427:K427"/>
    <mergeCell ref="G428:H428"/>
    <mergeCell ref="J428:K428"/>
    <mergeCell ref="G429:H429"/>
    <mergeCell ref="J429:K429"/>
    <mergeCell ref="G424:H424"/>
    <mergeCell ref="J424:K424"/>
    <mergeCell ref="G425:H425"/>
    <mergeCell ref="J425:K425"/>
    <mergeCell ref="G426:H426"/>
    <mergeCell ref="J426:K426"/>
    <mergeCell ref="G421:H421"/>
    <mergeCell ref="J421:K421"/>
    <mergeCell ref="G422:H422"/>
    <mergeCell ref="J422:K422"/>
    <mergeCell ref="G423:H423"/>
    <mergeCell ref="J423:K423"/>
    <mergeCell ref="G417:H417"/>
    <mergeCell ref="G418:H418"/>
    <mergeCell ref="I417:I418"/>
    <mergeCell ref="J417:K418"/>
    <mergeCell ref="G419:H419"/>
    <mergeCell ref="J419:K419"/>
    <mergeCell ref="G409:H409"/>
    <mergeCell ref="G410:H410"/>
    <mergeCell ref="G411:H411"/>
    <mergeCell ref="G412:H412"/>
    <mergeCell ref="G413:H413"/>
    <mergeCell ref="A417:A418"/>
    <mergeCell ref="B417:B418"/>
    <mergeCell ref="D417:D418"/>
    <mergeCell ref="E417:E418"/>
    <mergeCell ref="F417:F418"/>
    <mergeCell ref="G402:H402"/>
    <mergeCell ref="G403:H403"/>
    <mergeCell ref="G405:H405"/>
    <mergeCell ref="G406:H406"/>
    <mergeCell ref="G407:H407"/>
    <mergeCell ref="G408:H408"/>
    <mergeCell ref="G395:H395"/>
    <mergeCell ref="G396:H396"/>
    <mergeCell ref="G398:H398"/>
    <mergeCell ref="G399:H399"/>
    <mergeCell ref="G400:H400"/>
    <mergeCell ref="G401:H401"/>
    <mergeCell ref="G389:H389"/>
    <mergeCell ref="G390:H390"/>
    <mergeCell ref="G391:H391"/>
    <mergeCell ref="G392:H392"/>
    <mergeCell ref="G393:H393"/>
    <mergeCell ref="G394:H394"/>
    <mergeCell ref="G382:H382"/>
    <mergeCell ref="G383:H383"/>
    <mergeCell ref="G384:H384"/>
    <mergeCell ref="G385:H385"/>
    <mergeCell ref="G386:H386"/>
    <mergeCell ref="G388:H388"/>
    <mergeCell ref="G376:H376"/>
    <mergeCell ref="G377:H377"/>
    <mergeCell ref="G378:H378"/>
    <mergeCell ref="G379:H379"/>
    <mergeCell ref="G380:H380"/>
    <mergeCell ref="G381:H381"/>
    <mergeCell ref="G369:H369"/>
    <mergeCell ref="G371:H371"/>
    <mergeCell ref="G372:H372"/>
    <mergeCell ref="G373:H373"/>
    <mergeCell ref="G374:H374"/>
    <mergeCell ref="G375:H375"/>
    <mergeCell ref="G363:H363"/>
    <mergeCell ref="G364:H364"/>
    <mergeCell ref="G365:H365"/>
    <mergeCell ref="G366:H366"/>
    <mergeCell ref="G367:H367"/>
    <mergeCell ref="G368:H368"/>
    <mergeCell ref="I357:I358"/>
    <mergeCell ref="J357:J358"/>
    <mergeCell ref="G359:H359"/>
    <mergeCell ref="G360:H360"/>
    <mergeCell ref="G361:H361"/>
    <mergeCell ref="G362:H362"/>
    <mergeCell ref="G351:H351"/>
    <mergeCell ref="G352:H352"/>
    <mergeCell ref="G353:H353"/>
    <mergeCell ref="A357:A358"/>
    <mergeCell ref="B357:B358"/>
    <mergeCell ref="D357:D358"/>
    <mergeCell ref="E357:E358"/>
    <mergeCell ref="F357:F358"/>
    <mergeCell ref="G357:H357"/>
    <mergeCell ref="G358:H358"/>
    <mergeCell ref="G344:H344"/>
    <mergeCell ref="G345:H345"/>
    <mergeCell ref="G347:H347"/>
    <mergeCell ref="G348:H348"/>
    <mergeCell ref="G349:H349"/>
    <mergeCell ref="G350:H350"/>
    <mergeCell ref="G337:H337"/>
    <mergeCell ref="G338:H338"/>
    <mergeCell ref="G340:H340"/>
    <mergeCell ref="G341:H341"/>
    <mergeCell ref="G342:H342"/>
    <mergeCell ref="G343:H343"/>
    <mergeCell ref="G331:H331"/>
    <mergeCell ref="G332:H332"/>
    <mergeCell ref="G333:H333"/>
    <mergeCell ref="G334:H334"/>
    <mergeCell ref="G335:H335"/>
    <mergeCell ref="G336:H336"/>
    <mergeCell ref="G324:H324"/>
    <mergeCell ref="G325:H325"/>
    <mergeCell ref="G326:H326"/>
    <mergeCell ref="G327:H327"/>
    <mergeCell ref="G328:H328"/>
    <mergeCell ref="G330:H330"/>
    <mergeCell ref="G318:H318"/>
    <mergeCell ref="G319:H319"/>
    <mergeCell ref="G320:H320"/>
    <mergeCell ref="G321:H321"/>
    <mergeCell ref="G322:H322"/>
    <mergeCell ref="G323:H323"/>
    <mergeCell ref="G311:H311"/>
    <mergeCell ref="G313:H313"/>
    <mergeCell ref="G314:H314"/>
    <mergeCell ref="G315:H315"/>
    <mergeCell ref="G316:H316"/>
    <mergeCell ref="G317:H317"/>
    <mergeCell ref="G305:H305"/>
    <mergeCell ref="G306:H306"/>
    <mergeCell ref="G307:H307"/>
    <mergeCell ref="G308:H308"/>
    <mergeCell ref="G309:H309"/>
    <mergeCell ref="G310:H310"/>
    <mergeCell ref="G300:H300"/>
    <mergeCell ref="I299:I300"/>
    <mergeCell ref="J299:J300"/>
    <mergeCell ref="G301:H301"/>
    <mergeCell ref="G303:H303"/>
    <mergeCell ref="G304:H304"/>
    <mergeCell ref="G293:H293"/>
    <mergeCell ref="J293:K293"/>
    <mergeCell ref="G294:H294"/>
    <mergeCell ref="J294:K294"/>
    <mergeCell ref="A299:A300"/>
    <mergeCell ref="B299:B300"/>
    <mergeCell ref="D299:D300"/>
    <mergeCell ref="E299:E300"/>
    <mergeCell ref="F299:F300"/>
    <mergeCell ref="G299:H299"/>
    <mergeCell ref="G290:H290"/>
    <mergeCell ref="J290:K290"/>
    <mergeCell ref="G291:H291"/>
    <mergeCell ref="J291:K291"/>
    <mergeCell ref="G292:H292"/>
    <mergeCell ref="J292:K292"/>
    <mergeCell ref="G287:H287"/>
    <mergeCell ref="J287:K287"/>
    <mergeCell ref="G288:H288"/>
    <mergeCell ref="J288:K288"/>
    <mergeCell ref="G289:H289"/>
    <mergeCell ref="J289:K289"/>
    <mergeCell ref="G283:H283"/>
    <mergeCell ref="J283:K283"/>
    <mergeCell ref="G284:H284"/>
    <mergeCell ref="J284:K284"/>
    <mergeCell ref="G285:H285"/>
    <mergeCell ref="J285:K285"/>
    <mergeCell ref="G280:H280"/>
    <mergeCell ref="J280:K280"/>
    <mergeCell ref="G281:H281"/>
    <mergeCell ref="J281:K281"/>
    <mergeCell ref="G282:H282"/>
    <mergeCell ref="J282:K282"/>
    <mergeCell ref="G276:H276"/>
    <mergeCell ref="J276:K276"/>
    <mergeCell ref="G277:H277"/>
    <mergeCell ref="J277:K277"/>
    <mergeCell ref="G278:H278"/>
    <mergeCell ref="J278:K278"/>
    <mergeCell ref="G273:H273"/>
    <mergeCell ref="J273:K273"/>
    <mergeCell ref="G274:H274"/>
    <mergeCell ref="J274:K274"/>
    <mergeCell ref="G275:H275"/>
    <mergeCell ref="J275:K275"/>
    <mergeCell ref="G270:H270"/>
    <mergeCell ref="J270:K270"/>
    <mergeCell ref="G271:H271"/>
    <mergeCell ref="J271:K271"/>
    <mergeCell ref="G272:H272"/>
    <mergeCell ref="J272:K272"/>
    <mergeCell ref="G266:H266"/>
    <mergeCell ref="J266:K266"/>
    <mergeCell ref="G267:H267"/>
    <mergeCell ref="J267:K267"/>
    <mergeCell ref="G268:H268"/>
    <mergeCell ref="J268:K268"/>
    <mergeCell ref="G263:H263"/>
    <mergeCell ref="J263:K263"/>
    <mergeCell ref="G264:H264"/>
    <mergeCell ref="J264:K264"/>
    <mergeCell ref="G265:H265"/>
    <mergeCell ref="J265:K265"/>
    <mergeCell ref="G260:H260"/>
    <mergeCell ref="J260:K260"/>
    <mergeCell ref="G261:H261"/>
    <mergeCell ref="J261:K261"/>
    <mergeCell ref="G262:H262"/>
    <mergeCell ref="J262:K262"/>
    <mergeCell ref="G257:H257"/>
    <mergeCell ref="J257:K257"/>
    <mergeCell ref="G258:H258"/>
    <mergeCell ref="J258:K258"/>
    <mergeCell ref="G259:H259"/>
    <mergeCell ref="J259:K259"/>
    <mergeCell ref="G254:H254"/>
    <mergeCell ref="J254:K254"/>
    <mergeCell ref="G255:H255"/>
    <mergeCell ref="J255:K255"/>
    <mergeCell ref="G256:H256"/>
    <mergeCell ref="J256:K256"/>
    <mergeCell ref="G250:H250"/>
    <mergeCell ref="J250:K250"/>
    <mergeCell ref="G251:H251"/>
    <mergeCell ref="J251:K251"/>
    <mergeCell ref="G253:H253"/>
    <mergeCell ref="J253:K253"/>
    <mergeCell ref="G247:H247"/>
    <mergeCell ref="J247:K247"/>
    <mergeCell ref="G248:H248"/>
    <mergeCell ref="J248:K248"/>
    <mergeCell ref="G249:H249"/>
    <mergeCell ref="J249:K249"/>
    <mergeCell ref="G244:H244"/>
    <mergeCell ref="J244:K244"/>
    <mergeCell ref="G245:H245"/>
    <mergeCell ref="J245:K245"/>
    <mergeCell ref="G246:H246"/>
    <mergeCell ref="J246:K246"/>
    <mergeCell ref="I239:I240"/>
    <mergeCell ref="J239:K240"/>
    <mergeCell ref="G241:H241"/>
    <mergeCell ref="J241:K241"/>
    <mergeCell ref="G243:H243"/>
    <mergeCell ref="J243:K243"/>
    <mergeCell ref="A239:A240"/>
    <mergeCell ref="B239:B240"/>
    <mergeCell ref="D239:D240"/>
    <mergeCell ref="E239:E240"/>
    <mergeCell ref="F239:F240"/>
    <mergeCell ref="G239:H239"/>
    <mergeCell ref="G240:H240"/>
    <mergeCell ref="G233:H233"/>
    <mergeCell ref="J233:K233"/>
    <mergeCell ref="G234:H234"/>
    <mergeCell ref="J234:K234"/>
    <mergeCell ref="G235:H235"/>
    <mergeCell ref="J235:K235"/>
    <mergeCell ref="G230:H230"/>
    <mergeCell ref="J230:K230"/>
    <mergeCell ref="G231:H231"/>
    <mergeCell ref="J231:K231"/>
    <mergeCell ref="G232:H232"/>
    <mergeCell ref="J232:K232"/>
    <mergeCell ref="G227:H227"/>
    <mergeCell ref="J227:K227"/>
    <mergeCell ref="G228:H228"/>
    <mergeCell ref="J228:K228"/>
    <mergeCell ref="G229:H229"/>
    <mergeCell ref="J229:K229"/>
    <mergeCell ref="G223:H223"/>
    <mergeCell ref="J223:K223"/>
    <mergeCell ref="G224:H224"/>
    <mergeCell ref="J224:K224"/>
    <mergeCell ref="G225:H225"/>
    <mergeCell ref="J225:K225"/>
    <mergeCell ref="G220:H220"/>
    <mergeCell ref="J220:K220"/>
    <mergeCell ref="G221:H221"/>
    <mergeCell ref="J221:K221"/>
    <mergeCell ref="G222:H222"/>
    <mergeCell ref="J222:K222"/>
    <mergeCell ref="G216:H216"/>
    <mergeCell ref="J216:K216"/>
    <mergeCell ref="G217:H217"/>
    <mergeCell ref="J217:K217"/>
    <mergeCell ref="G218:H218"/>
    <mergeCell ref="J218:K218"/>
    <mergeCell ref="G213:H213"/>
    <mergeCell ref="J213:K213"/>
    <mergeCell ref="G214:H214"/>
    <mergeCell ref="J214:K214"/>
    <mergeCell ref="G215:H215"/>
    <mergeCell ref="J215:K215"/>
    <mergeCell ref="G210:H210"/>
    <mergeCell ref="J210:K210"/>
    <mergeCell ref="G211:H211"/>
    <mergeCell ref="J211:K211"/>
    <mergeCell ref="G212:H212"/>
    <mergeCell ref="J212:K212"/>
    <mergeCell ref="G206:H206"/>
    <mergeCell ref="J206:K206"/>
    <mergeCell ref="G207:H207"/>
    <mergeCell ref="J207:K207"/>
    <mergeCell ref="G208:H208"/>
    <mergeCell ref="J208:K208"/>
    <mergeCell ref="G203:H203"/>
    <mergeCell ref="J203:K203"/>
    <mergeCell ref="G204:H204"/>
    <mergeCell ref="J204:K204"/>
    <mergeCell ref="G205:H205"/>
    <mergeCell ref="J205:K205"/>
    <mergeCell ref="G200:H200"/>
    <mergeCell ref="J200:K200"/>
    <mergeCell ref="G201:H201"/>
    <mergeCell ref="J201:K201"/>
    <mergeCell ref="G202:H202"/>
    <mergeCell ref="J202:K202"/>
    <mergeCell ref="G197:H197"/>
    <mergeCell ref="J197:K197"/>
    <mergeCell ref="G198:H198"/>
    <mergeCell ref="J198:K198"/>
    <mergeCell ref="G199:H199"/>
    <mergeCell ref="J199:K199"/>
    <mergeCell ref="G194:H194"/>
    <mergeCell ref="J194:K194"/>
    <mergeCell ref="G195:H195"/>
    <mergeCell ref="J195:K195"/>
    <mergeCell ref="G196:H196"/>
    <mergeCell ref="J196:K196"/>
    <mergeCell ref="G190:H190"/>
    <mergeCell ref="J190:K190"/>
    <mergeCell ref="G191:H191"/>
    <mergeCell ref="J191:K191"/>
    <mergeCell ref="G193:H193"/>
    <mergeCell ref="J193:K193"/>
    <mergeCell ref="G187:H187"/>
    <mergeCell ref="J187:K187"/>
    <mergeCell ref="G188:H188"/>
    <mergeCell ref="J188:K188"/>
    <mergeCell ref="G189:H189"/>
    <mergeCell ref="J189:K189"/>
    <mergeCell ref="G184:H184"/>
    <mergeCell ref="J184:K184"/>
    <mergeCell ref="G185:H185"/>
    <mergeCell ref="J185:K185"/>
    <mergeCell ref="G186:H186"/>
    <mergeCell ref="J186:K186"/>
    <mergeCell ref="I179:I180"/>
    <mergeCell ref="J179:K180"/>
    <mergeCell ref="G181:H181"/>
    <mergeCell ref="J181:K181"/>
    <mergeCell ref="G183:H183"/>
    <mergeCell ref="J183:K183"/>
    <mergeCell ref="A179:A180"/>
    <mergeCell ref="B179:B180"/>
    <mergeCell ref="D179:D180"/>
    <mergeCell ref="E179:E180"/>
    <mergeCell ref="F179:F180"/>
    <mergeCell ref="G179:H179"/>
    <mergeCell ref="G180:H180"/>
    <mergeCell ref="G173:H173"/>
    <mergeCell ref="J173:K173"/>
    <mergeCell ref="G174:H174"/>
    <mergeCell ref="J174:K174"/>
    <mergeCell ref="G175:H175"/>
    <mergeCell ref="J175:K175"/>
    <mergeCell ref="G170:H170"/>
    <mergeCell ref="J170:K170"/>
    <mergeCell ref="G171:H171"/>
    <mergeCell ref="J171:K171"/>
    <mergeCell ref="G172:H172"/>
    <mergeCell ref="J172:K172"/>
    <mergeCell ref="G167:H167"/>
    <mergeCell ref="J167:K167"/>
    <mergeCell ref="G168:H168"/>
    <mergeCell ref="J168:K168"/>
    <mergeCell ref="G169:H169"/>
    <mergeCell ref="J169:K169"/>
    <mergeCell ref="G163:H163"/>
    <mergeCell ref="J163:K163"/>
    <mergeCell ref="G164:H164"/>
    <mergeCell ref="J164:K164"/>
    <mergeCell ref="G165:H165"/>
    <mergeCell ref="J165:K165"/>
    <mergeCell ref="G160:H160"/>
    <mergeCell ref="J160:K160"/>
    <mergeCell ref="G161:H161"/>
    <mergeCell ref="J161:K161"/>
    <mergeCell ref="G162:H162"/>
    <mergeCell ref="J162:K162"/>
    <mergeCell ref="G156:H156"/>
    <mergeCell ref="J156:K156"/>
    <mergeCell ref="G157:H157"/>
    <mergeCell ref="J157:K157"/>
    <mergeCell ref="G158:H158"/>
    <mergeCell ref="J158:K158"/>
    <mergeCell ref="G153:H153"/>
    <mergeCell ref="J153:K153"/>
    <mergeCell ref="G154:H154"/>
    <mergeCell ref="J154:K154"/>
    <mergeCell ref="G155:H155"/>
    <mergeCell ref="J155:K155"/>
    <mergeCell ref="G150:H150"/>
    <mergeCell ref="J150:K150"/>
    <mergeCell ref="G151:H151"/>
    <mergeCell ref="J151:K151"/>
    <mergeCell ref="G152:H152"/>
    <mergeCell ref="J152:K152"/>
    <mergeCell ref="G146:H146"/>
    <mergeCell ref="J146:K146"/>
    <mergeCell ref="G147:H147"/>
    <mergeCell ref="J147:K147"/>
    <mergeCell ref="G148:H148"/>
    <mergeCell ref="J148:K148"/>
    <mergeCell ref="G143:H143"/>
    <mergeCell ref="J143:K143"/>
    <mergeCell ref="G144:H144"/>
    <mergeCell ref="J144:K144"/>
    <mergeCell ref="G145:H145"/>
    <mergeCell ref="J145:K145"/>
    <mergeCell ref="G140:H140"/>
    <mergeCell ref="J140:K140"/>
    <mergeCell ref="G141:H141"/>
    <mergeCell ref="J141:K141"/>
    <mergeCell ref="G142:H142"/>
    <mergeCell ref="J142:K142"/>
    <mergeCell ref="G137:H137"/>
    <mergeCell ref="J137:K137"/>
    <mergeCell ref="G138:H138"/>
    <mergeCell ref="J138:K138"/>
    <mergeCell ref="G139:H139"/>
    <mergeCell ref="J139:K139"/>
    <mergeCell ref="G134:H134"/>
    <mergeCell ref="J134:K134"/>
    <mergeCell ref="G135:H135"/>
    <mergeCell ref="J135:K135"/>
    <mergeCell ref="G136:H136"/>
    <mergeCell ref="J136:K136"/>
    <mergeCell ref="G130:H130"/>
    <mergeCell ref="J130:K130"/>
    <mergeCell ref="G131:H131"/>
    <mergeCell ref="J131:K131"/>
    <mergeCell ref="G133:H133"/>
    <mergeCell ref="J133:K133"/>
    <mergeCell ref="G127:H127"/>
    <mergeCell ref="J127:K127"/>
    <mergeCell ref="G128:H128"/>
    <mergeCell ref="J128:K128"/>
    <mergeCell ref="G129:H129"/>
    <mergeCell ref="J129:K129"/>
    <mergeCell ref="G124:H124"/>
    <mergeCell ref="J124:K124"/>
    <mergeCell ref="G125:H125"/>
    <mergeCell ref="J125:K125"/>
    <mergeCell ref="G126:H126"/>
    <mergeCell ref="J126:K126"/>
    <mergeCell ref="G120:H120"/>
    <mergeCell ref="I119:I120"/>
    <mergeCell ref="J119:K120"/>
    <mergeCell ref="G121:H121"/>
    <mergeCell ref="J121:K121"/>
    <mergeCell ref="G123:H123"/>
    <mergeCell ref="J123:K123"/>
    <mergeCell ref="G112:H112"/>
    <mergeCell ref="G113:H113"/>
    <mergeCell ref="G114:H114"/>
    <mergeCell ref="G115:H115"/>
    <mergeCell ref="A119:A120"/>
    <mergeCell ref="B119:B120"/>
    <mergeCell ref="D119:D120"/>
    <mergeCell ref="E119:E120"/>
    <mergeCell ref="F119:F120"/>
    <mergeCell ref="G119:H119"/>
    <mergeCell ref="G105:H105"/>
    <mergeCell ref="G107:H107"/>
    <mergeCell ref="G108:H108"/>
    <mergeCell ref="G109:H109"/>
    <mergeCell ref="G110:H110"/>
    <mergeCell ref="G111:H111"/>
    <mergeCell ref="G98:H98"/>
    <mergeCell ref="G100:H100"/>
    <mergeCell ref="G101:H101"/>
    <mergeCell ref="G102:H102"/>
    <mergeCell ref="G103:H103"/>
    <mergeCell ref="G104:H104"/>
    <mergeCell ref="G92:H92"/>
    <mergeCell ref="G93:H93"/>
    <mergeCell ref="G94:H94"/>
    <mergeCell ref="G95:H95"/>
    <mergeCell ref="G96:H96"/>
    <mergeCell ref="G97:H97"/>
    <mergeCell ref="G85:H85"/>
    <mergeCell ref="G86:H86"/>
    <mergeCell ref="G87:H87"/>
    <mergeCell ref="G88:H88"/>
    <mergeCell ref="G90:H90"/>
    <mergeCell ref="G91:H91"/>
    <mergeCell ref="G79:H79"/>
    <mergeCell ref="G80:H80"/>
    <mergeCell ref="G81:H81"/>
    <mergeCell ref="G82:H82"/>
    <mergeCell ref="G83:H83"/>
    <mergeCell ref="G84:H84"/>
    <mergeCell ref="G73:H73"/>
    <mergeCell ref="G74:H74"/>
    <mergeCell ref="G75:H75"/>
    <mergeCell ref="G76:H76"/>
    <mergeCell ref="G77:H77"/>
    <mergeCell ref="G78:H78"/>
    <mergeCell ref="G66:H66"/>
    <mergeCell ref="G67:H67"/>
    <mergeCell ref="G68:H68"/>
    <mergeCell ref="G69:H69"/>
    <mergeCell ref="G70:H70"/>
    <mergeCell ref="G71:H71"/>
    <mergeCell ref="I59:I60"/>
    <mergeCell ref="J59:J60"/>
    <mergeCell ref="G61:H61"/>
    <mergeCell ref="G63:H63"/>
    <mergeCell ref="G64:H64"/>
    <mergeCell ref="G65:H65"/>
    <mergeCell ref="A59:A60"/>
    <mergeCell ref="B59:B60"/>
    <mergeCell ref="D59:D60"/>
    <mergeCell ref="E59:E60"/>
    <mergeCell ref="F59:F60"/>
    <mergeCell ref="G59:H59"/>
    <mergeCell ref="G60:H60"/>
    <mergeCell ref="G49:H49"/>
    <mergeCell ref="G51:H51"/>
    <mergeCell ref="G52:H52"/>
    <mergeCell ref="G53:H53"/>
    <mergeCell ref="G54:H54"/>
    <mergeCell ref="G55:H55"/>
    <mergeCell ref="G43:H43"/>
    <mergeCell ref="G44:H44"/>
    <mergeCell ref="G45:H45"/>
    <mergeCell ref="G46:H46"/>
    <mergeCell ref="G47:H47"/>
    <mergeCell ref="G48:H48"/>
    <mergeCell ref="I3:I4"/>
    <mergeCell ref="J3:J4"/>
    <mergeCell ref="G5:H5"/>
    <mergeCell ref="G7:H7"/>
    <mergeCell ref="G8:H8"/>
    <mergeCell ref="G9:H9"/>
    <mergeCell ref="G37:H37"/>
    <mergeCell ref="G38:H38"/>
    <mergeCell ref="G39:H39"/>
    <mergeCell ref="G40:H40"/>
    <mergeCell ref="G41:H41"/>
    <mergeCell ref="G42:H42"/>
    <mergeCell ref="G30:H30"/>
    <mergeCell ref="G31:H31"/>
    <mergeCell ref="G32:H32"/>
    <mergeCell ref="G34:H34"/>
    <mergeCell ref="G35:H35"/>
    <mergeCell ref="G36:H36"/>
    <mergeCell ref="G24:H24"/>
    <mergeCell ref="G25:H25"/>
    <mergeCell ref="G26:H26"/>
    <mergeCell ref="G27:H27"/>
    <mergeCell ref="G28:H28"/>
    <mergeCell ref="G29:H29"/>
    <mergeCell ref="A3:A4"/>
    <mergeCell ref="B3:B4"/>
    <mergeCell ref="D3:D4"/>
    <mergeCell ref="E3:E4"/>
    <mergeCell ref="F3:F4"/>
    <mergeCell ref="G3:H3"/>
    <mergeCell ref="G4:H4"/>
    <mergeCell ref="G17:H17"/>
    <mergeCell ref="G18:H18"/>
    <mergeCell ref="G19:H19"/>
    <mergeCell ref="G20:H20"/>
    <mergeCell ref="G21:H21"/>
    <mergeCell ref="G22:H22"/>
    <mergeCell ref="G10:H10"/>
    <mergeCell ref="G11:H11"/>
    <mergeCell ref="G12:H12"/>
    <mergeCell ref="G13:H13"/>
    <mergeCell ref="G14:H14"/>
    <mergeCell ref="G15:H15"/>
  </mergeCells>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5" workbookViewId="0">
      <selection activeCell="A34" sqref="A34"/>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2"/>
      <c r="B3" s="3132"/>
      <c r="C3" s="3132"/>
      <c r="D3" s="961" t="s">
        <v>1603</v>
      </c>
      <c r="E3" s="961" t="s">
        <v>1609</v>
      </c>
      <c r="F3" s="961" t="s">
        <v>1603</v>
      </c>
      <c r="G3" s="961" t="s">
        <v>1604</v>
      </c>
      <c r="H3" s="961" t="s">
        <v>1603</v>
      </c>
      <c r="I3" s="961" t="s">
        <v>1604</v>
      </c>
    </row>
    <row r="4" spans="1:9" ht="30">
      <c r="A4" s="1688" t="str">
        <f>项目基本情况!S2</f>
        <v>出让国有建设用地使用权及在建建筑物房地产</v>
      </c>
      <c r="B4" s="961">
        <f>项目基本情况!C17</f>
        <v>133675.47</v>
      </c>
      <c r="C4" s="961">
        <f>项目基本情况!C18</f>
        <v>39947</v>
      </c>
      <c r="D4" s="961">
        <f ca="1">结果表!D118</f>
        <v>47201</v>
      </c>
      <c r="E4" s="961" t="e">
        <f ca="1">结果表!E118</f>
        <v>#DIV/0!</v>
      </c>
      <c r="F4" s="961">
        <f ca="1">结果表!F118</f>
        <v>23248</v>
      </c>
      <c r="G4" s="961" t="e">
        <f ca="1">结果表!G118</f>
        <v>#DIV/0!</v>
      </c>
      <c r="H4" s="961">
        <f ca="1">结果表!H118</f>
        <v>70449</v>
      </c>
      <c r="I4" s="961" t="e">
        <f ca="1">结果表!I118</f>
        <v>#DIV/0!</v>
      </c>
    </row>
    <row r="5" spans="1:9" ht="30" customHeight="1">
      <c r="A5" s="3132" t="s">
        <v>1605</v>
      </c>
      <c r="B5" s="3132"/>
      <c r="C5" s="3132"/>
      <c r="D5" s="3133" t="str">
        <f ca="1">结果表!D119</f>
        <v>肆亿柒仟贰佰零壹万元整</v>
      </c>
      <c r="E5" s="3133"/>
      <c r="F5" s="3133" t="str">
        <f ca="1">结果表!F119</f>
        <v>贰亿叁仟贰佰肆拾捌万元整</v>
      </c>
      <c r="G5" s="3133"/>
      <c r="H5" s="3133" t="str">
        <f ca="1">结果表!H119</f>
        <v>柒亿零肆佰肆拾玖万元整</v>
      </c>
      <c r="I5" s="3133"/>
    </row>
    <row r="6" spans="1:9" ht="15.75">
      <c r="A6" s="3131" t="str">
        <f>结果表!A120</f>
        <v>估价师知悉的法定优先受偿款</v>
      </c>
      <c r="B6" s="3131"/>
      <c r="C6" s="3131"/>
      <c r="D6" s="3131">
        <f>结果表!D120</f>
        <v>0</v>
      </c>
      <c r="E6" s="3131"/>
      <c r="F6" s="3131"/>
      <c r="G6" s="3131"/>
      <c r="H6" s="3131"/>
      <c r="I6" s="3131"/>
    </row>
    <row r="7" spans="1:9" ht="15">
      <c r="A7" s="3132" t="s">
        <v>1605</v>
      </c>
      <c r="B7" s="3132"/>
      <c r="C7" s="3132"/>
      <c r="D7" s="3134" t="str">
        <f>结果表!D121</f>
        <v>零元整</v>
      </c>
      <c r="E7" s="3135"/>
      <c r="F7" s="3135"/>
      <c r="G7" s="3135"/>
      <c r="H7" s="3135"/>
      <c r="I7" s="3136"/>
    </row>
    <row r="8" spans="1:9" ht="15.75">
      <c r="A8" s="3131" t="str">
        <f>结果表!A122</f>
        <v>房地产抵押价值</v>
      </c>
      <c r="B8" s="3131"/>
      <c r="C8" s="3131"/>
      <c r="D8" s="3131">
        <f ca="1">结果表!D122</f>
        <v>70449</v>
      </c>
      <c r="E8" s="3131"/>
      <c r="F8" s="3131"/>
      <c r="G8" s="3131"/>
      <c r="H8" s="3131"/>
      <c r="I8" s="3131"/>
    </row>
    <row r="9" spans="1:9" ht="15">
      <c r="A9" s="3132" t="s">
        <v>1605</v>
      </c>
      <c r="B9" s="3132"/>
      <c r="C9" s="3132"/>
      <c r="D9" s="3133" t="str">
        <f ca="1">结果表!D123</f>
        <v>柒亿零肆佰肆拾玖万元整</v>
      </c>
      <c r="E9" s="3133"/>
      <c r="F9" s="3133"/>
      <c r="G9" s="3133"/>
      <c r="H9" s="3133"/>
      <c r="I9" s="3133"/>
    </row>
    <row r="10" spans="1:9" ht="15.75">
      <c r="A10" s="3131" t="str">
        <f>结果表!A124</f>
        <v/>
      </c>
      <c r="B10" s="3131"/>
      <c r="C10" s="3131"/>
      <c r="D10" s="3131" t="str">
        <f>结果表!D124</f>
        <v>——</v>
      </c>
      <c r="E10" s="3131"/>
      <c r="F10" s="3131"/>
      <c r="G10" s="3131"/>
      <c r="H10" s="3131"/>
      <c r="I10" s="3131"/>
    </row>
    <row r="11" spans="1:9" ht="15">
      <c r="A11" s="3132" t="s">
        <v>1605</v>
      </c>
      <c r="B11" s="3132"/>
      <c r="C11" s="3132"/>
      <c r="D11" s="3133" t="e">
        <f>结果表!D125</f>
        <v>#VALUE!</v>
      </c>
      <c r="E11" s="3133"/>
      <c r="F11" s="3133"/>
      <c r="G11" s="3133"/>
      <c r="H11" s="3133"/>
      <c r="I11" s="3133"/>
    </row>
    <row r="12" spans="1:9" ht="15.75">
      <c r="A12" s="3131" t="str">
        <f>结果表!A126</f>
        <v/>
      </c>
      <c r="B12" s="3131"/>
      <c r="C12" s="3131"/>
      <c r="D12" s="3131" t="str">
        <f>结果表!D126</f>
        <v>——</v>
      </c>
      <c r="E12" s="3131"/>
      <c r="F12" s="3131"/>
      <c r="G12" s="3131"/>
      <c r="H12" s="3131"/>
      <c r="I12" s="3131"/>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45" t="s">
        <v>1627</v>
      </c>
      <c r="B1" s="3145"/>
      <c r="C1" s="3145"/>
      <c r="D1" s="3145"/>
    </row>
    <row r="2" spans="1:4" ht="18">
      <c r="A2" s="3146" t="s">
        <v>1611</v>
      </c>
      <c r="B2" s="3146"/>
      <c r="C2" s="3146"/>
      <c r="D2" s="3146"/>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46" t="s">
        <v>1617</v>
      </c>
      <c r="B6" s="3146"/>
      <c r="C6" s="3146"/>
      <c r="D6" s="3146"/>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47" t="s">
        <v>1620</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39" t="str">
        <f>IF(项目基本情况!B8="抵押","4.本次评估估价师所知悉的法定优先受偿款情况说明如下：","——")</f>
        <v>4.本次评估估价师所知悉的法定优先受偿款情况说明如下：</v>
      </c>
      <c r="B14" s="3144"/>
      <c r="C14" s="3144"/>
      <c r="D14" s="3144"/>
    </row>
    <row r="15" spans="1:4" ht="42" customHeight="1">
      <c r="A15" s="31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1" t="s">
        <v>1621</v>
      </c>
      <c r="B16" s="3141"/>
      <c r="C16" s="3141"/>
      <c r="D16" s="3141"/>
    </row>
    <row r="17" spans="1:4" ht="144" customHeight="1">
      <c r="A17" s="3141" t="s">
        <v>1622</v>
      </c>
      <c r="B17" s="3141"/>
      <c r="C17" s="3141"/>
      <c r="D17" s="3141"/>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1623</v>
      </c>
      <c r="B22" s="3143"/>
      <c r="C22" s="3143"/>
      <c r="D22" s="3143"/>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40">
        <v>42551</v>
      </c>
      <c r="D31" s="31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53" t="s">
        <v>1634</v>
      </c>
      <c r="B15" s="3148" t="s">
        <v>136</v>
      </c>
      <c r="C15" s="3149"/>
    </row>
    <row r="16" spans="1:7" ht="13.5">
      <c r="A16" s="3154"/>
      <c r="B16" s="3148" t="s">
        <v>69</v>
      </c>
      <c r="C16" s="3149"/>
    </row>
    <row r="17" spans="1:3" ht="13.5">
      <c r="A17" s="3154"/>
      <c r="B17" s="3151" t="s">
        <v>1635</v>
      </c>
      <c r="C17" s="1715" t="s">
        <v>1634</v>
      </c>
    </row>
    <row r="18" spans="1:3" ht="13.5">
      <c r="A18" s="3154"/>
      <c r="B18" s="3151"/>
      <c r="C18" s="1715" t="s">
        <v>1636</v>
      </c>
    </row>
    <row r="19" spans="1:3" ht="13.5">
      <c r="A19" s="3154"/>
      <c r="B19" s="3151"/>
      <c r="C19" s="1715" t="s">
        <v>1637</v>
      </c>
    </row>
    <row r="20" spans="1:3" ht="13.5">
      <c r="A20" s="3155"/>
      <c r="B20" s="3150" t="s">
        <v>1638</v>
      </c>
      <c r="C20" s="3149"/>
    </row>
    <row r="21" spans="1:3" ht="13.5">
      <c r="A21" s="1716" t="s">
        <v>1639</v>
      </c>
      <c r="B21" s="1717"/>
      <c r="C21" s="1718"/>
    </row>
    <row r="22" spans="1:3" ht="13.5">
      <c r="A22" s="3152" t="s">
        <v>1640</v>
      </c>
      <c r="B22" s="3150" t="s">
        <v>1641</v>
      </c>
      <c r="C22" s="3149"/>
    </row>
    <row r="23" spans="1:3" ht="13.5">
      <c r="A23" s="3152"/>
      <c r="B23" s="3150" t="s">
        <v>1642</v>
      </c>
      <c r="C23" s="3149"/>
    </row>
    <row r="24" spans="1:3" ht="13.5">
      <c r="A24" s="3152"/>
      <c r="B24" s="3150" t="s">
        <v>1643</v>
      </c>
      <c r="C24" s="3149"/>
    </row>
    <row r="25" spans="1:3" ht="13.5">
      <c r="A25" s="3152"/>
      <c r="B25" s="3151" t="s">
        <v>1644</v>
      </c>
      <c r="C25" s="1715" t="s">
        <v>1645</v>
      </c>
    </row>
    <row r="26" spans="1:3" ht="13.5">
      <c r="A26" s="3152"/>
      <c r="B26" s="3151"/>
      <c r="C26" s="1715" t="s">
        <v>1646</v>
      </c>
    </row>
    <row r="27" spans="1:3" ht="13.5">
      <c r="A27" s="3152"/>
      <c r="B27" s="3151"/>
      <c r="C27" s="1715" t="s">
        <v>1647</v>
      </c>
    </row>
    <row r="28" spans="1:3" ht="13.5">
      <c r="A28" s="3152"/>
      <c r="B28" s="3151"/>
      <c r="C28" s="1715" t="s">
        <v>1648</v>
      </c>
    </row>
    <row r="29" spans="1:3" ht="13.5">
      <c r="A29" s="3152"/>
      <c r="B29" s="3151"/>
      <c r="C29" s="1715" t="s">
        <v>1649</v>
      </c>
    </row>
    <row r="30" spans="1:3" ht="13.5">
      <c r="A30" s="3152"/>
      <c r="B30" s="3151"/>
      <c r="C30" s="1715" t="s">
        <v>1650</v>
      </c>
    </row>
    <row r="31" spans="1:3" ht="13.5">
      <c r="A31" s="3152"/>
      <c r="B31" s="3151"/>
      <c r="C31" s="1715" t="s">
        <v>1651</v>
      </c>
    </row>
    <row r="32" spans="1:3" ht="13.5">
      <c r="A32" s="3152"/>
      <c r="B32" s="3151"/>
      <c r="C32" s="1715" t="s">
        <v>1652</v>
      </c>
    </row>
    <row r="33" spans="1:3" ht="13.5">
      <c r="A33" s="3152"/>
      <c r="B33" s="3151"/>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44312</v>
      </c>
      <c r="C2" s="2561" t="s">
        <v>2880</v>
      </c>
      <c r="D2" s="2561"/>
      <c r="E2" s="2561"/>
      <c r="F2" s="2557"/>
      <c r="G2" s="2557"/>
      <c r="H2" s="2557"/>
    </row>
    <row r="3" spans="1:8" ht="24" customHeight="1">
      <c r="A3" s="2562" t="s">
        <v>2881</v>
      </c>
      <c r="B3" s="2563" t="s">
        <v>2882</v>
      </c>
      <c r="C3" s="2563" t="s">
        <v>2883</v>
      </c>
      <c r="D3" s="2564" t="s">
        <v>2884</v>
      </c>
      <c r="E3" s="2565" t="s">
        <v>2885</v>
      </c>
      <c r="F3" s="1470" t="s">
        <v>2886</v>
      </c>
      <c r="G3" s="2563" t="s">
        <v>2883</v>
      </c>
      <c r="H3" s="2564" t="s">
        <v>2887</v>
      </c>
    </row>
    <row r="4" spans="1:8" ht="24" customHeight="1">
      <c r="A4" s="1470" t="s">
        <v>2888</v>
      </c>
      <c r="B4" s="1470">
        <f ca="1">IF(C4&lt;B2,"已过期",1119970066)</f>
        <v>1119970066</v>
      </c>
      <c r="C4" s="2566">
        <v>44876</v>
      </c>
      <c r="D4" s="2567" t="str">
        <f ca="1">A4&amp;"（注册号："&amp;B4&amp;"）"</f>
        <v>梁津（注册号：1119970066）</v>
      </c>
      <c r="E4" s="2568" t="s">
        <v>2888</v>
      </c>
      <c r="F4" s="1470">
        <f ca="1">IF(G4&lt;B2,"已过期",96010014)</f>
        <v>96010014</v>
      </c>
      <c r="G4" s="2569">
        <v>47118</v>
      </c>
      <c r="H4" s="2570" t="str">
        <f ca="1">E4&amp;"（注册号："&amp;F4&amp;"）"</f>
        <v>梁津（注册号：96010014）</v>
      </c>
    </row>
    <row r="5" spans="1:8" ht="24" customHeight="1">
      <c r="A5" s="1470" t="s">
        <v>2889</v>
      </c>
      <c r="B5" s="1470">
        <f ca="1">IF(C5&lt;B2,"已过期",1119970111)</f>
        <v>1119970111</v>
      </c>
      <c r="C5" s="2566">
        <v>44876</v>
      </c>
      <c r="D5" s="2567" t="str">
        <f t="shared" ref="D5:D15" ca="1" si="0">A5&amp;"（注册号："&amp;B5&amp;"）"</f>
        <v>叶凌（注册号：1119970111）</v>
      </c>
      <c r="E5" s="2568" t="s">
        <v>2889</v>
      </c>
      <c r="F5" s="1470">
        <f ca="1">IF(G5&lt;B2,"已过期",94010078)</f>
        <v>94010078</v>
      </c>
      <c r="G5" s="2569">
        <v>46387</v>
      </c>
      <c r="H5" s="2570" t="str">
        <f t="shared" ref="H5:H16" ca="1" si="1">E5&amp;"（注册号："&amp;F5&amp;"）"</f>
        <v>叶凌（注册号：94010078）</v>
      </c>
    </row>
    <row r="6" spans="1:8" ht="24" customHeight="1">
      <c r="A6" s="1470" t="s">
        <v>2890</v>
      </c>
      <c r="B6" s="1470">
        <f ca="1">IF(C6&lt;B2,"已过期",1120050019)</f>
        <v>1120050019</v>
      </c>
      <c r="C6" s="2566">
        <v>44395</v>
      </c>
      <c r="D6" s="2567" t="str">
        <f t="shared" ca="1" si="0"/>
        <v>王鹏（注册号：1120050019）</v>
      </c>
      <c r="E6" s="2568" t="s">
        <v>2890</v>
      </c>
      <c r="F6" s="1470">
        <f ca="1">IF(G6&lt;B2,"已过期",2002110030)</f>
        <v>2002110030</v>
      </c>
      <c r="G6" s="2569">
        <v>46387</v>
      </c>
      <c r="H6" s="2570" t="str">
        <f t="shared" ca="1" si="1"/>
        <v>王鹏（注册号：2002110030）</v>
      </c>
    </row>
    <row r="7" spans="1:8" ht="24" customHeight="1">
      <c r="A7" s="1470" t="s">
        <v>2891</v>
      </c>
      <c r="B7" s="1470">
        <f ca="1">IF(C7&lt;B2,"已过期",1120000080)</f>
        <v>1120000080</v>
      </c>
      <c r="C7" s="2566">
        <v>44876</v>
      </c>
      <c r="D7" s="2567" t="str">
        <f t="shared" ca="1" si="0"/>
        <v>欧红伟（注册号：1120000080）</v>
      </c>
      <c r="E7" s="2568" t="s">
        <v>2891</v>
      </c>
      <c r="F7" s="1470">
        <f ca="1">IF(G7&lt;B2,"已过期",2000110082)</f>
        <v>2000110082</v>
      </c>
      <c r="G7" s="2569">
        <v>46387</v>
      </c>
      <c r="H7" s="2570" t="str">
        <f t="shared" ca="1" si="1"/>
        <v>欧红伟（注册号：2000110082）</v>
      </c>
    </row>
    <row r="8" spans="1:8" ht="24" customHeight="1">
      <c r="A8" s="1470" t="s">
        <v>2892</v>
      </c>
      <c r="B8" s="1470">
        <f ca="1">IF(C8&lt;B2,"已过期",1419970001)</f>
        <v>1419970001</v>
      </c>
      <c r="C8" s="2566">
        <v>44899</v>
      </c>
      <c r="D8" s="2567" t="str">
        <f t="shared" ca="1" si="0"/>
        <v>吴薇（注册号：1419970001）</v>
      </c>
      <c r="E8" s="2568" t="s">
        <v>2892</v>
      </c>
      <c r="F8" s="1470">
        <f ca="1">IF(G8&lt;B2,"已过期",2002110125)</f>
        <v>2002110125</v>
      </c>
      <c r="G8" s="2569">
        <v>47118</v>
      </c>
      <c r="H8" s="2570" t="str">
        <f t="shared" ca="1" si="1"/>
        <v>吴薇（注册号：2002110125）</v>
      </c>
    </row>
    <row r="9" spans="1:8" ht="24" customHeight="1">
      <c r="A9" s="1470" t="s">
        <v>2893</v>
      </c>
      <c r="B9" s="1470">
        <f ca="1">IF(C9&lt;B2,"已过期",1120060040)</f>
        <v>1120060040</v>
      </c>
      <c r="C9" s="2571">
        <v>44554</v>
      </c>
      <c r="D9" s="2567" t="str">
        <f t="shared" ca="1" si="0"/>
        <v>陈颖（注册号：1120060040）</v>
      </c>
      <c r="E9" s="2568" t="s">
        <v>2893</v>
      </c>
      <c r="F9" s="1470">
        <f ca="1">IF(G9&lt;B2,"已过期",2004110096)</f>
        <v>2004110096</v>
      </c>
      <c r="G9" s="2569">
        <v>47118</v>
      </c>
      <c r="H9" s="2570" t="str">
        <f t="shared" ca="1" si="1"/>
        <v>陈颖（注册号：2004110096）</v>
      </c>
    </row>
    <row r="10" spans="1:8" ht="24" customHeight="1">
      <c r="A10" s="1470" t="s">
        <v>2894</v>
      </c>
      <c r="B10" s="1470">
        <f ca="1">IF(C10&lt;B2,"已过期",1120100036)</f>
        <v>1120100036</v>
      </c>
      <c r="C10" s="2571">
        <v>44675</v>
      </c>
      <c r="D10" s="2567" t="str">
        <f t="shared" ca="1" si="0"/>
        <v>崔锴（注册号：1120100036）</v>
      </c>
      <c r="E10" s="2568" t="s">
        <v>2894</v>
      </c>
      <c r="F10" s="1470">
        <f ca="1">IF(G10&lt;B2,"已过期",2010110070)</f>
        <v>2010110070</v>
      </c>
      <c r="G10" s="2569">
        <v>47907</v>
      </c>
      <c r="H10" s="2570" t="str">
        <f t="shared" ca="1" si="1"/>
        <v>崔锴（注册号：2010110070）</v>
      </c>
    </row>
    <row r="11" spans="1:8" ht="24" customHeight="1">
      <c r="A11" s="1470" t="s">
        <v>2895</v>
      </c>
      <c r="B11" s="1470">
        <f ca="1">IF(C11&lt;B2,"已过期",1120070131)</f>
        <v>1120070131</v>
      </c>
      <c r="C11" s="2566">
        <v>44849</v>
      </c>
      <c r="D11" s="2567" t="str">
        <f t="shared" ca="1" si="0"/>
        <v>郑燚（注册号：1120070131）</v>
      </c>
      <c r="E11" s="2568" t="s">
        <v>2895</v>
      </c>
      <c r="F11" s="1470">
        <f ca="1">IF(G11&lt;B2,"已过期",2014110011)</f>
        <v>2014110011</v>
      </c>
      <c r="G11" s="2569">
        <v>49302</v>
      </c>
      <c r="H11" s="2570" t="str">
        <f t="shared" ca="1" si="1"/>
        <v>郑燚（注册号：2014110011）</v>
      </c>
    </row>
    <row r="12" spans="1:8" ht="24" customHeight="1">
      <c r="A12" s="1470" t="s">
        <v>2896</v>
      </c>
      <c r="B12" s="1470">
        <f ca="1">IF(C12&lt;B2,"已过期",1120040230)</f>
        <v>1120040230</v>
      </c>
      <c r="C12" s="2571">
        <v>44864</v>
      </c>
      <c r="D12" s="2567" t="str">
        <f t="shared" ca="1" si="0"/>
        <v>苏海（注册号：1120040230）</v>
      </c>
      <c r="E12" s="2568" t="s">
        <v>2896</v>
      </c>
      <c r="F12" s="1470">
        <f ca="1">IF(G12&lt;B2,"已过期",98030020)</f>
        <v>98030020</v>
      </c>
      <c r="G12" s="2569">
        <v>47118</v>
      </c>
      <c r="H12" s="2570" t="str">
        <f t="shared" ca="1" si="1"/>
        <v>苏海（注册号：98030020）</v>
      </c>
    </row>
    <row r="13" spans="1:8" ht="24" customHeight="1">
      <c r="A13" s="1470" t="s">
        <v>2897</v>
      </c>
      <c r="B13" s="1470">
        <f ca="1">IF(C13&lt;B2,"已过期",1120020033)</f>
        <v>1120020033</v>
      </c>
      <c r="C13" s="2566">
        <v>44339</v>
      </c>
      <c r="D13" s="2567" t="str">
        <f t="shared" ca="1" si="0"/>
        <v>刘敬东（注册号：1120020033）</v>
      </c>
      <c r="E13" s="2568" t="s">
        <v>2897</v>
      </c>
      <c r="F13" s="1470">
        <f ca="1">IF(G13&lt;B2,"已过期",2000110137)</f>
        <v>2000110137</v>
      </c>
      <c r="G13" s="2569">
        <v>46387</v>
      </c>
      <c r="H13" s="2570" t="str">
        <f t="shared" ca="1" si="1"/>
        <v>刘敬东（注册号：2000110137）</v>
      </c>
    </row>
    <row r="14" spans="1:8" ht="24" customHeight="1">
      <c r="A14" s="1470" t="s">
        <v>2898</v>
      </c>
      <c r="B14" s="1470">
        <f ca="1">IF(C14&lt;B2,"已过期",1119980106)</f>
        <v>1119980106</v>
      </c>
      <c r="C14" s="2571">
        <v>44969</v>
      </c>
      <c r="D14" s="2567" t="str">
        <f t="shared" ca="1" si="0"/>
        <v>刘俊财（注册号：1119980106）</v>
      </c>
      <c r="E14" s="2568" t="s">
        <v>2898</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2899</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56" t="s">
        <v>2900</v>
      </c>
      <c r="B17" s="3156"/>
      <c r="C17" s="3156"/>
      <c r="D17" s="3156"/>
      <c r="E17" s="3156"/>
      <c r="F17" s="3156"/>
      <c r="G17" s="3156"/>
      <c r="H17" s="3156"/>
    </row>
    <row r="18" spans="1:8" ht="24" customHeight="1">
      <c r="A18" s="3157" t="s">
        <v>2901</v>
      </c>
      <c r="B18" s="3157"/>
      <c r="C18" s="3157"/>
      <c r="D18" s="2564"/>
      <c r="E18" s="3158" t="s">
        <v>2902</v>
      </c>
      <c r="F18" s="3157"/>
      <c r="G18" s="3157"/>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面积拆分</vt:lpstr>
      <vt:lpstr>Sheet3</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2021-04-26T05:57:20Z</dcterms:modified>
</cp:coreProperties>
</file>